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928" firstSheet="4" activeTab="5"/>
  </bookViews>
  <sheets>
    <sheet name="范围确认" sheetId="3" state="hidden" r:id="rId1"/>
    <sheet name="GMV-战略需求" sheetId="1" state="hidden" r:id="rId2"/>
    <sheet name="毛利-战略需求" sheetId="2" state="hidden" r:id="rId3"/>
    <sheet name="上市公司经营概况" sheetId="17" state="hidden" r:id="rId4"/>
    <sheet name="利润调整" sheetId="31" r:id="rId5"/>
    <sheet name="利润组成" sheetId="23" r:id="rId6"/>
    <sheet name="投资公司" sheetId="22" r:id="rId7"/>
    <sheet name="GMV销售额波动分析（分月、年）" sheetId="26" r:id="rId8"/>
    <sheet name="GMV销售平台占比" sheetId="18" r:id="rId9"/>
    <sheet name="GMV表-商品大类" sheetId="4" r:id="rId10"/>
    <sheet name="GMV表-品牌" sheetId="5" r:id="rId11"/>
    <sheet name="毛利-收入组成" sheetId="6" r:id="rId12"/>
    <sheet name="毛利-留存率" sheetId="7" r:id="rId13"/>
    <sheet name="毛利-品牌" sheetId="19" r:id="rId14"/>
    <sheet name="毛利-供应商" sheetId="20" state="hidden" r:id="rId15"/>
    <sheet name="前十大供应商" sheetId="21" r:id="rId16"/>
    <sheet name="腾讯&amp;爱奇艺成本&amp;喜马" sheetId="25" r:id="rId17"/>
    <sheet name="立减金" sheetId="30" r:id="rId18"/>
    <sheet name="返点中间单据23年" sheetId="27" state="hidden" r:id="rId19"/>
    <sheet name="代运营中间单据23年" sheetId="28" state="hidden" r:id="rId20"/>
    <sheet name="立减金税损" sheetId="29" state="hidden" r:id="rId21"/>
    <sheet name="2020年收入底稿" sheetId="12" state="hidden" r:id="rId22"/>
    <sheet name="2020年游戏开发" sheetId="15" state="hidden" r:id="rId23"/>
    <sheet name="20年推广收入整理" sheetId="13" state="hidden" r:id="rId24"/>
    <sheet name="2021年收入底稿" sheetId="11" state="hidden" r:id="rId25"/>
    <sheet name="2021年游戏收入" sheetId="16" state="hidden" r:id="rId26"/>
    <sheet name="2022年收入底稿" sheetId="14" state="hidden" r:id="rId27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nm._FilterDatabase" localSheetId="5" hidden="1">利润组成!$A$2:$AJ$142</definedName>
    <definedName name="_xlnm._FilterDatabase" localSheetId="10" hidden="1">'GMV表-品牌'!$K$35:$N$49</definedName>
    <definedName name="_xlnm._FilterDatabase" localSheetId="11" hidden="1">'毛利-收入组成'!$A$2:$AP$74</definedName>
    <definedName name="_xlnm._FilterDatabase" localSheetId="18" hidden="1">返点中间单据23年!$A$1:$AN$1208</definedName>
    <definedName name="_xlnm._FilterDatabase" localSheetId="19" hidden="1">代运营中间单据23年!$A$1:$AH$1017</definedName>
    <definedName name="_xlnm._FilterDatabase" localSheetId="20" hidden="1">立减金税损!$A$1:$L$62</definedName>
    <definedName name="_xlnm._FilterDatabase" localSheetId="21" hidden="1">'2020年收入底稿'!$A$1:$K$692</definedName>
    <definedName name="_xlnm._FilterDatabase" localSheetId="24" hidden="1">'2021年收入底稿'!$A$1:$Q$1057</definedName>
    <definedName name="_xlnm._FilterDatabase" localSheetId="26" hidden="1">'2022年收入底稿'!$A$1:$H$1358</definedName>
    <definedName name="body">'[1]资产负债表-2017'!$C$6:$H$36</definedName>
    <definedName name="grid">'[1]资产负债表-2017'!$C$6:$H$36</definedName>
    <definedName name="head">'[1]资产负债表-2017'!$A$4:$H$4</definedName>
    <definedName name="合并科目名称">[2]Sheet1!$A$2:$A$908</definedName>
    <definedName name="核算项目明细账">[3]核算项目明细账!$A$1:$K$157</definedName>
    <definedName name="会计分录序时簿">#REF!</definedName>
    <definedName name="科目余额表">#REF!</definedName>
    <definedName name="明细分类账">#REF!</definedName>
    <definedName name="会计分录序时簿" localSheetId="21">#REF!</definedName>
    <definedName name="科目余额表" localSheetId="21">#REF!</definedName>
    <definedName name="明细分类账" localSheetId="21">#REF!</definedName>
    <definedName name="会计分录序时簿" localSheetId="26">#REF!</definedName>
    <definedName name="科目余额表" localSheetId="26">#REF!</definedName>
    <definedName name="明细分类账" localSheetId="26">#REF!</definedName>
    <definedName name="body" localSheetId="3">'[4]资产负债表-2017'!$C$6:$H$36</definedName>
    <definedName name="grid" localSheetId="3">'[4]资产负债表-2017'!$C$6:$H$36</definedName>
    <definedName name="head" localSheetId="3">'[4]资产负债表-2017'!$A$4:$H$4</definedName>
    <definedName name="合并科目名称" localSheetId="3">[5]Sheet1!$A$2:$A$908</definedName>
    <definedName name="核算项目明细账" localSheetId="3">[6]核算项目明细账!$A$1:$K$157</definedName>
    <definedName name="会计分录序时簿" localSheetId="3">#REF!</definedName>
    <definedName name="科目余额表" localSheetId="3">#REF!</definedName>
    <definedName name="明细分类账" localSheetId="3">#REF!</definedName>
    <definedName name="body" localSheetId="13">'[4]资产负债表-2017'!$C$6:$H$36</definedName>
    <definedName name="grid" localSheetId="13">'[4]资产负债表-2017'!$C$6:$H$36</definedName>
    <definedName name="head" localSheetId="13">'[4]资产负债表-2017'!$A$4:$H$4</definedName>
    <definedName name="合并科目名称" localSheetId="13">[5]Sheet1!$A$2:$A$908</definedName>
    <definedName name="核算项目明细账" localSheetId="13">[6]核算项目明细账!$A$1:$K$157</definedName>
    <definedName name="会计分录序时簿" localSheetId="13">#REF!</definedName>
    <definedName name="科目余额表" localSheetId="13">#REF!</definedName>
    <definedName name="明细分类账" localSheetId="13">#REF!</definedName>
    <definedName name="body" localSheetId="14">'[4]资产负债表-2017'!$C$6:$H$36</definedName>
    <definedName name="grid" localSheetId="14">'[4]资产负债表-2017'!$C$6:$H$36</definedName>
    <definedName name="head" localSheetId="14">'[4]资产负债表-2017'!$A$4:$H$4</definedName>
    <definedName name="合并科目名称" localSheetId="14">[5]Sheet1!$A$2:$A$908</definedName>
    <definedName name="核算项目明细账" localSheetId="14">[6]核算项目明细账!$A$1:$K$157</definedName>
    <definedName name="会计分录序时簿" localSheetId="14">#REF!</definedName>
    <definedName name="科目余额表" localSheetId="14">#REF!</definedName>
    <definedName name="明细分类账" localSheetId="14">#REF!</definedName>
    <definedName name="\555">[10]表三甲!#REF!</definedName>
    <definedName name="\a">[10]表三甲!#REF!</definedName>
    <definedName name="\b">#REF!</definedName>
    <definedName name="\bbb">#REF!</definedName>
    <definedName name="\E">#REF!</definedName>
    <definedName name="\k">[11]土建表三乙!#REF!</definedName>
    <definedName name="\kkk">[10]表三甲!#REF!</definedName>
    <definedName name="\m">#REF!</definedName>
    <definedName name="\o">[10]表三甲!#REF!</definedName>
    <definedName name="\p">[10]表三甲!#REF!</definedName>
    <definedName name="\q">[10]表三甲!#REF!</definedName>
    <definedName name="\r">[10]表三甲!#REF!</definedName>
    <definedName name="\x">[10]表三甲!#REF!</definedName>
    <definedName name="\xx">[10]表三甲!#REF!</definedName>
    <definedName name="\z">[10]表三甲!#REF!</definedName>
    <definedName name="\zz">[10]表三甲!#REF!</definedName>
    <definedName name="_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LBL_A" hidden="1">#REF!</definedName>
    <definedName name="__123Graph_LBL_C" hidden="1">#REF!</definedName>
    <definedName name="__123Graph_X" hidden="1">#REF!</definedName>
    <definedName name="_0" hidden="1">'[12]关联交易-存款'!#REF!</definedName>
    <definedName name="_0.dbf">#REF!</definedName>
    <definedName name="_000.03.dbf">#REF!</definedName>
    <definedName name="_00103应收货款余额表.dbf">#REF!</definedName>
    <definedName name="_00database" hidden="1">'[12]关联交易-存款'!#REF!</definedName>
    <definedName name="_0月31日">#REF!</definedName>
    <definedName name="_1">#REF!</definedName>
    <definedName name="_1_">#REF!</definedName>
    <definedName name="_1_?">#REF!</definedName>
    <definedName name="_10" hidden="1">'[12]关联交易-存款'!#REF!</definedName>
    <definedName name="_10_2004009P1">#REF!</definedName>
    <definedName name="_10Print_Area_00v00__00_00_\________0.00\_______損_鑼_T_R__z揻_?00_0_0_0__?Vo__000______000?T00000?_0_00000B0___0鞊?w_0000_0_斪_萟?00_000?_000?_0_?000000_0詶__????_?">#REF!</definedName>
    <definedName name="_11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_11_2004012P1">#REF!</definedName>
    <definedName name="_11u1_" hidden="1">{"capacity",#N/A,FALSE,"Hefei";"Volume",#N/A,FALSE,"Hefei"}</definedName>
    <definedName name="_12" hidden="1">{"负债及权益",#N/A,FALSE,"TB-BS"}</definedName>
    <definedName name="_12u1001_" hidden="1">{"capacity",#N/A,FALSE,"Hefei";"Volume",#N/A,FALSE,"Hefei"}</definedName>
    <definedName name="_12其他资产_开办费除外_明细表">#REF!</definedName>
    <definedName name="_13" hidden="1">{"现金主表",#N/A,FALSE,"正式Cashflow"}</definedName>
    <definedName name="_13U600_" hidden="1">{#N/A,#N/A,FALSE,"资产负债表";#N/A,#N/A,FALSE,"资产负债表"}</definedName>
    <definedName name="_14wrn.²Ä1­Ó¤ë1_Ü20¤H." hidden="1">{#N/A,#N/A,FALSE,"²Ä1­Ó¤ë"}</definedName>
    <definedName name="_2">#REF!</definedName>
    <definedName name="_2_??????">#REF!</definedName>
    <definedName name="_2G300_" hidden="1">#REF!</definedName>
    <definedName name="_3">#REF!</definedName>
    <definedName name="_3_2003002K8">#REF!</definedName>
    <definedName name="_333">#REF!</definedName>
    <definedName name="_3O1_" hidden="1">{#N/A,#N/A,FALSE,"970301";#N/A,#N/A,FALSE,"970302";#N/A,#N/A,FALSE,"970303";#N/A,#N/A,FALSE,"970304";#N/A,#N/A,FALSE,"COM1";#N/A,#N/A,FALSE,"COM2"}</definedName>
    <definedName name="_4">#REF!</definedName>
    <definedName name="_4_2003002KA">#REF!</definedName>
    <definedName name="_40" hidden="1">{"现金主表",#N/A,FALSE,"正式Cashflow"}</definedName>
    <definedName name="_4P100_" hidden="1">{#N/A,#N/A,FALSE,"²Ä1­Ó¤ë"}</definedName>
    <definedName name="_5">#REF!</definedName>
    <definedName name="_5_2003002KC">#REF!</definedName>
    <definedName name="_5P200_" hidden="1">{#N/A,#N/A,FALSE,"YTCHAN";#N/A,#N/A,FALSE,"TOMMY";#N/A,#N/A,FALSE,"REP.OFFICE";#N/A,#N/A,FALSE,"E&amp;Y_CONSULTANT";#N/A,#N/A,FALSE,"BT &amp; CIT"}</definedName>
    <definedName name="_6_2003002P1">#REF!</definedName>
    <definedName name="_650_35500">#REF!</definedName>
    <definedName name="_6P300_" hidden="1">{#N/A,#N/A,FALSE,"资产负债表";#N/A,#N/A,FALSE,"资产负债表"}</definedName>
    <definedName name="_7_2003007KA">#REF!</definedName>
    <definedName name="_7P320_" hidden="1">{#N/A,#N/A,FALSE,"资产负债表";#N/A,#N/A,FALSE,"资产负债表"}</definedName>
    <definedName name="_8_2004001KF">#REF!</definedName>
    <definedName name="_8P400_" hidden="1">{#N/A,#N/A,FALSE,"FREEMAN";#N/A,#N/A,FALSE,"STEPHEN";#N/A,#N/A,FALSE,"VICTOR"}</definedName>
    <definedName name="_9_2004001P1">#REF!</definedName>
    <definedName name="_999年12月31日股份应收帐款.dbf">#REF!</definedName>
    <definedName name="_9Print_Area_00_00_mPM_Red_\________0.00\_▏_0000P_?詶D9寭o___0000P__0D9D9??_0趽詶__00?__D9__0000P__0D9_0_000__紦?__0000P__0D9_0_0D9P_険D_?___P_000000_0詶__????_?瞰_Ȝ㾒瞱60_0">#REF!</definedName>
    <definedName name="_A474260">#REF!</definedName>
    <definedName name="_Fill" hidden="1">#REF!</definedName>
    <definedName name="_xlnm._FilterDatabase" hidden="1">'[12]关联交易-存款'!#REF!</definedName>
    <definedName name="_Key1" hidden="1">#REF!</definedName>
    <definedName name="_Key2" hidden="1">#REF!</definedName>
    <definedName name="_Key3" hidden="1">#REF!</definedName>
    <definedName name="_LF12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Table2_In1" hidden="1">[13]INVDAYS!#REF!</definedName>
    <definedName name="_Table2_In2" hidden="1">[13]INVDAYS!#REF!</definedName>
    <definedName name="_ZF12" hidden="1">#REF!</definedName>
    <definedName name="_查询1">#REF!</definedName>
    <definedName name="_月应付款明细">#REF!</definedName>
    <definedName name="a">#REF!</definedName>
    <definedName name="Ã÷Ï¸ÕË">#REF!</definedName>
    <definedName name="aa">#REF!</definedName>
    <definedName name="AAA" hidden="1">#REF!</definedName>
    <definedName name="abc">#REF!</definedName>
    <definedName name="AccessDatabase" hidden="1">"F:\Track-Pur\Sachs-2000.mdb"</definedName>
    <definedName name="adfasdf" hidden="1">{#N/A,#N/A,FALSE,"资产负债表";#N/A,#N/A,FALSE,"资产负债表"}</definedName>
    <definedName name="adfasdfas" hidden="1">{#N/A,#N/A,FALSE,"资产负债表";#N/A,#N/A,FALSE,"资产负债表"}</definedName>
    <definedName name="ads">#REF!</definedName>
    <definedName name="afsdavad" hidden="1">#REF!</definedName>
    <definedName name="AGEDDATABASE" hidden="1">{#N/A,#N/A,FALSE,"970301";#N/A,#N/A,FALSE,"970302";#N/A,#N/A,FALSE,"970303";#N/A,#N/A,FALSE,"970304";#N/A,#N/A,FALSE,"COM1";#N/A,#N/A,FALSE,"COM2"}</definedName>
    <definedName name="All">#REF!</definedName>
    <definedName name="All_Out">#REF!</definedName>
    <definedName name="AS2DocOpenMode" hidden="1">"AS2DocumentEdit"</definedName>
    <definedName name="AS2HasNoAutoHeaderFooter" hidden="1">" "</definedName>
    <definedName name="asfads" hidden="1">{#N/A,#N/A,FALSE,"FREEMAN";#N/A,#N/A,FALSE,"STEPHEN";#N/A,#N/A,FALSE,"VICTOR"}</definedName>
    <definedName name="asfasdf" hidden="1">#REF!</definedName>
    <definedName name="Aux_Mat_Out">#REF!</definedName>
    <definedName name="B">#REF!</definedName>
    <definedName name="bb">#REF!</definedName>
    <definedName name="BB1_">#REF!</definedName>
    <definedName name="bj">#REF!</definedName>
    <definedName name="body" localSheetId="16">'[14]资产负债表-2017'!$C$6:$H$36</definedName>
    <definedName name="bzw">#REF!</definedName>
    <definedName name="CBU_Out">#REF!</definedName>
    <definedName name="cc">#N/A</definedName>
    <definedName name="ccp">#REF!</definedName>
    <definedName name="clah">#REF!</definedName>
    <definedName name="clz">#REF!</definedName>
    <definedName name="Coll" hidden="1">{#N/A,#N/A,FALSE,"970301";#N/A,#N/A,FALSE,"970302";#N/A,#N/A,FALSE,"970303";#N/A,#N/A,FALSE,"970304";#N/A,#N/A,FALSE,"COM1";#N/A,#N/A,FALSE,"COM2"}</definedName>
    <definedName name="cqjk.dbf">#REF!</definedName>
    <definedName name="cqtz.dbf">#REF!</definedName>
    <definedName name="cwfy.dbf">#REF!</definedName>
    <definedName name="Database">[15]B!#REF!</definedName>
    <definedName name="DBS" hidden="1">#REF!</definedName>
    <definedName name="dd" hidden="1">#REF!</definedName>
    <definedName name="DFDF" hidden="1">#REF!</definedName>
    <definedName name="dhp">#REF!</definedName>
    <definedName name="Document_array">{"Book1","评估表样1.xls"}</definedName>
    <definedName name="DPL" hidden="1">#REF!</definedName>
    <definedName name="dqjk.dbf">[16]短期借款审定表!#REF!</definedName>
    <definedName name="ee">#REF!</definedName>
    <definedName name="eylogo">#REF!</definedName>
    <definedName name="FC" hidden="1">#REF!</definedName>
    <definedName name="ff">#REF!</definedName>
    <definedName name="fg">[17]Part_Datum!#REF!</definedName>
    <definedName name="FG_In">#REF!</definedName>
    <definedName name="FG_In_1999">#REF!</definedName>
    <definedName name="Format">#REF!</definedName>
    <definedName name="gdk" hidden="1">#REF!</definedName>
    <definedName name="general" hidden="1">#REF!</definedName>
    <definedName name="gg">#REF!</definedName>
    <definedName name="ggg" hidden="1">{#N/A,#N/A,FALSE,"²Ä1­Ó¤ë"}</definedName>
    <definedName name="grid" localSheetId="16">'[14]资产负债表-2017'!$C$6:$H$36</definedName>
    <definedName name="GWG_Out">#REF!</definedName>
    <definedName name="head" localSheetId="16">'[14]资产负债表-2017'!$A$4:$H$4</definedName>
    <definedName name="Header">#REF!</definedName>
    <definedName name="hhh" hidden="1">{#N/A,#N/A,FALSE,"FREEMAN";#N/A,#N/A,FALSE,"STEPHEN";#N/A,#N/A,FALSE,"VICTOR"}</definedName>
    <definedName name="jjjjj" hidden="1">#REF!</definedName>
    <definedName name="kkk" hidden="1">{#N/A,#N/A,FALSE,"OffAdvance";#N/A,#N/A,FALSE,"OffExpRprt";#N/A,#N/A,FALSE,"Entertmnt";#N/A,#N/A,FALSE,"Promotion";#N/A,#N/A,FALSE,"Travelling"}</definedName>
    <definedName name="L">[10]表三甲!#REF!</definedName>
    <definedName name="lf" hidden="1">#REF!</definedName>
    <definedName name="ll">[10]表三甲!#REF!</definedName>
    <definedName name="M">[10]表三甲!#REF!</definedName>
    <definedName name="mm">[10]表三甲!#REF!</definedName>
    <definedName name="N">[10]表三甲!#REF!</definedName>
    <definedName name="oliver">{"Book1","评估表样1.xls"}</definedName>
    <definedName name="P">[10]表三甲!#REF!</definedName>
    <definedName name="Package">#REF!</definedName>
    <definedName name="Page1">[18]调整凭证!$A$1:$AK$18</definedName>
    <definedName name="Part_Out">#REF!</definedName>
    <definedName name="part2">#REF!</definedName>
    <definedName name="parts">#REF!</definedName>
    <definedName name="PEAK">#REF!</definedName>
    <definedName name="pp">[10]表三甲!#REF!</definedName>
    <definedName name="pppp">#REF!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urchase_In">#REF!</definedName>
    <definedName name="Purchase_In_1999">#REF!</definedName>
    <definedName name="qq">#REF!</definedName>
    <definedName name="qqq">#N/A</definedName>
    <definedName name="RawData">#REF!</definedName>
    <definedName name="rr">#N/A</definedName>
    <definedName name="SALES_TRANSACTION_TEST_DETAILS">#REF!</definedName>
    <definedName name="SAPBEXrevision" hidden="1">6</definedName>
    <definedName name="SAPBEXsysID" hidden="1">"AW1"</definedName>
    <definedName name="SAPBEXwbID" hidden="1">"3OHOMDSTKMDZCD0XFTR7RJ7Z1"</definedName>
    <definedName name="sf" hidden="1">#REF!</definedName>
    <definedName name="ss">#REF!</definedName>
    <definedName name="sx">#REF!</definedName>
    <definedName name="t_Schema">[19]t_Schema!$A$1:$T$41</definedName>
    <definedName name="TextRefCopyRangeCount" hidden="1">4</definedName>
    <definedName name="Trade_Debtor_Current">'[20]F101'!#REF!</definedName>
    <definedName name="Trade_Debtor_Prior">'[20]F101'!#REF!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0415100427">#REF!</definedName>
    <definedName name="UFPrn20010306022432">#REF!</definedName>
    <definedName name="UFPrn20010404154543">#REF!</definedName>
    <definedName name="UFPrn20011115160155">#REF!</definedName>
    <definedName name="UFPrn20011115160249">#REF!</definedName>
    <definedName name="UFPrn20011130051947">#REF!</definedName>
    <definedName name="UFPrn20011204102430">#REF!</definedName>
    <definedName name="UFPrn20011231085212">#REF!</definedName>
    <definedName name="UFPrn20011231090848">#REF!</definedName>
    <definedName name="UFPrn20011231163615">#REF!</definedName>
    <definedName name="UFPrn20011231213002">#REF!</definedName>
    <definedName name="UFPrn20020117102937">'[21]其他应付款4-12月份明细表'!#REF!</definedName>
    <definedName name="UFPrn20020117110216">#REF!</definedName>
    <definedName name="UFPrn20020117140725">[22]数外余额!$A$3:$Y$270</definedName>
    <definedName name="UFPrn20020408141614">#REF!</definedName>
    <definedName name="UFPrn20020408171214">#REF!</definedName>
    <definedName name="UFPrn20020410143650">#REF!</definedName>
    <definedName name="UFPrn20020709213600">#REF!</definedName>
    <definedName name="UFPrn20020812163731">#REF!</definedName>
    <definedName name="UFPrn20020812163943">#REF!</definedName>
    <definedName name="UFPrn20021105185509">'[23]A.R 01'!$A$1:$Q$47</definedName>
    <definedName name="UFPrn20030101190338">#REF!</definedName>
    <definedName name="UFPrn20030106145022">#REF!</definedName>
    <definedName name="UFPrn20030111092358">#REF!</definedName>
    <definedName name="UFPrn20030111132259">#REF!</definedName>
    <definedName name="UFPrn20030111132615">#REF!</definedName>
    <definedName name="UFPrn20030209153119">#REF!</definedName>
    <definedName name="UFPrn20030209153219">#REF!</definedName>
    <definedName name="UFPrn20030625090333">#REF!</definedName>
    <definedName name="UFPrn2003062590388">#REF!</definedName>
    <definedName name="UFPrn20040203140057">#REF!</definedName>
    <definedName name="UFPrn20040925123312">#REF!</definedName>
    <definedName name="UFPrn20040925181148">#REF!</definedName>
    <definedName name="UFPrn20041020104759">#REF!</definedName>
    <definedName name="UFPrn20041027144814">#REF!</definedName>
    <definedName name="UFPrn20041027160622">#REF!</definedName>
    <definedName name="UFPrn20041029115420">#REF!</definedName>
    <definedName name="UFPrn20041029115455">#REF!</definedName>
    <definedName name="UFPrn20041029115518">#REF!</definedName>
    <definedName name="UFPrn20041029115519">#REF!</definedName>
    <definedName name="UFPrn20041029115551">#REF!</definedName>
    <definedName name="UFPrn20041029115617">#REF!</definedName>
    <definedName name="UFPrn20041029115641">#REF!</definedName>
    <definedName name="UFPrn20041208155748">#REF!</definedName>
    <definedName name="UFPrn20041208155819">#REF!</definedName>
    <definedName name="UFPrn20050120133358">#REF!</definedName>
    <definedName name="UFPrn20050120133440">#REF!</definedName>
    <definedName name="UFPrn20050120133457">#REF!</definedName>
    <definedName name="UFPrn20050120133510">#REF!</definedName>
    <definedName name="UFPrn20050120160950">#REF!</definedName>
    <definedName name="UFPrn20050120161016">#REF!</definedName>
    <definedName name="UFPrn20050120161058">#REF!</definedName>
    <definedName name="UFPrn20050124104145">#REF!</definedName>
    <definedName name="UFPrn20050125104640">#REF!</definedName>
    <definedName name="UFPrn20050718103731">#REF!</definedName>
    <definedName name="UFPrn20051115112249">#REF!</definedName>
    <definedName name="UFPrn20051115123739">#REF!</definedName>
    <definedName name="UFPrn20051115125146">#REF!</definedName>
    <definedName name="UFPrn20051117161106">#REF!</definedName>
    <definedName name="UFPrn20051117161146">#REF!</definedName>
    <definedName name="UFPrn20051118103933">#REF!</definedName>
    <definedName name="UFPrn20051118124044">#REF!</definedName>
    <definedName name="UFPrn20051118124105">#REF!</definedName>
    <definedName name="UFPrn20051118124235">#REF!</definedName>
    <definedName name="UFPrn20051118124249">#REF!</definedName>
    <definedName name="UFPrn20051118130051">#REF!</definedName>
    <definedName name="UFPrn20051118130453">#REF!</definedName>
    <definedName name="UFPrn20051224104321">#REF!</definedName>
    <definedName name="UFPrn20051224104453">#REF!</definedName>
    <definedName name="UFPrn20060104085800">#REF!</definedName>
    <definedName name="UFPrn20060109095821">#REF!</definedName>
    <definedName name="UFPrn20060109095855">#REF!</definedName>
    <definedName name="UFPrn20060116131041">#REF!</definedName>
    <definedName name="UFPrn20060116131056">#REF!</definedName>
    <definedName name="UFPrn20060116131454">#REF!</definedName>
    <definedName name="UFPrn20060116132051">#REF!</definedName>
    <definedName name="UFPrn20060116133316">#REF!</definedName>
    <definedName name="UFPrn20060117153704">#REF!</definedName>
    <definedName name="UFPrn20060117154309">#REF!</definedName>
    <definedName name="werwefasd" hidden="1">#REF!</definedName>
    <definedName name="wrn.ERNST." hidden="1">{#N/A,#N/A,FALSE,"YTCHAN";#N/A,#N/A,FALSE,"TOMMY";#N/A,#N/A,FALSE,"REP.OFFICE";#N/A,#N/A,FALSE,"E&amp;Y_CONSULTANT";#N/A,#N/A,FALSE,"BT &amp; CIT"}</definedName>
    <definedName name="wrn.form." hidden="1">{#N/A,#N/A,FALSE,"OffAdvance";#N/A,#N/A,FALSE,"OffExpRprt";#N/A,#N/A,FALSE,"Entertmnt";#N/A,#N/A,FALSE,"Promotion";#N/A,#N/A,FALSE,"Travelling"}</definedName>
    <definedName name="wrn.gb." hidden="1">{#N/A,#N/A,FALSE,"资产负债表";#N/A,#N/A,FALSE,"资产负债表"}</definedName>
    <definedName name="wrn.GM." hidden="1">{"capacity",#N/A,FALSE,"Guangzhou";"Volume",#N/A,FALSE,"Guangmei"}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Z." hidden="1">{"capacity",#N/A,FALSE,"Hangzhou";"volume",#N/A,FALSE,"Hangzhou"}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NJ." hidden="1">{"Volume",#N/A,FALSE,"Nanjing";"capacity",#N/A,FALSE,"Nanjing"}</definedName>
    <definedName name="wrn.Office." hidden="1">{#N/A,#N/A,FALSE,"OffAdvance";#N/A,#N/A,FALSE,"OffExpRprt";#N/A,#N/A,FALSE,"Travelling";#N/A,#N/A,FALSE,"Entertmnt";#N/A,#N/A,FALSE,"Promotion"}</definedName>
    <definedName name="wrn.REPORT." hidden="1">{#N/A,#N/A,FALSE,"Sales  total 9712";#N/A,#N/A,FALSE,"Sales  total 9712";#N/A,#N/A,FALSE,"Sales  total 9712";#N/A,#N/A,FALSE,"Sales  total 9712"}</definedName>
    <definedName name="wrn.Sales." hidden="1">{#N/A,#N/A,FALSE,"Marketing";#N/A,#N/A,FALSE,"Selling";#N/A,#N/A,FALSE,"Promotional";#N/A,#N/A,FALSE,"Advertising"}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unmicro." hidden="1">{#N/A,#N/A,FALSE,"FREEMAN";#N/A,#N/A,FALSE,"STEPHEN";#N/A,#N/A,FALSE,"VICTOR"}</definedName>
    <definedName name="wrn.voucher9703." hidden="1">{#N/A,#N/A,FALSE,"970301";#N/A,#N/A,FALSE,"970302";#N/A,#N/A,FALSE,"970303";#N/A,#N/A,FALSE,"970304";#N/A,#N/A,FALSE,"COM1";#N/A,#N/A,FALSE,"COM2"}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负债及权益." hidden="1">{"负债及权益",#N/A,FALSE,"TB-BS"}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ww">#REF!</definedName>
    <definedName name="xdsdgfdh" hidden="1">#REF!</definedName>
    <definedName name="xsd" hidden="1">#REF!</definedName>
    <definedName name="XXXXXXXXXXXX" hidden="1">#REF!</definedName>
    <definedName name="xyz" hidden="1">#REF!</definedName>
    <definedName name="ye" hidden="1">#REF!</definedName>
    <definedName name="ysh1">#REF!</definedName>
    <definedName name="YYY" hidden="1">#REF!</definedName>
    <definedName name="zlfx_2001bak">#REF!</definedName>
    <definedName name="ZZZZZZZZZZZZZ" hidden="1">#REF!</definedName>
    <definedName name="报表">#REF!</definedName>
    <definedName name="备用" hidden="1">{#N/A,#N/A,FALSE,"OffAdvance";#N/A,#N/A,FALSE,"OffExpRprt";#N/A,#N/A,FALSE,"Entertmnt";#N/A,#N/A,FALSE,"Promotion";#N/A,#N/A,FALSE,"Travelling"}</definedName>
    <definedName name="本页小计">#REF!</definedName>
    <definedName name="查询1">#REF!</definedName>
    <definedName name="存货93期初">[24]企业表一!$C$7</definedName>
    <definedName name="存货93期末">[24]企业表一!$D$7</definedName>
    <definedName name="存货94期初">[24]企业表一!$E$7</definedName>
    <definedName name="存货94期末">[24]企业表一!$F$7</definedName>
    <definedName name="存货95期初">[24]企业表一!$G$7</definedName>
    <definedName name="存货95期末">[24]企业表一!$H$7</definedName>
    <definedName name="待处理固定资产净损失明细表">#REF!</definedName>
    <definedName name="短期投资_债券_明细表">#REF!</definedName>
    <definedName name="儿女">#REF!</definedName>
    <definedName name="费用" hidden="1">#REF!</definedName>
    <definedName name="辅助设备">#REF!</definedName>
    <definedName name="负债合计93期末">[24]企业表一!$D$17</definedName>
    <definedName name="负债合计94期末">[24]企业表一!$F$17</definedName>
    <definedName name="负债合计95期末">[24]企业表一!$H$17</definedName>
    <definedName name="附注德阳">{"Book1","评估表样1.xls"}</definedName>
    <definedName name="共用工程">#REF!</definedName>
    <definedName name="构造物">#REF!</definedName>
    <definedName name="固定资产变动情况表">#REF!</definedName>
    <definedName name="管理费用明细表">#REF!</definedName>
    <definedName name="合并价差明细表">#REF!</definedName>
    <definedName name="合并科目名称" localSheetId="16">[25]Sheet1!$A$2:$A$908</definedName>
    <definedName name="核算项目明细账" localSheetId="16">[26]核算项目明细账!$A$1:$K$157</definedName>
    <definedName name="坏帐准备明细表">#REF!</definedName>
    <definedName name="汇率">#REF!</definedName>
    <definedName name="汇总">[27]资产负债表!#REF!</definedName>
    <definedName name="会计分录序时簿" localSheetId="16">#REF!</definedName>
    <definedName name="机器设备评估明细表">#REF!</definedName>
    <definedName name="减值追备">{"Book1","评估表样1.xls"}</definedName>
    <definedName name="借款" hidden="1">{#N/A,#N/A,FALSE,"970301";#N/A,#N/A,FALSE,"970302";#N/A,#N/A,FALSE,"970303";#N/A,#N/A,FALSE,"970304";#N/A,#N/A,FALSE,"COM1";#N/A,#N/A,FALSE,"COM2"}</definedName>
    <definedName name="净_利_润93">'[24]M-5C'!$B$24</definedName>
    <definedName name="净_利_润94">'[24]M-5C'!$D$24</definedName>
    <definedName name="净_利_润95">'[24]M-5C'!$F$24</definedName>
    <definedName name="净资产合计93期初">[24]企业表一!$C$20</definedName>
    <definedName name="净资产合计93期末">[24]企业表一!$D$20</definedName>
    <definedName name="净资产合计94期初">[24]企业表一!$E$20</definedName>
    <definedName name="净资产合计94期末">[24]企业表一!$F$20</definedName>
    <definedName name="净资产合计95期初">[24]企业表一!$G$20</definedName>
    <definedName name="净资产合计95期末">[24]企业表一!$H$20</definedName>
    <definedName name="科目余额表" localSheetId="16">#REF!</definedName>
    <definedName name="累计折旧明细表">#REF!</definedName>
    <definedName name="利_润_总_额93">'[24]M-5A'!$B$10</definedName>
    <definedName name="利_润_总_额94">'[24]M-5A'!$C$10</definedName>
    <definedName name="利_润_总_额95">'[24]M-5A'!$D$10</definedName>
    <definedName name="流_动_资_产93">'[24]M-5A'!$B$15</definedName>
    <definedName name="流_动_资_产94">'[24]M-5A'!$C$15</definedName>
    <definedName name="流_动_资_产95">'[24]M-5A'!$D$15</definedName>
    <definedName name="流动负债93期末">[24]企业表一!$D$15</definedName>
    <definedName name="流动负债94期末">[24]企业表一!$F$15</definedName>
    <definedName name="流动负债95期末">[24]企业表一!$H$15</definedName>
    <definedName name="明细分类账" localSheetId="16">#REF!</definedName>
    <definedName name="其他货币资金明细表">#REF!</definedName>
    <definedName name="其他未交款明细表">#REF!</definedName>
    <definedName name="其他应付款明细表">#REF!</definedName>
    <definedName name="其他应收款明细表">#REF!</definedName>
    <definedName name="其他长期债权投资明细表">#REF!</definedName>
    <definedName name="商品房">#REF!</definedName>
    <definedName name="设备">[28]设备部房屋!$C$5:$AC$108</definedName>
    <definedName name="沈玉环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[29]资产负债表!#REF!</definedName>
    <definedName name="生产期500">[29]资产负债表!#REF!</definedName>
    <definedName name="生产期6">#REF!</definedName>
    <definedName name="生产期7">#REF!</definedName>
    <definedName name="生产期8">#REF!</definedName>
    <definedName name="生产期9">#REF!</definedName>
    <definedName name="生活福利">#REF!</definedName>
    <definedName name="试验" hidden="1">{#N/A,#N/A,FALSE,"OffAdvance";#N/A,#N/A,FALSE,"OffExpRprt";#N/A,#N/A,FALSE,"Travelling";#N/A,#N/A,FALSE,"Entertmnt";#N/A,#N/A,FALSE,"Promotion"}</definedName>
    <definedName name="收入">#REF!</definedName>
    <definedName name="速_动_资_产93">'[24]M-5A'!$B$14</definedName>
    <definedName name="速_动_资_产94">'[24]M-5A'!$C$14</definedName>
    <definedName name="速_动_资_产95">'[24]M-5A'!$D$14</definedName>
    <definedName name="投资收益明细表">#REF!</definedName>
    <definedName name="无对应明细表的报表项目">#REF!</definedName>
    <definedName name="阳平公司">#REF!</definedName>
    <definedName name="仪器仪表">#REF!</definedName>
    <definedName name="应付股利明细表">#REF!</definedName>
    <definedName name="应收货款余额表.dbf">#REF!</definedName>
    <definedName name="应收帐款93期初">[24]企业表一!$C$6</definedName>
    <definedName name="应收帐款93期末">[24]企业表一!$D$6</definedName>
    <definedName name="应收帐款94期初">[24]企业表一!$E$6</definedName>
    <definedName name="应收帐款94期末">[24]企业表一!$F$6</definedName>
    <definedName name="应收帐款95期初">[24]企业表一!$G$6</definedName>
    <definedName name="应收帐款95期末">[24]企业表一!$H$6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费用明细账">#REF!</definedName>
    <definedName name="营业外支出明细表">#REF!</definedName>
    <definedName name="余额调节表">#REF!</definedName>
    <definedName name="预付帐款明细表">#REF!</definedName>
    <definedName name="预收">#REF!</definedName>
    <definedName name="预收货款明细表">#REF!</definedName>
    <definedName name="主要设备">'[30]K140'!#REF!</definedName>
    <definedName name="资产合计93期初">[24]企业表一!$C$14</definedName>
    <definedName name="资产合计93期末">[24]企业表一!$D$14</definedName>
    <definedName name="资产合计94期初">[24]企业表一!$E$14</definedName>
    <definedName name="资产合计94期末">[24]企业表一!$F$14</definedName>
    <definedName name="资产合计95期初">[24]企业表一!$G$14</definedName>
    <definedName name="资产合计95期末">[24]企业表一!$H$14</definedName>
    <definedName name="전">#REF!</definedName>
    <definedName name="주택사업본부">#REF!</definedName>
    <definedName name="철구사업본부">#REF!</definedName>
  </definedNames>
  <calcPr calcId="191029" concurrentCalc="0"/>
  <pivotCaches>
    <pivotCache cacheId="0" r:id="rId28"/>
    <pivotCache cacheId="1" r:id="rId29"/>
    <pivotCache cacheId="2" r:id="rId30"/>
    <pivotCache cacheId="3" r:id="rId31"/>
    <pivotCache cacheId="4" r:id="rId32"/>
    <pivotCache cacheId="5" r:id="rId33"/>
    <pivotCache cacheId="6" r:id="rId3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wjj526</author>
    <author>wjj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累计GMV(福禄控股+企福)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填写累计毛利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填写累计净利润
每月截图给郎芳</t>
        </r>
      </text>
    </comment>
    <comment ref="R15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Q1按照1-3月的消耗金额摊销的？</t>
        </r>
      </text>
    </comment>
    <comment ref="R1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Q1按照1-3月的消耗金额摊销的？
</t>
        </r>
      </text>
    </comment>
    <comment ref="R2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Q1按照1-3月的消耗金额摊销的？
</t>
        </r>
      </text>
    </comment>
    <comment ref="R2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Q1按照1-3月的消耗金额摊销的？</t>
        </r>
      </text>
    </comment>
    <comment ref="C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赵巍的表Q列</t>
        </r>
      </text>
    </comment>
    <comment ref="H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账面成本-佣金服务费，取损益表本年累计金额</t>
        </r>
      </text>
    </comment>
    <comment ref="J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赵巍表企福的含税差额收入</t>
        </r>
      </text>
    </comment>
    <comment ref="C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1-5月海客的GMV及毛利划到投资公司
</t>
        </r>
      </text>
    </comment>
    <comment ref="G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需加上襄阳福穗利润</t>
        </r>
      </text>
    </comment>
    <comment ref="E9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剔除企福计提的252万推广费（=752-500）：
福喜公司单体，预提推广费 452万；预提年终奖 300万，合计计提752万，否则福喜公司单体要缴纳205万企业所得税。
预提费用的部分中，有2-3月的233.4+244＝477.4万未发放的业务提成及少量1月提成未报销完毕的提成，累计在500万左右。</t>
        </r>
      </text>
    </comment>
    <comment ref="K9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剔除企福计提的252万推广费（=752-500）：
福喜公司单体，预提推广费 452万；预提年终奖 300万，合计计提752万，否则福喜公司单体要缴纳205万企业所得税。
预提费用的部分中，有2-3月的233.4+244＝477.4万未发放的业务提成及少量1月提成未报销完毕的提成，累计在500万左右。</t>
        </r>
      </text>
    </comment>
    <comment ref="E9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福喜公司单体，3月预提推广费 452万；预提年终奖 300万，合计计提752万；
              4月冲销预提年中间奖 300万；</t>
        </r>
      </text>
    </comment>
    <comment ref="K9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福喜公司单体，3月预提推广费 452万；预提年终奖 300万，合计计提752万；
              4月冲销预提年中间奖 300万；</t>
        </r>
      </text>
    </comment>
    <comment ref="E99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福喜公司单体，3月预提推广费 452万；预提年终奖 300万，合计计提752万；
              4月冲销预提年中间奖 300万；
上海灵盟单体：截止5月亏损-561.668</t>
        </r>
      </text>
    </comment>
    <comment ref="K99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福喜公司单体，3月预提推广费 452万；预提年终奖 300万，合计计提752万；
              4月冲销预提年中间奖 300万；
上海灵盟单体：截止5月亏损-561.668</t>
        </r>
      </text>
    </comment>
    <comment ref="E100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截止630，上海灵盟亏损-5666980.5；
襄阳福穗亏损 -651.81；</t>
        </r>
      </text>
    </comment>
    <comment ref="K100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截止630，上海灵盟亏损-5666980.5；
襄阳福穗亏损 -651.81；</t>
        </r>
      </text>
    </comment>
    <comment ref="K101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襄阳福穗截止7月亏损-131806.45；</t>
        </r>
      </text>
    </comment>
    <comment ref="K102" authorId="2">
      <text>
        <r>
          <rPr>
            <b/>
            <sz val="9"/>
            <rFont val="宋体"/>
            <charset val="134"/>
          </rPr>
          <t xml:space="preserve">wjj
</t>
        </r>
        <r>
          <rPr>
            <sz val="9"/>
            <rFont val="宋体"/>
            <charset val="134"/>
          </rPr>
          <t>襄阳福穗8月累计亏损：-162938.67</t>
        </r>
      </text>
    </comment>
    <comment ref="F103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中智项目1-9月累计净利润；</t>
        </r>
      </text>
    </comment>
    <comment ref="K103" authorId="2">
      <text>
        <r>
          <rPr>
            <sz val="9"/>
            <rFont val="宋体"/>
            <charset val="134"/>
          </rPr>
          <t>襄阳福穗截止9月累计亏损：-562448.17</t>
        </r>
      </text>
    </comment>
    <comment ref="K104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襄阳福穗截止9月累计亏损：-778927.73</t>
        </r>
      </text>
    </comment>
    <comment ref="K105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襄阳福穗截止11月累计亏损：-808652.59</t>
        </r>
      </text>
    </comment>
    <comment ref="K106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襄阳福穗截止11月累计亏损：-901681</t>
        </r>
      </text>
    </comment>
    <comment ref="K107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襄阳福穗24.1月亏损：-53478.02</t>
        </r>
      </text>
    </comment>
    <comment ref="H1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赵巍表页签-企业福利</t>
        </r>
      </text>
    </comment>
    <comment ref="K108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襄阳福穗24.1-2月亏损：-74972.27</t>
        </r>
      </text>
    </comment>
    <comment ref="K1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襄阳福穗1-3月累计净利润1158988.92</t>
        </r>
      </text>
    </comment>
    <comment ref="K1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襄阳福穗1-4月累计净利润：1149507.03</t>
        </r>
      </text>
    </comment>
    <comment ref="K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襄阳福穗1-5月累计净利润：1131044.23</t>
        </r>
      </text>
    </comment>
    <comment ref="K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襄阳福穗1-6净利润1127728.67</t>
        </r>
      </text>
    </comment>
    <comment ref="A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范围：企福&amp;襄阳福穗</t>
        </r>
      </text>
    </comment>
    <comment ref="G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范围：企福&amp;襄阳福穗</t>
        </r>
      </text>
    </comment>
    <comment ref="G1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范围：企福&amp;灵工推广&amp;游戏直播&amp;直播电商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赵巍现金流分析表里是累计净利润，需换算成月度金额</t>
        </r>
      </text>
    </comment>
    <comment ref="C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赵巍现金流分析表里是累计净利润，需换算成月度金额</t>
        </r>
      </text>
    </comment>
    <comment ref="D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减海客1月利润</t>
        </r>
      </text>
    </comment>
    <comment ref="E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赵巍现金流分析表简表万元体内利润</t>
        </r>
      </text>
    </comment>
    <comment ref="G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赵巍现金流分析表里是累计净利润，需换算成月度金额
</t>
        </r>
      </text>
    </comment>
    <comment ref="H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5月开始体内利润不算
海客，从1月开始减掉海客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wjj526</author>
    <author>wjj</author>
  </authors>
  <commentList>
    <comment ref="A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BI损益毛利明细表GMV非关联含税销售额</t>
        </r>
      </text>
    </comment>
    <comment ref="E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3月天猫+亿禄生活服务专营店 供货西藏福禄1350万金瓜子；</t>
        </r>
      </text>
    </comment>
    <comment ref="E35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4月天猫+亿禄生活服务专营店 供货西藏福禄1250万金瓜子；
</t>
        </r>
      </text>
    </comment>
    <comment ref="E42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11月 天猫+亿禄生活服务专营店1600万金瓜子；</t>
        </r>
      </text>
    </comment>
    <comment ref="E5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排除4月亿禄天猫店铺的金瓜子订单1230万；</t>
        </r>
      </text>
    </comment>
    <comment ref="E51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排除5月亿禄天猫店铺的金瓜子订单981万；
</t>
        </r>
      </text>
    </comment>
    <comment ref="E11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4月天猫+亿禄生活服务专营店 供货西藏福禄1350万金瓜子；
</t>
        </r>
      </text>
    </comment>
  </commentList>
</comments>
</file>

<file path=xl/comments4.xml><?xml version="1.0" encoding="utf-8"?>
<comments xmlns="http://schemas.openxmlformats.org/spreadsheetml/2006/main">
  <authors>
    <author>wjj526</author>
  </authors>
  <commentList>
    <comment ref="E41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亿禄天猫店铺的金瓜子1230万，需要排除掉</t>
        </r>
      </text>
    </comment>
    <comment ref="E59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亿禄天猫店铺的金瓜子1230万，需要排除掉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每月群里收集表</t>
        </r>
      </text>
    </comment>
  </commentList>
</comments>
</file>

<file path=xl/comments6.xml><?xml version="1.0" encoding="utf-8"?>
<comments xmlns="http://schemas.openxmlformats.org/spreadsheetml/2006/main">
  <authors>
    <author>Administrator</author>
    <author>wjj526</author>
    <author>wjj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账面销售收入+佣金-销售成本，换算1.06含税
加投资公司利润
减武汉福禄关联方推广费用抵消（当月数）
加福建财政补贴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剔除投资公司代运营（利润划拨含税部分）
博宽、海客、铭柏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2024.7起加上周口福蕊、咸宁福蕊财政补贴</t>
        </r>
      </text>
    </comment>
    <comment ref="D2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芒果TV返点收入301万；
腾讯12月活动补贴调减119.45万；
搜卡爱奇艺金融代运营调增114.59万；</t>
        </r>
      </text>
    </comment>
    <comment ref="E2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天猫网游店铺补销售785557.60；</t>
        </r>
      </text>
    </comment>
    <comment ref="D29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加投资公司毛利（按利润口径）*1.06</t>
        </r>
      </text>
    </comment>
    <comment ref="D3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加投资公司毛利（按利润口径）*1.06</t>
        </r>
      </text>
    </comment>
    <comment ref="D31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加投资公司毛利（按利润口径）*1.06</t>
        </r>
      </text>
    </comment>
    <comment ref="I32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调减了6月份投资公司利润转到体内部分；
仅调整毛利，不影响利润；</t>
        </r>
      </text>
    </comment>
    <comment ref="I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剔除8月投资公司转移利润；仅影响毛利，不影响利润；</t>
        </r>
      </text>
    </comment>
    <comment ref="W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剔除8月份弥补的投资公司亏损；</t>
        </r>
      </text>
    </comment>
    <comment ref="Y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剔除8月份弥补的投资公司亏损；
</t>
        </r>
      </text>
    </comment>
    <comment ref="Z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剔除8月确认的湖南湖禄转移的利润；</t>
        </r>
      </text>
    </comment>
    <comment ref="R3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武汉天识：社交电商中心-葫芦联盟推广请款支出；</t>
        </r>
      </text>
    </comment>
    <comment ref="Y3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剔除10月份弥补的投资公司亏损；</t>
        </r>
      </text>
    </comment>
    <comment ref="Z3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剔除10月确认的灵时云（苏州）转移的利润；
</t>
        </r>
      </text>
    </comment>
    <comment ref="I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4817798.29,调整博宽收入商品大类，从手游调整到“网娱”；</t>
        </r>
      </text>
    </comment>
    <comment ref="K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1、4817798.29,调整博宽收入商品大类，从手游调整到“网娱”；
</t>
        </r>
      </text>
    </comment>
    <comment ref="R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推广大使成本</t>
        </r>
      </text>
    </comment>
    <comment ref="S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冲销平安收入重复多计算140260；</t>
        </r>
      </text>
    </comment>
    <comment ref="Z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FP收取服务费；</t>
        </r>
      </text>
    </comment>
    <comment ref="K38" authorId="1">
      <text>
        <r>
          <rPr>
            <b/>
            <sz val="9"/>
            <rFont val="宋体"/>
            <charset val="134"/>
          </rPr>
          <t xml:space="preserve">wjj526:
</t>
        </r>
        <r>
          <rPr>
            <sz val="9"/>
            <rFont val="宋体"/>
            <charset val="134"/>
          </rPr>
          <t>剔除12月投资公司利润；</t>
        </r>
      </text>
    </comment>
    <comment ref="L3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11-12月大博恩代运营成本，错误计入“生活服务”194385.3；</t>
        </r>
      </text>
    </comment>
    <comment ref="Y3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剔除11-12月投资公司利润亏损；</t>
        </r>
      </text>
    </comment>
    <comment ref="Z3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1、剔除11-12月灵时/18.9万；
2、湖北银联云闪付立减金平台服务费79.8万；
3、杭州纽拜分佣1.4万；
4、永辉超市平台服务费分佣46183.9；</t>
        </r>
      </text>
    </comment>
    <comment ref="Y43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4-5月新疆福禄娃支付创想100万；</t>
        </r>
      </text>
    </comment>
    <comment ref="Z43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元气森林104万-93.6万=10.4万；
福穗的经纪服务收入毛利16.5万；</t>
        </r>
      </text>
    </comment>
    <comment ref="E50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12月确认平台券残值收益：9253417.11</t>
        </r>
      </text>
    </comment>
    <comment ref="D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加投资公司利润</t>
        </r>
      </text>
    </comment>
    <comment ref="K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减掉利润划拨：海客博宽铭柏代运营收入含税</t>
        </r>
      </text>
    </comment>
    <comment ref="Y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剔除西藏对四川云时47万的返佣补贴</t>
        </r>
      </text>
    </comment>
    <comment ref="R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有推广收入抵消</t>
        </r>
      </text>
    </comment>
    <comment ref="Y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剔除西藏福禄对南京梦橙平台服务成本</t>
        </r>
      </text>
    </comment>
    <comment ref="E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2024.7起加上福建财政补贴</t>
        </r>
      </text>
    </comment>
    <comment ref="D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24.8月武汉福禄API支付会员佣金从费用调整到成本，678.19万，其中23年320万</t>
        </r>
      </text>
    </comment>
    <comment ref="Y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剔除API蚂蚁会员费用，调到代理收入毛利</t>
        </r>
      </text>
    </comment>
    <comment ref="Y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搜卡计提海客平台服务45万</t>
        </r>
      </text>
    </comment>
    <comment ref="Z62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萌桃返佣补贴428万调整到订单收入；</t>
        </r>
      </text>
    </comment>
    <comment ref="E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182241.39:联通沃百富项目推广成本，1月商品大类计提为“生活服务”；</t>
        </r>
      </text>
    </comment>
    <comment ref="Y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API蚂蚁会员费用;</t>
        </r>
      </text>
    </comment>
    <comment ref="E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加上葫芦藤-客户发展中心净利润377.647；</t>
        </r>
      </text>
    </comment>
    <comment ref="Z68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加上葫芦藤-灵活用工项目-推广利润38.674*1.06；</t>
        </r>
      </text>
    </comment>
    <comment ref="AO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业务毛利+佣金服务费</t>
        </r>
      </text>
    </comment>
    <comment ref="C136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23年11月-24年5月支付宝学生频道上线商品线下结算坑位费5.5%</t>
        </r>
      </text>
    </comment>
    <comment ref="B17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1月计提的订单收入在“生活服务”，推广成本在“通信”；</t>
        </r>
      </text>
    </comment>
  </commentList>
</comments>
</file>

<file path=xl/comments7.xml><?xml version="1.0" encoding="utf-8"?>
<comments xmlns="http://schemas.openxmlformats.org/spreadsheetml/2006/main">
  <authors>
    <author>wjj</author>
    <author>wjj526</author>
  </authors>
  <commentList>
    <comment ref="B3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剔除API蚂蚁会员5.5%渠道费用</t>
        </r>
      </text>
    </comment>
    <comment ref="Z3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剔除API蚂蚁会员5.5%渠道费用</t>
        </r>
      </text>
    </comment>
    <comment ref="E21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加福建财政补贴</t>
        </r>
      </text>
    </comment>
    <comment ref="AC21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加福建财政补贴</t>
        </r>
      </text>
    </comment>
    <comment ref="AL2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财付通立减金、支付宝立减金税损490.88万，换算成含税金额520万；</t>
        </r>
      </text>
    </comment>
    <comment ref="AK2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1、肯德基冲减20年8月份残值收入1534098；
2、咖世家咖啡（上海）亏损52万；
3、肯德基券销售上海荣数信息3700万，计提税损209万，整个项目亏损92.6万；
   （6月销售3805万，计提税损215万，确认残值收入13万）</t>
        </r>
      </text>
    </comment>
    <comment ref="AL3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冲销第三方+福禄虚拟充值收入-855837.09；
</t>
        </r>
      </text>
    </comment>
  </commentList>
</comments>
</file>

<file path=xl/comments8.xml><?xml version="1.0" encoding="utf-8"?>
<comments xmlns="http://schemas.openxmlformats.org/spreadsheetml/2006/main">
  <authors>
    <author>Administrator</author>
    <author>wjj</author>
  </authors>
  <commentLis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供应商合计毛利排序</t>
        </r>
      </text>
    </comment>
    <comment ref="L4" authorId="1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雷神、奥拉夫、大博恩
</t>
        </r>
      </text>
    </comment>
    <comment ref="A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毛利收入组成AH列</t>
        </r>
      </text>
    </comment>
  </commentList>
</comments>
</file>

<file path=xl/comments9.xml><?xml version="1.0" encoding="utf-8"?>
<comments xmlns="http://schemas.openxmlformats.org/spreadsheetml/2006/main">
  <authors>
    <author>wjj526</author>
  </authors>
  <commentList>
    <comment ref="F369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喜马8月调整返点-172177.95，填错合作模式，计入“寄售收入”；</t>
        </r>
      </text>
    </comment>
    <comment ref="F582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更正5月1#凭证 一起玩实体卡制作费
借：主营业务成本-销售成本-6% 2072
借：主营业务成本-服务费-推广服务费  -2072
</t>
        </r>
      </text>
    </comment>
  </commentList>
</comments>
</file>

<file path=xl/comments10.xml><?xml version="1.0" encoding="utf-8"?>
<comments xmlns="http://schemas.openxmlformats.org/spreadsheetml/2006/main">
  <authors>
    <author>wjj526</author>
  </authors>
  <commentList>
    <comment ref="F465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喜马8月调整返点-172177.95，填错合作模式，计入“寄售收入”；</t>
        </r>
      </text>
    </comment>
    <comment ref="F702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更正5月1#凭证 一起玩实体卡制作费
借：主营业务成本-销售成本-6% 2072
借：主营业务成本-服务费-推广服务费  -2072
</t>
        </r>
      </text>
    </comment>
  </commentList>
</comments>
</file>

<file path=xl/sharedStrings.xml><?xml version="1.0" encoding="utf-8"?>
<sst xmlns="http://schemas.openxmlformats.org/spreadsheetml/2006/main" count="39453" uniqueCount="2945">
  <si>
    <t>1、涉及业务线</t>
  </si>
  <si>
    <t>游戏电商、渠道线、业务发展</t>
  </si>
  <si>
    <t>2、涉及年限</t>
  </si>
  <si>
    <t>2020年1-22年</t>
  </si>
  <si>
    <t>3、5月13号提供数据</t>
  </si>
  <si>
    <t>4、单位：万元</t>
  </si>
  <si>
    <t>规模</t>
  </si>
  <si>
    <t>结构</t>
  </si>
  <si>
    <t>品类</t>
  </si>
  <si>
    <t>品牌</t>
  </si>
  <si>
    <t>1、21年-22年商品大类增长波动</t>
  </si>
  <si>
    <t>年份</t>
  </si>
  <si>
    <t>游戏</t>
  </si>
  <si>
    <t>通信</t>
  </si>
  <si>
    <t>网娱</t>
  </si>
  <si>
    <t>合计</t>
  </si>
  <si>
    <t>2、21年-22年网娱、生活服务增长波动</t>
  </si>
  <si>
    <t>3、品牌趋势波动，是否针对网娱、生活服务--22年数据波动做分析</t>
  </si>
  <si>
    <t>网娱品牌</t>
  </si>
  <si>
    <t>影视会员、音频、视频直播、知识阅读</t>
  </si>
  <si>
    <t>生活服务</t>
  </si>
  <si>
    <t>加油卡、网络工具、出行生活、餐饮、购物（优惠劵）、其他</t>
  </si>
  <si>
    <t>1、收入构成</t>
  </si>
  <si>
    <t>代理</t>
  </si>
  <si>
    <t>虚拟商品采销差额收入+返点</t>
  </si>
  <si>
    <t>分商品大类-20年-22年</t>
  </si>
  <si>
    <t>增值代运营</t>
  </si>
  <si>
    <t>代运营收入</t>
  </si>
  <si>
    <t>分商品大类-需要提供21年GMV</t>
  </si>
  <si>
    <t>推广收入</t>
  </si>
  <si>
    <t>2、品类毛利21年-22年</t>
  </si>
  <si>
    <t>依赖第一条数据提供商品大类可以出</t>
  </si>
  <si>
    <t>3、四大品类毛利/gmv</t>
  </si>
  <si>
    <t>4、成长性品牌的毛利分析</t>
  </si>
  <si>
    <t>5、供应商毛利波动（前10）</t>
  </si>
  <si>
    <t>体系内公司经营概况整体变化情况</t>
  </si>
  <si>
    <t>单位：万元</t>
  </si>
  <si>
    <t>项目</t>
  </si>
  <si>
    <t>2022年1-6月体系内公司经营概况</t>
  </si>
  <si>
    <t>2021年1-6月体系内公司经营概况</t>
  </si>
  <si>
    <t>2020年1-6月体系内公司经营概况</t>
  </si>
  <si>
    <t>增长总数对比额</t>
  </si>
  <si>
    <t>累计增长额</t>
  </si>
  <si>
    <t>增长比率</t>
  </si>
  <si>
    <t>集团GMV</t>
  </si>
  <si>
    <t>毛利收入（含税）</t>
  </si>
  <si>
    <t>净利润（核算报表)</t>
  </si>
  <si>
    <t>净利润（审计口径)</t>
  </si>
  <si>
    <t>合并报表-跨期返点收入+审计补计提在21年费用</t>
  </si>
  <si>
    <t>净利润（扣非)</t>
  </si>
  <si>
    <t>合并报表-跨期返点收入+调整IPO费用+调整汇兑损益+权益股份</t>
  </si>
  <si>
    <t>留存率</t>
  </si>
  <si>
    <t>利润率</t>
  </si>
  <si>
    <t>调整项：</t>
  </si>
  <si>
    <t>1、体内扣非、不扣给，都要调整采购返点未实现部分</t>
  </si>
  <si>
    <t>2、体外岚晨，公会费用按总额法核算，同时调整收入和费用</t>
  </si>
  <si>
    <t>管理报表数</t>
  </si>
  <si>
    <t>净利润（审计口径）</t>
  </si>
  <si>
    <t>净利润（扣非）</t>
  </si>
  <si>
    <t>2022年1-6月</t>
  </si>
  <si>
    <t>2021年1-6月</t>
  </si>
  <si>
    <t>变动值</t>
  </si>
  <si>
    <t>增长率</t>
  </si>
  <si>
    <t>GMV</t>
  </si>
  <si>
    <t>净利润</t>
  </si>
  <si>
    <t>毛利率</t>
  </si>
  <si>
    <t>净利润率</t>
  </si>
  <si>
    <t>当月净利润</t>
  </si>
  <si>
    <t>月份累计</t>
  </si>
  <si>
    <t>上市公司</t>
  </si>
  <si>
    <t>投资公司</t>
  </si>
  <si>
    <t>小计</t>
  </si>
  <si>
    <t>佣金手续费（元）（账面不含税金额）</t>
  </si>
  <si>
    <t>佣金手续费（含税）</t>
  </si>
  <si>
    <t>体内项目-葫芦藤延伸公司</t>
  </si>
  <si>
    <t>跨期返利(含税）</t>
  </si>
  <si>
    <t>上市公司-扣除佣金手续费后、调整跨期返利后毛利收入</t>
  </si>
  <si>
    <t>集团小计</t>
  </si>
  <si>
    <t>上市公司（审计口径）</t>
  </si>
  <si>
    <t>跨期返利</t>
  </si>
  <si>
    <t>H1项目分红</t>
  </si>
  <si>
    <t>H1导师分红</t>
  </si>
  <si>
    <t>上市公司调整后净利润小计</t>
  </si>
  <si>
    <t>投资公司调整前</t>
  </si>
  <si>
    <t>月份</t>
  </si>
  <si>
    <t>上市公司当月利润（核算）（元）</t>
  </si>
  <si>
    <t>调整跨期返利收入（元）</t>
  </si>
  <si>
    <t>调整投资公司(万元）</t>
  </si>
  <si>
    <t>占比</t>
  </si>
  <si>
    <t>同期变动</t>
  </si>
  <si>
    <t>变动比例</t>
  </si>
  <si>
    <t>体内项目--葫芦藤衍生公司</t>
  </si>
  <si>
    <t>收入（差额）-含税金额</t>
  </si>
  <si>
    <t>收入（差额）-不含税金额</t>
  </si>
  <si>
    <t>利润</t>
  </si>
  <si>
    <t>企业福利&amp;襄阳福穗</t>
  </si>
  <si>
    <t>2025年</t>
  </si>
  <si>
    <t>类别</t>
  </si>
  <si>
    <t>调整博宽&amp;黄石福桃等渠道电商毛利</t>
  </si>
  <si>
    <t>累计净利润</t>
  </si>
  <si>
    <t>1月利润</t>
  </si>
  <si>
    <t>2月利润</t>
  </si>
  <si>
    <t>3月利润</t>
  </si>
  <si>
    <t>4月利润</t>
  </si>
  <si>
    <t>5月利润</t>
  </si>
  <si>
    <t>6月利润</t>
  </si>
  <si>
    <t>7月利润</t>
  </si>
  <si>
    <t>8月利润</t>
  </si>
  <si>
    <t>9月利润</t>
  </si>
  <si>
    <t>10月利润</t>
  </si>
  <si>
    <t>11月利润</t>
  </si>
  <si>
    <t>12月利润</t>
  </si>
  <si>
    <t>1、手游</t>
  </si>
  <si>
    <t>2、网游</t>
  </si>
  <si>
    <t>3、通信</t>
  </si>
  <si>
    <t>4、网娱</t>
  </si>
  <si>
    <t>5、生活服务</t>
  </si>
  <si>
    <t>含税金额</t>
  </si>
  <si>
    <t>2024年</t>
  </si>
  <si>
    <t>2023年</t>
  </si>
  <si>
    <t>公司全称</t>
  </si>
  <si>
    <t>剔除后利润2410</t>
  </si>
  <si>
    <t>剔除后利润2411</t>
  </si>
  <si>
    <t>剔除后利润2412</t>
  </si>
  <si>
    <t>北京萌桃网络科技有限公司</t>
  </si>
  <si>
    <t>黄石长驱网络科技有限公司</t>
  </si>
  <si>
    <t>南京梦澄网络科技有限公司</t>
  </si>
  <si>
    <t>南京逐电网络科技有限公司</t>
  </si>
  <si>
    <t>长沙雷厉网络科技有限公司</t>
  </si>
  <si>
    <t>长沙星合网络科技有限公司</t>
  </si>
  <si>
    <t>武汉双立网络科技有限公司</t>
  </si>
  <si>
    <t>武汉铭柏网络科技有限公司</t>
  </si>
  <si>
    <t>武汉市萌想家网络科技有限公司</t>
  </si>
  <si>
    <t>重分类调整</t>
  </si>
  <si>
    <t>客户发展中心</t>
  </si>
  <si>
    <t>渠道线项目</t>
  </si>
  <si>
    <t>游戏电商项目</t>
  </si>
  <si>
    <t>SP0001-网游</t>
  </si>
  <si>
    <t>SP0005-手游</t>
  </si>
  <si>
    <t>SP0002-通信</t>
  </si>
  <si>
    <t>SP0003-网娱</t>
  </si>
  <si>
    <t>SP0004-卡劵</t>
  </si>
  <si>
    <t>SP0006-生活服务</t>
  </si>
  <si>
    <t>总计（含税）</t>
  </si>
  <si>
    <t>体内公司GMV</t>
  </si>
  <si>
    <t>2025年GMV</t>
  </si>
  <si>
    <t>2024年GMV</t>
  </si>
  <si>
    <t>同期增长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</si>
  <si>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</si>
  <si>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</si>
  <si>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</si>
  <si>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</si>
  <si>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</si>
  <si>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</si>
  <si>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</si>
  <si>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</si>
  <si>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</si>
  <si>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</si>
  <si>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</si>
  <si>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</si>
  <si>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合计（亿元）</t>
  </si>
  <si>
    <t>累计数贴PPT37</t>
  </si>
  <si>
    <t>商品大类</t>
  </si>
  <si>
    <t>变动额</t>
  </si>
  <si>
    <t>变动率</t>
  </si>
  <si>
    <t>网游</t>
  </si>
  <si>
    <t>手游</t>
  </si>
  <si>
    <t>总计（万元）</t>
  </si>
  <si>
    <t>2022年</t>
  </si>
  <si>
    <t>2021年</t>
  </si>
  <si>
    <t>GMV交易</t>
  </si>
  <si>
    <t>关联交易</t>
  </si>
  <si>
    <t>总交易</t>
  </si>
  <si>
    <t>关联交易占比</t>
  </si>
  <si>
    <t>GMV交易占比</t>
  </si>
  <si>
    <t>平台</t>
  </si>
  <si>
    <t>平台GMV占比</t>
  </si>
  <si>
    <t>福禄开放平台</t>
  </si>
  <si>
    <t>TOB</t>
  </si>
  <si>
    <t>福游云平台</t>
  </si>
  <si>
    <t>京东</t>
  </si>
  <si>
    <t>天猫</t>
  </si>
  <si>
    <t>拼多多</t>
  </si>
  <si>
    <t>支付宝小程序</t>
  </si>
  <si>
    <t>抖快</t>
  </si>
  <si>
    <t>抖音</t>
  </si>
  <si>
    <t>其他</t>
  </si>
  <si>
    <t>快手</t>
  </si>
  <si>
    <t>微信</t>
  </si>
  <si>
    <t>第三方平台</t>
  </si>
  <si>
    <t>渠道大类</t>
  </si>
  <si>
    <t>第三方B2B2C</t>
  </si>
  <si>
    <t>合计（万元）</t>
  </si>
  <si>
    <t>TOC</t>
  </si>
  <si>
    <t>验算</t>
  </si>
  <si>
    <t>充值频道</t>
  </si>
  <si>
    <t>百度小程序</t>
  </si>
  <si>
    <t>mall商城</t>
  </si>
  <si>
    <t>合计(单位：万元）</t>
  </si>
  <si>
    <t>变动</t>
  </si>
  <si>
    <t>短信分销平台</t>
  </si>
  <si>
    <t>苏宁</t>
  </si>
  <si>
    <t>福禄云平台</t>
  </si>
  <si>
    <t>福禄APP</t>
  </si>
  <si>
    <t>APP</t>
  </si>
  <si>
    <t>G库</t>
  </si>
  <si>
    <t>2020年</t>
  </si>
  <si>
    <t>开放平台</t>
  </si>
  <si>
    <t>IOS苹果卡</t>
  </si>
  <si>
    <t>短信平台</t>
  </si>
  <si>
    <t>线下销售</t>
  </si>
  <si>
    <t>支撑分析数据</t>
  </si>
  <si>
    <t>代理商品大类</t>
  </si>
  <si>
    <t>代运营GMV</t>
  </si>
  <si>
    <t>合计（单位：万元）</t>
  </si>
  <si>
    <t>代理GMV年度累计</t>
  </si>
  <si>
    <t>20.1月累计</t>
  </si>
  <si>
    <t>20.2月累计</t>
  </si>
  <si>
    <t>20.3月累计</t>
  </si>
  <si>
    <t>20.4月累计</t>
  </si>
  <si>
    <t>20.5月累计</t>
  </si>
  <si>
    <t>20.6月累计</t>
  </si>
  <si>
    <t>20.7月累计</t>
  </si>
  <si>
    <t>20.8月累计</t>
  </si>
  <si>
    <t>20.9月累计</t>
  </si>
  <si>
    <t>20.10月累计</t>
  </si>
  <si>
    <t>20.11月累计</t>
  </si>
  <si>
    <t>20.12月累计</t>
  </si>
  <si>
    <t>21.1月累计</t>
  </si>
  <si>
    <t>21.2月累计</t>
  </si>
  <si>
    <t>21.3月累计</t>
  </si>
  <si>
    <t>21.4月累计</t>
  </si>
  <si>
    <t>21.5月累计</t>
  </si>
  <si>
    <t>21.6月累计</t>
  </si>
  <si>
    <t>21.7月累计</t>
  </si>
  <si>
    <t>21.8月累计</t>
  </si>
  <si>
    <t>21.9月累计</t>
  </si>
  <si>
    <t>21.10月累计</t>
  </si>
  <si>
    <t>21.11月累计</t>
  </si>
  <si>
    <t>21.12月累计</t>
  </si>
  <si>
    <t>22.1月累计</t>
  </si>
  <si>
    <t>22.2月累计</t>
  </si>
  <si>
    <t>22.3月累计</t>
  </si>
  <si>
    <t>22.4月累计</t>
  </si>
  <si>
    <t>22.5月累计</t>
  </si>
  <si>
    <t>22.6月累计</t>
  </si>
  <si>
    <t>22.7月累计</t>
  </si>
  <si>
    <t>22.8月累计</t>
  </si>
  <si>
    <t>22.9月累计</t>
  </si>
  <si>
    <t>22.10月累计</t>
  </si>
  <si>
    <t>22.11月累计</t>
  </si>
  <si>
    <t>22.12月累计</t>
  </si>
  <si>
    <t>23.1月累计</t>
  </si>
  <si>
    <t>23.2月累计</t>
  </si>
  <si>
    <t>23.3月累计</t>
  </si>
  <si>
    <t>23.4月累计</t>
  </si>
  <si>
    <t>23.5月累计</t>
  </si>
  <si>
    <t>23.6月累计</t>
  </si>
  <si>
    <t>23.7月累计</t>
  </si>
  <si>
    <t>23.8月累计</t>
  </si>
  <si>
    <t>23.9月累计</t>
  </si>
  <si>
    <t>23.10月累计</t>
  </si>
  <si>
    <t>23.11月累计</t>
  </si>
  <si>
    <t>23.12月累计</t>
  </si>
  <si>
    <t>24.1月累计</t>
  </si>
  <si>
    <t>24.2月累计</t>
  </si>
  <si>
    <t>24.3月累计</t>
  </si>
  <si>
    <t>24.4月累计</t>
  </si>
  <si>
    <t>24.5月累计</t>
  </si>
  <si>
    <t>24.6月累计</t>
  </si>
  <si>
    <t>24.7月累计</t>
  </si>
  <si>
    <t>24.8月累计</t>
  </si>
  <si>
    <t>24.9月累计</t>
  </si>
  <si>
    <t>24.10月累计</t>
  </si>
  <si>
    <t>24.11月累计</t>
  </si>
  <si>
    <t>24.12月累计</t>
  </si>
  <si>
    <t>25.1月累计</t>
  </si>
  <si>
    <t>25.2月累计</t>
  </si>
  <si>
    <t>25.3月累计</t>
  </si>
  <si>
    <t>25.4月累计</t>
  </si>
  <si>
    <t>25.5月累计</t>
  </si>
  <si>
    <t>25.6月累计</t>
  </si>
  <si>
    <t>25.7月累计</t>
  </si>
  <si>
    <t>25.8月累计</t>
  </si>
  <si>
    <t>25.9月累计</t>
  </si>
  <si>
    <t>25.10月累计</t>
  </si>
  <si>
    <t>25.11月累计</t>
  </si>
  <si>
    <t>25.12月累计</t>
  </si>
  <si>
    <t>2020.1-本月</t>
  </si>
  <si>
    <t>2021.1-本月</t>
  </si>
  <si>
    <t>2022.1-本月</t>
  </si>
  <si>
    <t>2023.1-本月</t>
  </si>
  <si>
    <t>2024.1-本月</t>
  </si>
  <si>
    <t>2025.1-本月</t>
  </si>
  <si>
    <t>20年占比</t>
  </si>
  <si>
    <t>21年占比</t>
  </si>
  <si>
    <t>22年占比</t>
  </si>
  <si>
    <t>23年占比</t>
  </si>
  <si>
    <t>24年占比</t>
  </si>
  <si>
    <t>25年占比</t>
  </si>
  <si>
    <t>增长</t>
  </si>
  <si>
    <t>3、品牌趋势波动，针对网娱、生活服务--22年数据波动做分析（分月）-只针对代理收入（订单差额收入+返点）</t>
  </si>
  <si>
    <t>品牌分类</t>
  </si>
  <si>
    <t>求和项:调整后gmv</t>
  </si>
  <si>
    <t>万元</t>
  </si>
  <si>
    <t>网娱-GMV</t>
  </si>
  <si>
    <t>生活-餐饮</t>
  </si>
  <si>
    <t>网娱-影视会员</t>
  </si>
  <si>
    <t>网娱-音频</t>
  </si>
  <si>
    <t>网娱-视频直播</t>
  </si>
  <si>
    <t>网娱-知识阅读</t>
  </si>
  <si>
    <t>网娱-网络工具</t>
  </si>
  <si>
    <t>网娱-其他</t>
  </si>
  <si>
    <t>check</t>
  </si>
  <si>
    <t>生活-出行旅游</t>
  </si>
  <si>
    <t>生活-购物（优惠劵）</t>
  </si>
  <si>
    <t>生活-加油卡</t>
  </si>
  <si>
    <t>生活-健身</t>
  </si>
  <si>
    <t>生活-其他</t>
  </si>
  <si>
    <t>总计</t>
  </si>
  <si>
    <t>22年</t>
  </si>
  <si>
    <t>21年</t>
  </si>
  <si>
    <t>生活服务-GMV</t>
  </si>
  <si>
    <t>生活-立减金</t>
  </si>
  <si>
    <t>12月-调整后</t>
  </si>
  <si>
    <t>代理收入（虚拟商品充值差额收入+返点）</t>
  </si>
  <si>
    <t>增值代运营收入</t>
  </si>
  <si>
    <t>推广收入：按总额反映GMV，按差额反映收入</t>
  </si>
  <si>
    <t>经纪服务+平台服务+游戏开发</t>
  </si>
  <si>
    <t>合计收入（含税）</t>
  </si>
  <si>
    <t>年累计毛利（贴PPT）</t>
  </si>
  <si>
    <t>月度累计</t>
  </si>
  <si>
    <t>收入利润表毛利含税</t>
  </si>
  <si>
    <t>福建福禄</t>
  </si>
  <si>
    <t>沭阳福禄</t>
  </si>
  <si>
    <t>沭阳葫芦娃</t>
  </si>
  <si>
    <t>园区补贴小计</t>
  </si>
  <si>
    <t>25.1月分析时剔除</t>
  </si>
  <si>
    <t>深圳博宽</t>
  </si>
  <si>
    <t>校验</t>
  </si>
  <si>
    <t>武汉铭柏</t>
  </si>
  <si>
    <t>增加投资公司</t>
  </si>
  <si>
    <t>直接服务费-平台服务费</t>
  </si>
  <si>
    <t>武汉萌桃</t>
  </si>
  <si>
    <t>剔除投资公司</t>
  </si>
  <si>
    <t>毛利</t>
  </si>
  <si>
    <t>福建沭阳补贴</t>
  </si>
  <si>
    <t>平台服务费</t>
  </si>
  <si>
    <t>灵工补贴</t>
  </si>
  <si>
    <t>25.2月分析时剔除</t>
  </si>
  <si>
    <t>卡券</t>
  </si>
  <si>
    <t>南京梦澄</t>
  </si>
  <si>
    <t>南京逐电</t>
  </si>
  <si>
    <t>长沙星合</t>
  </si>
  <si>
    <t>四川云时</t>
  </si>
  <si>
    <t>毛利合计</t>
  </si>
  <si>
    <t>202501</t>
  </si>
  <si>
    <t>202502</t>
  </si>
  <si>
    <t>25.3月分析时剔除</t>
  </si>
  <si>
    <t>202503</t>
  </si>
  <si>
    <t>202504</t>
  </si>
  <si>
    <t>202505</t>
  </si>
  <si>
    <t>202506</t>
  </si>
  <si>
    <t>202507</t>
  </si>
  <si>
    <t>202508</t>
  </si>
  <si>
    <t>2023年小计</t>
  </si>
  <si>
    <t>2024年小计</t>
  </si>
  <si>
    <t>2025年小计</t>
  </si>
  <si>
    <t>API蚂蚁会员费用</t>
  </si>
  <si>
    <t>武汉福禄</t>
  </si>
  <si>
    <t>喀什一起玩</t>
  </si>
  <si>
    <t>西藏福禄-萌桃返佣</t>
  </si>
  <si>
    <t>求和项:EAS含税金额</t>
  </si>
  <si>
    <t>25.4月分析时剔除</t>
  </si>
  <si>
    <t>武汉海客快充合并</t>
  </si>
  <si>
    <t>技术服务成本-平台服务费</t>
  </si>
  <si>
    <t>武汉民客</t>
  </si>
  <si>
    <t>厦门博宽电子</t>
  </si>
  <si>
    <t>武汉蓝迪</t>
  </si>
  <si>
    <t>武汉泰斯</t>
  </si>
  <si>
    <t>25.5月分析时剔除</t>
  </si>
  <si>
    <t>宁波翰林</t>
  </si>
  <si>
    <t>24年总计</t>
  </si>
  <si>
    <t>25年总计</t>
  </si>
  <si>
    <t>24.6月分析时剔除</t>
  </si>
  <si>
    <t>经纪服务收入-生活服务</t>
  </si>
  <si>
    <t>记账日期</t>
  </si>
  <si>
    <t>摘要</t>
  </si>
  <si>
    <t>周口福蕊</t>
  </si>
  <si>
    <t>咸宁福蕊</t>
  </si>
  <si>
    <t>灵工园区小计</t>
  </si>
  <si>
    <t>本期合计</t>
  </si>
  <si>
    <t>24.7月分析时剔除</t>
  </si>
  <si>
    <t>2025/1/31</t>
  </si>
  <si>
    <t>2025/2/28</t>
  </si>
  <si>
    <t>2025/3/31</t>
  </si>
  <si>
    <t>2025/4/30</t>
  </si>
  <si>
    <t>2025/5/31</t>
  </si>
  <si>
    <t>2025/6/30</t>
  </si>
  <si>
    <t>2025/7/31</t>
  </si>
  <si>
    <t>2025/8/31</t>
  </si>
  <si>
    <t>8月分析时剔除</t>
  </si>
  <si>
    <t>科目名称</t>
  </si>
  <si>
    <t>联通沃百富项目</t>
  </si>
  <si>
    <t>推广服务成本--通信</t>
  </si>
  <si>
    <t>9月分析时剔除</t>
  </si>
  <si>
    <t>黄石长驱</t>
  </si>
  <si>
    <t>10月分析时剔除</t>
  </si>
  <si>
    <t>11月分析时剔除</t>
  </si>
  <si>
    <t>12月分析时剔除</t>
  </si>
  <si>
    <t>代理收入留存率（含税收入/gmv)</t>
  </si>
  <si>
    <t>合计收入留存率（含税收入/gmv)</t>
  </si>
  <si>
    <t>毛利率变动</t>
  </si>
  <si>
    <t>2025年度</t>
  </si>
  <si>
    <t>底稿表</t>
  </si>
  <si>
    <t>2024年度</t>
  </si>
  <si>
    <t>2023年度</t>
  </si>
  <si>
    <t>网娱-毛利（代理收入）</t>
  </si>
  <si>
    <t>求和项:调整后订单毛利（含返点）</t>
  </si>
  <si>
    <t>生活服务-毛利（代理收入）</t>
  </si>
  <si>
    <t>毛利变动</t>
  </si>
  <si>
    <t>求和项:代理毛利收入</t>
  </si>
  <si>
    <t>求和项:调整后毛利（含返点）</t>
  </si>
  <si>
    <t>供应商毛利波动（前10）--存在财务提供累计数据（20-21年参考审计，22年参照BI数据-注意手工导入数据检查）</t>
  </si>
  <si>
    <t>供应商20年</t>
  </si>
  <si>
    <t>毛利（订单差额收入）</t>
  </si>
  <si>
    <t>合计收益(含税）</t>
  </si>
  <si>
    <t>收益率</t>
  </si>
  <si>
    <t>盈利贡献能力</t>
  </si>
  <si>
    <t>深圳市腾讯计算机系统有限公司</t>
  </si>
  <si>
    <t>北京爱奇艺科技有限公司</t>
  </si>
  <si>
    <t>含代运营收入</t>
  </si>
  <si>
    <t>北京百度网讯科技有限公司</t>
  </si>
  <si>
    <t>深圳市维缇网络科技有限公司</t>
  </si>
  <si>
    <t>北京红马传媒文化发展有限公司</t>
  </si>
  <si>
    <t>温州创想网络科技有限公司</t>
  </si>
  <si>
    <t>北京卡路里科技有限公司</t>
  </si>
  <si>
    <t>江苏京东旭科信息技术有限公司</t>
  </si>
  <si>
    <t>返点收入</t>
  </si>
  <si>
    <t>飞狐信息技术（天津）有限公司</t>
  </si>
  <si>
    <t>开放平台供应商-承德幽暗城网络科技有限公司</t>
  </si>
  <si>
    <t>湖南快乐阳光互动娱乐传媒有限公司</t>
  </si>
  <si>
    <t>上海喜马拉雅科技有限公司</t>
  </si>
  <si>
    <t>优酷信息技术（北京）有限公司</t>
  </si>
  <si>
    <t>深圳市迅雷网络技术有限公司</t>
  </si>
  <si>
    <t>上海证大喜马拉雅网络科技有限公司</t>
  </si>
  <si>
    <t>腾讯音乐娱乐（深圳）有限公司</t>
  </si>
  <si>
    <t>北京陌陌科技有限公司</t>
  </si>
  <si>
    <t>西安爱乐剧院管理有限公司</t>
  </si>
  <si>
    <t>温州创想</t>
  </si>
  <si>
    <t>供应商21年</t>
  </si>
  <si>
    <t>供应商名称</t>
  </si>
  <si>
    <t>求和项:订单毛利（含返点）</t>
  </si>
  <si>
    <t>求和项:代运营毛利</t>
  </si>
  <si>
    <t>求和项:合并毛利</t>
  </si>
  <si>
    <t>深圳维缇</t>
  </si>
  <si>
    <t>代运营</t>
  </si>
  <si>
    <t>湖北弈嵘通讯服务有限公司</t>
  </si>
  <si>
    <t>北京联移科技有限责任公司</t>
  </si>
  <si>
    <t>供应商22年1-12月</t>
  </si>
  <si>
    <t>上海宽娱数码科技有限公司</t>
  </si>
  <si>
    <t>杭州乐读科技有限公司</t>
  </si>
  <si>
    <t>资和信电子支付有限公司</t>
  </si>
  <si>
    <t>武汉奥拉夫网络科技有限公司</t>
  </si>
  <si>
    <t>供应商23年1-12月</t>
  </si>
  <si>
    <t>序号</t>
  </si>
  <si>
    <t>北京度友科技有限公司</t>
  </si>
  <si>
    <t>雷神（武汉）网络技术有限公司</t>
  </si>
  <si>
    <t>环胜电子商务（上海）有限公司</t>
  </si>
  <si>
    <t>耐克商业（中国）有限公司</t>
  </si>
  <si>
    <t>支付宝（中国）网络技术有限公司</t>
  </si>
  <si>
    <t>张弛</t>
  </si>
  <si>
    <t>徐德成</t>
  </si>
  <si>
    <t>深圳市博宽网络科技有限公司</t>
  </si>
  <si>
    <t>`</t>
  </si>
  <si>
    <t>供应商24年1-12月</t>
  </si>
  <si>
    <t>2026年</t>
  </si>
  <si>
    <t>2027年</t>
  </si>
  <si>
    <t>2028年</t>
  </si>
  <si>
    <t>2029年</t>
  </si>
  <si>
    <t>2030年</t>
  </si>
  <si>
    <t>西安三只狼科技有限公司</t>
  </si>
  <si>
    <t>2031年</t>
  </si>
  <si>
    <t>2032年</t>
  </si>
  <si>
    <t>2033年</t>
  </si>
  <si>
    <t>深圳市渡渡鸟网络科技有限公司</t>
  </si>
  <si>
    <t>上海麦克风文化传媒有限公司</t>
  </si>
  <si>
    <t>温州耀扬网络科技有限公司</t>
  </si>
  <si>
    <t>供应商</t>
  </si>
  <si>
    <t>累计毛利</t>
  </si>
  <si>
    <t>累计GMV</t>
  </si>
  <si>
    <t>25年盈利能力占比</t>
  </si>
  <si>
    <t>24年同期毛利</t>
  </si>
  <si>
    <t>23年GMV</t>
  </si>
  <si>
    <t>24年盈利占比</t>
  </si>
  <si>
    <t>毛利波动</t>
  </si>
  <si>
    <t>25年累计GMV</t>
  </si>
  <si>
    <t>25年累计毛利</t>
  </si>
  <si>
    <t>24年同期GMV</t>
  </si>
  <si>
    <t>GMV变动</t>
  </si>
  <si>
    <t>瑞幸咖啡（中国）有限公司</t>
  </si>
  <si>
    <t>/</t>
  </si>
  <si>
    <t>深圳市脸萌科技有限公司</t>
  </si>
  <si>
    <t>沭阳惠联信息技术有限公司</t>
  </si>
  <si>
    <t>厦门沃购电子商务有限公司</t>
  </si>
  <si>
    <t>拉扎斯网络科技（上海）有限公司</t>
  </si>
  <si>
    <t>小计毛利</t>
  </si>
  <si>
    <t>上市公司毛利</t>
  </si>
  <si>
    <t>北京八十度文化传媒有限公司</t>
  </si>
  <si>
    <t>创想-订单</t>
  </si>
  <si>
    <t>维缇-订单</t>
  </si>
  <si>
    <t>八十度-订单</t>
  </si>
  <si>
    <t>创想维缇八十度-代运营</t>
  </si>
  <si>
    <t>苹果卡订单毛利</t>
  </si>
  <si>
    <t>（元/张）</t>
  </si>
  <si>
    <t>直充接口</t>
  </si>
  <si>
    <t>爱奇艺黄金会员月卡</t>
  </si>
  <si>
    <t>TV</t>
  </si>
  <si>
    <t>端不可享受权益</t>
  </si>
  <si>
    <t>爱奇艺黄金会员季卡</t>
  </si>
  <si>
    <t>爱奇艺黄金会员半年卡</t>
  </si>
  <si>
    <t>爱奇艺黄金会员年卡</t>
  </si>
  <si>
    <t>爱奇艺FUN会员月卡</t>
  </si>
  <si>
    <t>爱奇艺FUN会员季卡</t>
  </si>
  <si>
    <t>爱奇艺FUN会员年卡</t>
  </si>
  <si>
    <t>爱奇艺星钻会员月卡</t>
  </si>
  <si>
    <t>端可以享受权益</t>
  </si>
  <si>
    <t>爱奇艺星钻会员季卡</t>
  </si>
  <si>
    <t>爱奇艺星钻会员半年卡</t>
  </si>
  <si>
    <t>-</t>
  </si>
  <si>
    <t>爱奇艺星钻会员年卡</t>
  </si>
  <si>
    <t>奇异果黄金VIP会员月卡</t>
  </si>
  <si>
    <t>VIP</t>
  </si>
  <si>
    <t>会员月卡</t>
  </si>
  <si>
    <t>奇异果黄金VIP</t>
  </si>
  <si>
    <t>会员季卡</t>
  </si>
  <si>
    <t>会员半年卡</t>
  </si>
  <si>
    <t>会员年卡</t>
  </si>
  <si>
    <t>奇异果星钻VIP</t>
  </si>
  <si>
    <t>奇异果单屏会员月卡</t>
  </si>
  <si>
    <t>黄金不可以享受权益</t>
  </si>
  <si>
    <t>奇异果单屏会员季卡</t>
  </si>
  <si>
    <t>奇异果单屏会员半年卡</t>
  </si>
  <si>
    <t>奇异果单屏会员年卡</t>
  </si>
  <si>
    <t>商用会员天卡</t>
  </si>
  <si>
    <t>商用会员年卡</t>
  </si>
  <si>
    <t>定制实体卡</t>
  </si>
  <si>
    <t>定制实体卡 爱奇艺黄金会员年卡 360 360 TV 端不可享受权益</t>
  </si>
  <si>
    <t>腾讯异业</t>
  </si>
  <si>
    <t>梯度折扣</t>
  </si>
  <si>
    <t>产品</t>
  </si>
  <si>
    <t>现折合含税单价（人民币：元）</t>
  </si>
  <si>
    <t>面值（涨价前）</t>
  </si>
  <si>
    <t>面值（涨价后）</t>
  </si>
  <si>
    <t>原价格</t>
  </si>
  <si>
    <t>新价格</t>
  </si>
  <si>
    <t>涨价幅度</t>
  </si>
  <si>
    <t>【6】折</t>
  </si>
  <si>
    <t>VIP【季】卡</t>
  </si>
  <si>
    <t>¥【46.8】</t>
  </si>
  <si>
    <t>VIP【半年】卡</t>
  </si>
  <si>
    <t>¥【88.8】</t>
  </si>
  <si>
    <t>VIP【年】卡</t>
  </si>
  <si>
    <t>¥【154.8】</t>
  </si>
  <si>
    <t>季卡面值从68调整到78，采购折扣从64%降到60%（实际采购价是略微上涨）</t>
  </si>
  <si>
    <t>半年卡面值从138调整到148，采购折扣不变（实际采购价是上涨）</t>
  </si>
  <si>
    <t>年卡面值从253调整到258，采购折扣不变（实际采购价是上涨）</t>
  </si>
  <si>
    <t>腾讯电商</t>
  </si>
  <si>
    <t>季卡</t>
  </si>
  <si>
    <t>半年卡</t>
  </si>
  <si>
    <t>年卡</t>
  </si>
  <si>
    <t>原来面值</t>
  </si>
  <si>
    <t>调整后面值</t>
  </si>
  <si>
    <t>涨幅</t>
  </si>
  <si>
    <t>周卡</t>
  </si>
  <si>
    <t>15天卡</t>
  </si>
  <si>
    <t>月卡</t>
  </si>
  <si>
    <t>返点</t>
  </si>
  <si>
    <t>调整后gmv</t>
  </si>
  <si>
    <t>调整后成本</t>
  </si>
  <si>
    <t>调整后毛利</t>
  </si>
  <si>
    <t>调整后毛利（含返点）</t>
  </si>
  <si>
    <t>代运营成本</t>
  </si>
  <si>
    <t>代运营毛利</t>
  </si>
  <si>
    <t>合并毛利</t>
  </si>
  <si>
    <t>供应商+商品大类</t>
  </si>
  <si>
    <t>支付宝（中国）网络技术有限公司生活服务</t>
  </si>
  <si>
    <t>沭阳惠联信息技术有限公司生活服务</t>
  </si>
  <si>
    <t>沭阳畅盈科技信息技术有限公司</t>
  </si>
  <si>
    <t>沭阳畅盈科技信息技术有限公司生活服务</t>
  </si>
  <si>
    <t>财付通支付科技有限公司</t>
  </si>
  <si>
    <t>财付通支付科技有限公司生活服务</t>
  </si>
  <si>
    <t>月份(Year Month Day)</t>
  </si>
  <si>
    <t>补贴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</si>
  <si>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</si>
  <si>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</si>
  <si>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</si>
  <si>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</si>
  <si>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</si>
  <si>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</si>
  <si>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</si>
  <si>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</si>
  <si>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</si>
  <si>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</si>
  <si>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</si>
  <si>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</si>
  <si>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调整后订单毛利（含返点）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</si>
  <si>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</si>
  <si>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</si>
  <si>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</si>
  <si>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</si>
  <si>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</si>
  <si>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</si>
  <si>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</si>
  <si>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</si>
  <si>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</si>
  <si>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</si>
  <si>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</si>
  <si>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</si>
  <si>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中间单据状态</t>
  </si>
  <si>
    <t>rebates_date</t>
  </si>
  <si>
    <t>company_name</t>
  </si>
  <si>
    <t>center_name</t>
  </si>
  <si>
    <t>order_source</t>
  </si>
  <si>
    <t>rebates_type</t>
  </si>
  <si>
    <t>rebates_rules</t>
  </si>
  <si>
    <t>rebates_cycle</t>
  </si>
  <si>
    <t>supplier_name</t>
  </si>
  <si>
    <t>cooperation_model</t>
  </si>
  <si>
    <t>goods_type</t>
  </si>
  <si>
    <t>taxrate_money</t>
  </si>
  <si>
    <t>no_taxrate_money</t>
  </si>
  <si>
    <t>tax</t>
  </si>
  <si>
    <t>entrypk</t>
  </si>
  <si>
    <t>求和项:taxrate_money</t>
  </si>
  <si>
    <t>求和项:no_taxrate_money</t>
  </si>
  <si>
    <t>求和项:tax</t>
  </si>
  <si>
    <t>已生成</t>
  </si>
  <si>
    <t>喀什一起玩网络科技有限公司</t>
  </si>
  <si>
    <t>商品管理中心</t>
  </si>
  <si>
    <t>手工新增</t>
  </si>
  <si>
    <t>返现金</t>
  </si>
  <si>
    <t>活动返点</t>
  </si>
  <si>
    <t>季返</t>
  </si>
  <si>
    <t>自营</t>
  </si>
  <si>
    <t xml:space="preserve">KSYQW-FDJTD-20230203-00001-0001     </t>
  </si>
  <si>
    <t>武汉福禄网络科技有限公司</t>
  </si>
  <si>
    <t>BI</t>
  </si>
  <si>
    <t>消耗返点</t>
  </si>
  <si>
    <t xml:space="preserve">WHFL-FDJTD-BI-20230201-71092-0001   </t>
  </si>
  <si>
    <t>月返</t>
  </si>
  <si>
    <t xml:space="preserve">WHFL-FDJTD-BI-20230201-21093-0002   </t>
  </si>
  <si>
    <t>北京三快在线科技有限公司</t>
  </si>
  <si>
    <t>游戏生态电商中心</t>
  </si>
  <si>
    <t>采购返点</t>
  </si>
  <si>
    <t>半年返</t>
  </si>
  <si>
    <t>寄售</t>
  </si>
  <si>
    <t xml:space="preserve">WHFL-FDJTD-BI-20230201-21119-0002   </t>
  </si>
  <si>
    <t>武汉京东世纪贸易有限公司</t>
  </si>
  <si>
    <t>冲抵结算款</t>
  </si>
  <si>
    <t xml:space="preserve">WHFL-FDJTD-BI-20230201-21120-0001   </t>
  </si>
  <si>
    <t>苏州市吉利优行电子科技有限公司</t>
  </si>
  <si>
    <t>滴滴出行(北京)网络平台技术有限公司</t>
  </si>
  <si>
    <t xml:space="preserve">KSYQW-FDJTD-20230202-00002-0001     </t>
  </si>
  <si>
    <t>浙江天猫供应链管理有限公司</t>
  </si>
  <si>
    <t>福州朴朴电子商务有限公司</t>
  </si>
  <si>
    <t xml:space="preserve">KSYQW-FDJTD-20230201-00002-0001     </t>
  </si>
  <si>
    <t>湖北楚游通科技发展有限公司</t>
  </si>
  <si>
    <t xml:space="preserve">KSYQW-FDJTD-20230201-00004-0001     </t>
  </si>
  <si>
    <t>上海盒马网络科技有限公司</t>
  </si>
  <si>
    <t>拉扎斯网络科技(上海)有限公司</t>
  </si>
  <si>
    <t xml:space="preserve">KSYQW-FDJTD-BI-20230201-71088-0003  </t>
  </si>
  <si>
    <t>永辉超市股份有限公司</t>
  </si>
  <si>
    <t xml:space="preserve">WHFL-FDJTD-20230107-00001-0001      </t>
  </si>
  <si>
    <t>上海京东到家元信信息技术有限公司</t>
  </si>
  <si>
    <t xml:space="preserve">KSYQW-FDJTD-BI-20230201-21089-0001  </t>
  </si>
  <si>
    <t>上海三快智送科技有限公司</t>
  </si>
  <si>
    <t xml:space="preserve">KSYQW-FDJTD-BI-20230201-71088-0002  </t>
  </si>
  <si>
    <t>万达电影股份有限公司</t>
  </si>
  <si>
    <t>深圳市爱宝数据科技有限公司</t>
  </si>
  <si>
    <t xml:space="preserve">WHFL-FDJTD-20230117-00001-0001      </t>
  </si>
  <si>
    <t>苏果超市有限公司</t>
  </si>
  <si>
    <t>通信中心</t>
  </si>
  <si>
    <t>中国联合网络通信有限公司南昌市分公司</t>
  </si>
  <si>
    <t xml:space="preserve">WHFL-FDJTD-20230201-00004-0001      </t>
  </si>
  <si>
    <t xml:space="preserve">WHFL-FDJTD-20230201-00017-0001      </t>
  </si>
  <si>
    <t>天翼数字生活科技有限公司</t>
  </si>
  <si>
    <t xml:space="preserve">WHFL-FDJTD-20230202-00010-0001      </t>
  </si>
  <si>
    <t xml:space="preserve">WHFL-FDJTD-20230201-00019-0001      </t>
  </si>
  <si>
    <t>返卡密</t>
  </si>
  <si>
    <t>北京汇元网科技股份有限公司</t>
  </si>
  <si>
    <t xml:space="preserve">WHFL-FDJTD-20230202-00002-0001      </t>
  </si>
  <si>
    <t>上海哈啰普惠科技有限公司</t>
  </si>
  <si>
    <t xml:space="preserve">WHFL-FDJTD-BI-20230201-21090-0001   </t>
  </si>
  <si>
    <t>广州唯品会电子商务有限公司</t>
  </si>
  <si>
    <t xml:space="preserve">WHFL-FDJTD-20230202-00017-0001      </t>
  </si>
  <si>
    <t>深圳市奈雪餐饮管理有限公司</t>
  </si>
  <si>
    <t>年返</t>
  </si>
  <si>
    <t xml:space="preserve">WHFL-FDJTD-BI-20230131-90407-0001   </t>
  </si>
  <si>
    <t>浙江飞猪网络技术有限公司</t>
  </si>
  <si>
    <t>武汉立硕科技有限公司</t>
  </si>
  <si>
    <t xml:space="preserve">WHLS-FDJTD-20230202-00005-0001      </t>
  </si>
  <si>
    <t>口碑(上海)信息技术有限公司</t>
  </si>
  <si>
    <t xml:space="preserve">WHLS-FDJTD-20230202-00001-0001      </t>
  </si>
  <si>
    <t>莆田市吕晨贺信贸易有限公司</t>
  </si>
  <si>
    <t xml:space="preserve">WHLS-FDJTD-20230202-00003-0001      </t>
  </si>
  <si>
    <t>上海拉扎斯信息科技有限公司</t>
  </si>
  <si>
    <t>返渠道余额</t>
  </si>
  <si>
    <t xml:space="preserve">WHLS-FDJTD-20230202-00004-0001      </t>
  </si>
  <si>
    <t>天翼电子商务有限公司上海分公司</t>
  </si>
  <si>
    <t>武汉天识科技有限公司</t>
  </si>
  <si>
    <t>中国联合网络通信有限公司重庆市分公司</t>
  </si>
  <si>
    <t xml:space="preserve">WHTS-FDJTD-BI-20230131-20221-0001   </t>
  </si>
  <si>
    <t>平安付科技服务有限公司</t>
  </si>
  <si>
    <t xml:space="preserve">WHLS-FDJTD-BI-20230201-21094-0001   </t>
  </si>
  <si>
    <t>武汉搜卡科技有限公司</t>
  </si>
  <si>
    <t>天津星空乐游科技有限公司</t>
  </si>
  <si>
    <t xml:space="preserve">WHSK-FDJTD-BI-20230201-71118-0001   </t>
  </si>
  <si>
    <t xml:space="preserve">WHLS-FDJTD-BI-20230201-71095-0001   </t>
  </si>
  <si>
    <t>深圳市盖娅科技有限公司</t>
  </si>
  <si>
    <t>广州云米信息科技有限公司</t>
  </si>
  <si>
    <t xml:space="preserve">WHTS-FDJTD-20230201-00001-0001      </t>
  </si>
  <si>
    <t xml:space="preserve">WHLS-FDJTD-BI-20230201-71096-0001   </t>
  </si>
  <si>
    <t>福建网龙计算机网络信息技术有限公司</t>
  </si>
  <si>
    <t xml:space="preserve">WHTS-FDJTD-20230202-00001-0001      </t>
  </si>
  <si>
    <t>新疆福禄网络科技有限公司</t>
  </si>
  <si>
    <t>渠道一线</t>
  </si>
  <si>
    <t xml:space="preserve">XJFL-FDJTD-BI-20230201-71110-0001   </t>
  </si>
  <si>
    <t>深圳市腾讯天游科技有限公司</t>
  </si>
  <si>
    <t xml:space="preserve">XJFL-FDJTD-20230202-00001-0001      </t>
  </si>
  <si>
    <t>武汉一起游网络科技有限公司</t>
  </si>
  <si>
    <t xml:space="preserve">WHYQY-FDJTD-BI-20230201-71117-0001  </t>
  </si>
  <si>
    <t>上海履冰科技有限公司</t>
  </si>
  <si>
    <t>业务发展中心（武汉）</t>
  </si>
  <si>
    <t xml:space="preserve">XJFL-FDJTD-BI-20230131-71047-0001   </t>
  </si>
  <si>
    <t>上海尤弥尔网络科技有限公司</t>
  </si>
  <si>
    <t xml:space="preserve">XJFL-FDJTD-20230201-00001-0001      </t>
  </si>
  <si>
    <t>雷神(武汉)网络技术有限公司</t>
  </si>
  <si>
    <t xml:space="preserve">XJFL-FDJTD-BI-20230201-21111-0002   </t>
  </si>
  <si>
    <t xml:space="preserve">XJFL-FDJTD-20230201-00003-0001      </t>
  </si>
  <si>
    <t>渠道四线</t>
  </si>
  <si>
    <t xml:space="preserve">XJFL-FDJTD-BI-20230201-21116-0003   </t>
  </si>
  <si>
    <t>中国联合网络通信有限公司广州市分公司</t>
  </si>
  <si>
    <t>成都鼎天莱通信技术有限公司</t>
  </si>
  <si>
    <t xml:space="preserve">XJFL-FDJTD-BI-20230201-71110-0003   </t>
  </si>
  <si>
    <t xml:space="preserve">XJFL-FDJTD-BI-20230201-71115-0001   </t>
  </si>
  <si>
    <t xml:space="preserve">XJFL-FDJTD-BI-20230201-71115-0002   </t>
  </si>
  <si>
    <t>中国联合网络通信有限公司深圳市分公司</t>
  </si>
  <si>
    <t>西藏福禄网络科技有限公司</t>
  </si>
  <si>
    <t>抵减成本</t>
  </si>
  <si>
    <t xml:space="preserve">XZFL-FDJTD-20230201-00006-0001      </t>
  </si>
  <si>
    <t>掌握(广州)科技发展有限公司</t>
  </si>
  <si>
    <t xml:space="preserve">XZFL-FDJTD-20230201-00002-0001      </t>
  </si>
  <si>
    <t>广州市飞思计算机软件有限公司</t>
  </si>
  <si>
    <t>腾讯音乐娱乐(深圳)有限公司</t>
  </si>
  <si>
    <t xml:space="preserve">XZFL-FDJTD-20230201-00013-0001      </t>
  </si>
  <si>
    <t>中国联合网络通信有限公司长沙市分公司</t>
  </si>
  <si>
    <t>常州奇智网络科技有限公司</t>
  </si>
  <si>
    <t xml:space="preserve">XZFL-FDJTD-20230201-00009-0001      </t>
  </si>
  <si>
    <t xml:space="preserve">XZFL-FDJTD-20230201-00014-0001      </t>
  </si>
  <si>
    <t xml:space="preserve">XZFL-FDJTD-20230201-00015-0001      </t>
  </si>
  <si>
    <t xml:space="preserve">XZFL-FDJTD-20230201-00012-0001      </t>
  </si>
  <si>
    <t xml:space="preserve">XZFL-FDJTD-20230201-00019-0001      </t>
  </si>
  <si>
    <t>海南战火互娱信息技术有限公司</t>
  </si>
  <si>
    <t xml:space="preserve">XZFL-FDJTD-20230201-00030-0001      </t>
  </si>
  <si>
    <t xml:space="preserve">XZFL-FDJTD-20230201-00024-0001      </t>
  </si>
  <si>
    <t>汇元银通(北京)在线支付技术有限公司</t>
  </si>
  <si>
    <t xml:space="preserve">XZFL-FDJTD-20230201-00025-0001      </t>
  </si>
  <si>
    <t xml:space="preserve">XZFL-FDJTD-20230201-00021-0001      </t>
  </si>
  <si>
    <t>广州酷狗计算机科技有限公司</t>
  </si>
  <si>
    <t xml:space="preserve">XZFL-FDJTD-20230201-00026-0001      </t>
  </si>
  <si>
    <t xml:space="preserve">XZFL-FDJTD-20230201-00023-0001      </t>
  </si>
  <si>
    <t xml:space="preserve">XZFL-FDJTD-20230201-00028-0001      </t>
  </si>
  <si>
    <t>咪咕互动娱乐有限公司</t>
  </si>
  <si>
    <t xml:space="preserve">XZFL-FDJTD-20230202-00013-0001      </t>
  </si>
  <si>
    <t xml:space="preserve">XZFL-FDJTD-20230202-00002-0001      </t>
  </si>
  <si>
    <t>广州虎牙信息科技有限公司</t>
  </si>
  <si>
    <t xml:space="preserve">XZFL-FDJTD-20230201-00031-0001      </t>
  </si>
  <si>
    <t xml:space="preserve">XZFL-FDJTD-20230202-00004-0001      </t>
  </si>
  <si>
    <t>优酷信息技术(北京)有限公司</t>
  </si>
  <si>
    <t xml:space="preserve">XZFL-FDJTD-20230201-00032-0001      </t>
  </si>
  <si>
    <t xml:space="preserve">XZFL-FDJTD-20230202-00009-0001      </t>
  </si>
  <si>
    <t>华为软件技术有限公司</t>
  </si>
  <si>
    <t xml:space="preserve">XZFL-FDJTD-20230202-00001-0001      </t>
  </si>
  <si>
    <t xml:space="preserve">XZFL-FDJTD-BI-20230131-01033-0001   </t>
  </si>
  <si>
    <t xml:space="preserve">XZFL-FDJTD-BI-20230131-00616-0001   </t>
  </si>
  <si>
    <t xml:space="preserve">XZFL-FDJTD-BI-20230131-00987-0001   </t>
  </si>
  <si>
    <t xml:space="preserve">XZFL-FDJTD-BI-20230201-21098-0002   </t>
  </si>
  <si>
    <t xml:space="preserve">XZFL-FDJTD-BI-20230131-90411-0001   </t>
  </si>
  <si>
    <t xml:space="preserve">XZFL-FDJTD-BI-20230131-20287-0001   </t>
  </si>
  <si>
    <t xml:space="preserve">XZFL-FDJTD-BI-20230131-90418-0001   </t>
  </si>
  <si>
    <t xml:space="preserve">XZFL-FDJTD-BI-20230131-20287-0002   </t>
  </si>
  <si>
    <t>得到(天津)文化传播有限公司</t>
  </si>
  <si>
    <t xml:space="preserve">XZFL-FDJTD-BI-20230131-90420-0001   </t>
  </si>
  <si>
    <t>北京凯声文化传媒有限责任公司</t>
  </si>
  <si>
    <t xml:space="preserve">XZFL-FDJTD-BI-20230131-90315-0001   </t>
  </si>
  <si>
    <t>咪咕文化科技有限公司</t>
  </si>
  <si>
    <t xml:space="preserve">XZFL-FDJTD-BI-20230201-21067-0001   </t>
  </si>
  <si>
    <t>广州津虹网络传媒有限公司</t>
  </si>
  <si>
    <t xml:space="preserve">XZFL-FDJTD-BI-20230201-71102-0001   </t>
  </si>
  <si>
    <t xml:space="preserve">XZFL-FDJTD-BI-20230201-21099-0002   </t>
  </si>
  <si>
    <t xml:space="preserve">XZFL-FDJTD-BI-20230201-71103-0001   </t>
  </si>
  <si>
    <t xml:space="preserve">XZFL-FDJTD-BI-20230201-21105-0001   </t>
  </si>
  <si>
    <t xml:space="preserve">XZFL-FDJTD-BI-20230201-71104-0001   </t>
  </si>
  <si>
    <t xml:space="preserve">XZFL-FDJTD-BI-20230201-71097-0001   </t>
  </si>
  <si>
    <t xml:space="preserve">XZFL-FDJTD-BI-20230201-71106-0001   </t>
  </si>
  <si>
    <t xml:space="preserve">WHFL-FDJTD-20230302-00012-0001      </t>
  </si>
  <si>
    <t xml:space="preserve">WHFL-FDJTD-BI-20230301-01094-0001   </t>
  </si>
  <si>
    <t xml:space="preserve">WHFL-FDJTD-BI-20230301-01092-0002   </t>
  </si>
  <si>
    <t xml:space="preserve">WHFL-FDJTD-BI-20230301-00925-0001   </t>
  </si>
  <si>
    <t xml:space="preserve">WHFL-FDJTD-20230302-00013-0001      </t>
  </si>
  <si>
    <t>新疆葫芦娃网络科技有限公司</t>
  </si>
  <si>
    <t xml:space="preserve">WHFL-FDJTD-BI-20230301-01087-0001   </t>
  </si>
  <si>
    <t xml:space="preserve">WHFL-FDJTD-BI-20230301-00281-0002   </t>
  </si>
  <si>
    <t xml:space="preserve">WHFL-FDJTD-BI-20230301-01089-0001   </t>
  </si>
  <si>
    <t xml:space="preserve">WHFL-FDJTD-BI-20230301-00282-0001   </t>
  </si>
  <si>
    <t xml:space="preserve">WHFL-FDJTD-BI-20230301-21060-0001   </t>
  </si>
  <si>
    <t xml:space="preserve">WHFL-FDJTD-BI-20230301-21091-0001   </t>
  </si>
  <si>
    <t xml:space="preserve">WHFL-FDJTD-BI-20230301-21093-0001   </t>
  </si>
  <si>
    <t xml:space="preserve">WHLS-FDJTD-20230301-00002-0001      </t>
  </si>
  <si>
    <t xml:space="preserve">WHLS-FDJTD-BI-20230301-21096-0003   </t>
  </si>
  <si>
    <t xml:space="preserve">WHLS-FDJTD-BI-20230301-21097-0001   </t>
  </si>
  <si>
    <t xml:space="preserve">WHLS-FDJTD-BI-20230301-01063-0002   </t>
  </si>
  <si>
    <t xml:space="preserve">WHLS-FDJTD-BI-20230301-21098-0001   </t>
  </si>
  <si>
    <t xml:space="preserve">WHLS-FDJTD-BI-20230301-01095-0001   </t>
  </si>
  <si>
    <t xml:space="preserve">XJFL-FDJTD-BI-20230301-00867-0002   </t>
  </si>
  <si>
    <t xml:space="preserve">XJFL-FDJTD-BI-20230301-00623-0003   </t>
  </si>
  <si>
    <t xml:space="preserve">WHTS-FDJTD-BI-20230301-21113-0001   </t>
  </si>
  <si>
    <t xml:space="preserve">WHSK-FDJTD-20230302-00002-0001      </t>
  </si>
  <si>
    <t xml:space="preserve">WHYQY-FDJTD-20230302-00001-0001     </t>
  </si>
  <si>
    <t xml:space="preserve">WHTS-FDJTD-20230301-00001-0001      </t>
  </si>
  <si>
    <t xml:space="preserve">WHYQY-FDJTD-BI-20230301-20948-0001  </t>
  </si>
  <si>
    <t xml:space="preserve">WHTS-FDJTD-BI-20230301-21088-0001   </t>
  </si>
  <si>
    <t xml:space="preserve">XJHLW-FDJTD-20230228-00002-0001     </t>
  </si>
  <si>
    <t xml:space="preserve">XJFL-FDJTD-BI-20230301-20947-0002   </t>
  </si>
  <si>
    <t xml:space="preserve">XJFL-FDJTD-BI-20230301-20908-0001   </t>
  </si>
  <si>
    <t xml:space="preserve">XJFL-FDJTD-BI-20230301-20908-0003   </t>
  </si>
  <si>
    <t xml:space="preserve">XJHLW-FDJTD-20230228-00001-0001     </t>
  </si>
  <si>
    <t xml:space="preserve">XJFL-FDJTD-BI-20230301-20947-0001   </t>
  </si>
  <si>
    <t xml:space="preserve">XJHLW-FDJTD-20230302-00005-0001     </t>
  </si>
  <si>
    <t xml:space="preserve">XJHLW-FDJTD-20230302-00003-0001     </t>
  </si>
  <si>
    <t xml:space="preserve">XZFL-FDJTD-20230208-00001-0001      </t>
  </si>
  <si>
    <t xml:space="preserve">XZFL-FDJTD-20230206-00001-0001      </t>
  </si>
  <si>
    <t xml:space="preserve">XZFL-FDJTD-20230228-00006-0001      </t>
  </si>
  <si>
    <t xml:space="preserve">XZFL-FDJTD-20230228-00001-0001      </t>
  </si>
  <si>
    <t xml:space="preserve">XZFL-FDJTD-20230221-00003-0001      </t>
  </si>
  <si>
    <t xml:space="preserve">XZFL-FDJTD-20230221-00002-0001      </t>
  </si>
  <si>
    <t xml:space="preserve">XZFL-FDJTD-20230301-00008-0001      </t>
  </si>
  <si>
    <t xml:space="preserve">XZFL-FDJTD-20230301-00006-0001      </t>
  </si>
  <si>
    <t xml:space="preserve">XZFL-FDJTD-20230301-00019-0001      </t>
  </si>
  <si>
    <t xml:space="preserve">XZFL-FDJTD-20230301-00017-0001      </t>
  </si>
  <si>
    <t xml:space="preserve">XZFL-FDJTD-20230301-00014-0001      </t>
  </si>
  <si>
    <t xml:space="preserve">XZFL-FDJTD-20230301-00009-0001      </t>
  </si>
  <si>
    <t xml:space="preserve">XZFL-FDJTD-20230301-00015-0001      </t>
  </si>
  <si>
    <t xml:space="preserve">XZFL-FDJTD-20230301-00031-0001      </t>
  </si>
  <si>
    <t xml:space="preserve">XZFL-FDJTD-20230301-00030-0001      </t>
  </si>
  <si>
    <t xml:space="preserve">XZFL-FDJTD-20230301-00024-0001      </t>
  </si>
  <si>
    <t xml:space="preserve">XZFL-FDJTD-20230301-00020-0001      </t>
  </si>
  <si>
    <t xml:space="preserve">XZFL-FDJTD-20230301-00025-0001      </t>
  </si>
  <si>
    <t xml:space="preserve">XZFL-FDJTD-20230301-00022-0001      </t>
  </si>
  <si>
    <t xml:space="preserve">XZFL-FDJTD-20230301-00028-0001      </t>
  </si>
  <si>
    <t xml:space="preserve">XZFL-FDJTD-20230301-00023-0001      </t>
  </si>
  <si>
    <t xml:space="preserve">XZFL-FDJTD-BI-20230301-00767-0001   </t>
  </si>
  <si>
    <t xml:space="preserve">XZFL-FDJTD-BI-20230301-00612-0001   </t>
  </si>
  <si>
    <t xml:space="preserve">XZFL-FDJTD-20230302-00003-0001      </t>
  </si>
  <si>
    <t xml:space="preserve">XZFL-FDJTD-20230301-00032-0001      </t>
  </si>
  <si>
    <t xml:space="preserve">XZFL-FDJTD-20230302-00004-0001      </t>
  </si>
  <si>
    <t xml:space="preserve">XZFL-FDJTD-20230302-00001-0001      </t>
  </si>
  <si>
    <t xml:space="preserve">XZFL-FDJTD-BI-20230301-00339-0001   </t>
  </si>
  <si>
    <t xml:space="preserve">XZFL-FDJTD-BI-20230301-01099-0001   </t>
  </si>
  <si>
    <t xml:space="preserve">XZFL-FDJTD-BI-20230301-01075-0001   </t>
  </si>
  <si>
    <t xml:space="preserve">XZFL-FDJTD-BI-20230301-00849-0001   </t>
  </si>
  <si>
    <t xml:space="preserve">XZFL-FDJTD-BI-20230301-00778-0001   </t>
  </si>
  <si>
    <t xml:space="preserve">XZFL-FDJTD-BI-20230301-00972-0001   </t>
  </si>
  <si>
    <t xml:space="preserve">XZFL-FDJTD-BI-20230301-00813-0001   </t>
  </si>
  <si>
    <t xml:space="preserve">XZFL-FDJTD-BI-20230301-01074-0001   </t>
  </si>
  <si>
    <t xml:space="preserve">XZFL-FDJTD-BI-20230301-00822-0001   </t>
  </si>
  <si>
    <t xml:space="preserve">XZFL-FDJTD-BI-20230301-21107-0002   </t>
  </si>
  <si>
    <t xml:space="preserve">XZFL-FDJTD-BI-20230301-21107-0001   </t>
  </si>
  <si>
    <t xml:space="preserve">XZFL-FDJTD-BI-20230301-01111-0003   </t>
  </si>
  <si>
    <t xml:space="preserve">XZFL-FDJTD-BI-20230301-01101-0002   </t>
  </si>
  <si>
    <t xml:space="preserve">XZFL-FDJTD-BI-20230301-21100-0001   </t>
  </si>
  <si>
    <t xml:space="preserve">XZFL-FDJTD-BI-20230301-01102-0002   </t>
  </si>
  <si>
    <t xml:space="preserve">XZFL-FDJTD-BI-20230301-21105-0001   </t>
  </si>
  <si>
    <t xml:space="preserve">XZFL-FDJTD-BI-20230301-01111-0002   </t>
  </si>
  <si>
    <t xml:space="preserve">XZFL-FDJTD-BI-20230301-21108-0001   </t>
  </si>
  <si>
    <t xml:space="preserve">XZFL-FDJTD-BI-20230301-21110-0001   </t>
  </si>
  <si>
    <t xml:space="preserve">XZFL-FDJTD-BI-20230301-21112-0001   </t>
  </si>
  <si>
    <t xml:space="preserve">KSYQW-FDJTD-20230301-00005-0001     </t>
  </si>
  <si>
    <t xml:space="preserve">KSYQW-FDJTD-BI-20230301-21085-0003  </t>
  </si>
  <si>
    <t xml:space="preserve">KSYQW-FDJTD-20230302-00003-0001     </t>
  </si>
  <si>
    <t xml:space="preserve">KSYQW-FDJTD-BI-20230301-01086-0001  </t>
  </si>
  <si>
    <t xml:space="preserve">KSYQW-FDJTD-BI-20230301-21085-0002  </t>
  </si>
  <si>
    <t xml:space="preserve">WHFL-FDJTD-20230301-00015-0001      </t>
  </si>
  <si>
    <t xml:space="preserve">WHFL-FDJTD-20230301-00013-0001      </t>
  </si>
  <si>
    <t xml:space="preserve">WHFL-FDJTD-20230301-00025-0001      </t>
  </si>
  <si>
    <t xml:space="preserve">WHFL-FDJTD-20230301-00027-0001      </t>
  </si>
  <si>
    <t xml:space="preserve">WHFL-FDJTD-20230301-00023-0001      </t>
  </si>
  <si>
    <t xml:space="preserve">WHFL-FDJTD-20230404-00017-0001      </t>
  </si>
  <si>
    <t xml:space="preserve">WHFL-FDJTD-20230404-00018-0001      </t>
  </si>
  <si>
    <t xml:space="preserve">WHFL-FDJTD-20230404-00020-0001      </t>
  </si>
  <si>
    <t xml:space="preserve">WHFL-FDJTD-20230404-00019-0001      </t>
  </si>
  <si>
    <t xml:space="preserve">WHFL-FDJTD-20230403-00020-0001      </t>
  </si>
  <si>
    <t xml:space="preserve">WHFL-FDJTD-20230403-00015-0001      </t>
  </si>
  <si>
    <t xml:space="preserve">WHFL-FDJTD-20230403-00012-0001      </t>
  </si>
  <si>
    <t xml:space="preserve">WHFL-FDJTD-20230403-00018-0001      </t>
  </si>
  <si>
    <t xml:space="preserve">WHFL-FDJTD-20230403-00019-0001      </t>
  </si>
  <si>
    <t xml:space="preserve">WHFL-FDJTD-20230404-00006-0001      </t>
  </si>
  <si>
    <t xml:space="preserve">WHFL-FDJTD-20230404-00003-0001      </t>
  </si>
  <si>
    <t xml:space="preserve">WHFL-FDJTD-20230404-00004-0001      </t>
  </si>
  <si>
    <t xml:space="preserve">WHFL-FDJTD-BI-20230401-61126-0002   </t>
  </si>
  <si>
    <t xml:space="preserve">WHFL-FDJTD-BI-20230325-30726-0001   </t>
  </si>
  <si>
    <t xml:space="preserve">WHFL-FDJTD-20230404-00015-0001      </t>
  </si>
  <si>
    <t xml:space="preserve">WHFL-FDJTD-BI-20230401-21122-0001   </t>
  </si>
  <si>
    <t xml:space="preserve">WHFL-FDJTD-BI-20230324-90393-0001   </t>
  </si>
  <si>
    <t xml:space="preserve">WHFL-FDJTD-BI-20230401-21124-0001   </t>
  </si>
  <si>
    <t xml:space="preserve">WHFL-FDJTD-BI-20230325-30614-0001   </t>
  </si>
  <si>
    <t xml:space="preserve">WHFL-FDJTD-BI-20230401-21127-0001   </t>
  </si>
  <si>
    <t xml:space="preserve">WHFL-FDJTD-BI-20230401-61128-0001   </t>
  </si>
  <si>
    <t xml:space="preserve">WHFL-FDJTD-BI-20230401-61149-0001   </t>
  </si>
  <si>
    <t xml:space="preserve">WHFL-FDJTD-BI-20230401-61151-0001   </t>
  </si>
  <si>
    <t xml:space="preserve">WHLS-FDJTD-BI-20230401-61132-0001   </t>
  </si>
  <si>
    <t xml:space="preserve">WHLS-FDJTD-BI-20230401-21129-0001   </t>
  </si>
  <si>
    <t xml:space="preserve">WHLS-FDJTD-20230403-00003-0001      </t>
  </si>
  <si>
    <t xml:space="preserve">WHLS-FDJTD-BI-20230401-61097-0002   </t>
  </si>
  <si>
    <t xml:space="preserve">WHLS-FDJTD-20230403-00004-0001      </t>
  </si>
  <si>
    <t xml:space="preserve">WHLS-FDJTD-BI-20230401-61130-0003   </t>
  </si>
  <si>
    <t xml:space="preserve">WHLS-FDJTD-20230404-00001-0001      </t>
  </si>
  <si>
    <t xml:space="preserve">WHLS-FDJTD-BI-20230401-61131-0001   </t>
  </si>
  <si>
    <t xml:space="preserve">WHYQY-FDJTD-20230403-00001-0001     </t>
  </si>
  <si>
    <t xml:space="preserve">WHTS-FDJTD-20230403-00001-0001      </t>
  </si>
  <si>
    <t xml:space="preserve">WHTS-FDJTD-BI-20230324-00600-0001   </t>
  </si>
  <si>
    <t xml:space="preserve">WHSK-FDJTD-20230403-00001-0001      </t>
  </si>
  <si>
    <t xml:space="preserve">WHTS-FDJTD-BI-20230401-61123-0001   </t>
  </si>
  <si>
    <t xml:space="preserve">XJHLW-FDJTD-20230404-00002-0001     </t>
  </si>
  <si>
    <t xml:space="preserve">XJHLW-FDJTD-20230404-00003-0001     </t>
  </si>
  <si>
    <t xml:space="preserve">XJHLW-FDJTD-20230320-00001-0001     </t>
  </si>
  <si>
    <t xml:space="preserve">XJHLW-FDJTD-20230403-00003-0001     </t>
  </si>
  <si>
    <t xml:space="preserve">XZFL-FDJTD-20230313-00001-0001      </t>
  </si>
  <si>
    <t xml:space="preserve">XZFL-FDJTD-20230306-00001-0001      </t>
  </si>
  <si>
    <t xml:space="preserve">XZFL-FDJTD-20230320-00001-0001      </t>
  </si>
  <si>
    <t xml:space="preserve">XZFL-FDJTD-20230314-00001-0001      </t>
  </si>
  <si>
    <t xml:space="preserve">XZFL-FDJTD-20230317-00001-0001      </t>
  </si>
  <si>
    <t xml:space="preserve">XZFL-FDJTD-20230317-00002-0001      </t>
  </si>
  <si>
    <t xml:space="preserve">XZFL-FDJTD-20230403-00008-0001      </t>
  </si>
  <si>
    <t xml:space="preserve">XZFL-FDJTD-20230403-00004-0001      </t>
  </si>
  <si>
    <t xml:space="preserve">XZFL-FDJTD-20230403-00005-0001      </t>
  </si>
  <si>
    <t xml:space="preserve">XZFL-FDJTD-20230403-00001-0001      </t>
  </si>
  <si>
    <t xml:space="preserve">XZFL-FDJTD-20230403-00006-0001      </t>
  </si>
  <si>
    <t xml:space="preserve">XZFL-FDJTD-20230403-00019-0001      </t>
  </si>
  <si>
    <t xml:space="preserve">XZFL-FDJTD-20230403-00012-0001      </t>
  </si>
  <si>
    <t xml:space="preserve">XZFL-FDJTD-20230403-00015-0001      </t>
  </si>
  <si>
    <t xml:space="preserve">XZFL-FDJTD-20230403-00016-0001      </t>
  </si>
  <si>
    <t xml:space="preserve">XZFL-FDJTD-20230403-00018-0001      </t>
  </si>
  <si>
    <t xml:space="preserve">XZFL-FDJTD-20230403-00038-0001      </t>
  </si>
  <si>
    <t xml:space="preserve">XZFL-FDJTD-20230403-00031-0001      </t>
  </si>
  <si>
    <t xml:space="preserve">XZFL-FDJTD-20230403-00021-0001      </t>
  </si>
  <si>
    <t xml:space="preserve">XZFL-FDJTD-20230403-00034-0001      </t>
  </si>
  <si>
    <t xml:space="preserve">XZFL-FDJTD-20230403-00024-0001      </t>
  </si>
  <si>
    <t xml:space="preserve">XZFL-FDJTD-20230403-00035-0001      </t>
  </si>
  <si>
    <t xml:space="preserve">XZFL-FDJTD-20230403-00029-0001      </t>
  </si>
  <si>
    <t xml:space="preserve">XZFL-FDJTD-20230403-00037-0001      </t>
  </si>
  <si>
    <t xml:space="preserve">XZFL-FDJTD-20230404-00006-0001      </t>
  </si>
  <si>
    <t xml:space="preserve">XZFL-FDJTD-20230403-00042-0001      </t>
  </si>
  <si>
    <t xml:space="preserve">XZFL-FDJTD-20230403-00039-0001      </t>
  </si>
  <si>
    <t xml:space="preserve">XZFL-FDJTD-20230404-00001-0001      </t>
  </si>
  <si>
    <t xml:space="preserve">XZFL-FDJTD-20230404-00002-0001      </t>
  </si>
  <si>
    <t xml:space="preserve">XZFL-FDJTD-20230403-00041-0001      </t>
  </si>
  <si>
    <t xml:space="preserve">XZFL-FDJTD-20230404-00004-0001      </t>
  </si>
  <si>
    <t xml:space="preserve">XZFL-FDJTD-BI-20230401-21134-0001   </t>
  </si>
  <si>
    <t xml:space="preserve">XZFL-FDJTD-BI-20230327-20960-0002   </t>
  </si>
  <si>
    <t xml:space="preserve">XZFL-FDJTD-BI-20230325-30732-0001   </t>
  </si>
  <si>
    <t xml:space="preserve">XZFL-FDJTD-BI-20230329-21045-0001   </t>
  </si>
  <si>
    <t xml:space="preserve">XZFL-FDJTD-BI-20230326-60888-0001   </t>
  </si>
  <si>
    <t xml:space="preserve">XZFL-FDJTD-BI-20230329-60994-0001   </t>
  </si>
  <si>
    <t xml:space="preserve">XZFL-FDJTD-BI-20230326-60901-0001   </t>
  </si>
  <si>
    <t xml:space="preserve">XZFL-FDJTD-BI-20230330-61036-0001   </t>
  </si>
  <si>
    <t xml:space="preserve">XZFL-FDJTD-BI-20230401-61140-0002   </t>
  </si>
  <si>
    <t xml:space="preserve">XZFL-FDJTD-BI-20230401-61108-0001   </t>
  </si>
  <si>
    <t xml:space="preserve">XZFL-FDJTD-BI-20230401-21135-0002   </t>
  </si>
  <si>
    <t xml:space="preserve">XZFL-FDJTD-BI-20230401-61133-0001   </t>
  </si>
  <si>
    <t xml:space="preserve">XZFL-FDJTD-BI-20230401-21145-0002   </t>
  </si>
  <si>
    <t xml:space="preserve">XZFL-FDJTD-BI-20230401-61138-0001   </t>
  </si>
  <si>
    <t xml:space="preserve">XZFL-FDJTD-BI-20230401-21145-0003   </t>
  </si>
  <si>
    <t xml:space="preserve">XZFL-FDJTD-BI-20230401-61140-0001   </t>
  </si>
  <si>
    <t xml:space="preserve">XZFL-FDJTD-BI-20230401-61146-0001   </t>
  </si>
  <si>
    <t xml:space="preserve">XZFL-FDJTD-BI-20230401-61141-0001   </t>
  </si>
  <si>
    <t xml:space="preserve">XZFL-FDJTD-BI-20230401-61147-0001   </t>
  </si>
  <si>
    <t xml:space="preserve">XZFL-FDJTD-BI-20230401-61142-0001   </t>
  </si>
  <si>
    <t xml:space="preserve">XZFL-FDJTD-BI-20230401-61144-0001   </t>
  </si>
  <si>
    <t xml:space="preserve">KSYQW-FDJTD-BI-20230401-61120-0002  </t>
  </si>
  <si>
    <t xml:space="preserve">KSYQW-FDJTD-20230404-00001-0001     </t>
  </si>
  <si>
    <t>海南福禄网络科技有限公司</t>
  </si>
  <si>
    <t xml:space="preserve">HNFL-FDJTD-20230404-00001-0001      </t>
  </si>
  <si>
    <t xml:space="preserve">KSYQW-FDJTD-20230404-00002-0001     </t>
  </si>
  <si>
    <t xml:space="preserve">KSYQW-FDJTD-BI-20230401-21121-0001  </t>
  </si>
  <si>
    <t xml:space="preserve">KSYQW-FDJTD-BI-20230401-61120-0003  </t>
  </si>
  <si>
    <t xml:space="preserve">WHTS-FDJTD-BI-20230504-41031-0001   </t>
  </si>
  <si>
    <t xml:space="preserve">WHLS-FDJTD-BI-20230504-41036-0002   </t>
  </si>
  <si>
    <t xml:space="preserve">WHSK-FDJTD-20230504-00001-0001      </t>
  </si>
  <si>
    <t xml:space="preserve">WHLS-FDJTD-BI-20230504-41037-0001   </t>
  </si>
  <si>
    <t xml:space="preserve">WHTS-FDJTD-20230504-00001-0001      </t>
  </si>
  <si>
    <t xml:space="preserve">WHLS-FDJTD-BI-20230504-41038-0001   </t>
  </si>
  <si>
    <t xml:space="preserve">WHLS-FDJTD-BI-20230504-30643-0003   </t>
  </si>
  <si>
    <t xml:space="preserve">WHLS-FDJTD-BI-20230425-20824-0001   </t>
  </si>
  <si>
    <t xml:space="preserve">WHLS-FDJTD-20230504-00003-0001      </t>
  </si>
  <si>
    <t xml:space="preserve">WHLS-FDJTD-20230505-00001-0001      </t>
  </si>
  <si>
    <t xml:space="preserve">HNFL-FDJTD-20230505-00001-0001      </t>
  </si>
  <si>
    <t xml:space="preserve">HNFL-FDJTD-20230504-00001-0001      </t>
  </si>
  <si>
    <t xml:space="preserve">KSYQW-FDJTD-BI-20230504-41028-0002  </t>
  </si>
  <si>
    <t xml:space="preserve">KSYQW-FDJTD-BI-20230501-21029-0001  </t>
  </si>
  <si>
    <t xml:space="preserve">KSYQW-FDJTD-20230505-00001-0001     </t>
  </si>
  <si>
    <t xml:space="preserve">KSYQW-FDJTD-20230505-00002-0001     </t>
  </si>
  <si>
    <t xml:space="preserve">KSYQW-FDJTD-BI-20230504-41028-0003  </t>
  </si>
  <si>
    <t xml:space="preserve">WHFL-FDJTD-20230406-00003-0001      </t>
  </si>
  <si>
    <t xml:space="preserve">WHFL-FDJTD-20230406-00005-0001      </t>
  </si>
  <si>
    <t xml:space="preserve">WHFL-FDJTD-20230504-00007-0001      </t>
  </si>
  <si>
    <t xml:space="preserve">WHFL-FDJTD-BI-20230424-20783-0001   </t>
  </si>
  <si>
    <t xml:space="preserve">WHFL-FDJTD-20230505-00004-0001      </t>
  </si>
  <si>
    <t xml:space="preserve">WHFL-FDJTD-20230505-00001-0001      </t>
  </si>
  <si>
    <t xml:space="preserve">WHFL-FDJTD-20230505-00002-0001      </t>
  </si>
  <si>
    <t xml:space="preserve">WHFL-FDJTD-BI-20230504-41056-0001   </t>
  </si>
  <si>
    <t xml:space="preserve">WHFL-FDJTD-BI-20230504-41035-0001   </t>
  </si>
  <si>
    <t xml:space="preserve">WHFL-FDJTD-BI-20230504-40823-0001   </t>
  </si>
  <si>
    <t xml:space="preserve">WHFL-FDJTD-BI-20230501-21030-0001   </t>
  </si>
  <si>
    <t xml:space="preserve">WHFL-FDJTD-BI-20230504-40965-0001   </t>
  </si>
  <si>
    <t xml:space="preserve">WHFL-FDJTD-BI-20230501-21034-0002   </t>
  </si>
  <si>
    <t xml:space="preserve">WHFL-FDJTD-BI-20230504-41033-0001   </t>
  </si>
  <si>
    <t xml:space="preserve">WHFL-FDJTD-BI-20230504-20388-0002   </t>
  </si>
  <si>
    <t xml:space="preserve">WHFL-FDJTD-BI-20230504-41058-0001   </t>
  </si>
  <si>
    <t xml:space="preserve">WHYQY-FDJTD-20230505-00003-0001     </t>
  </si>
  <si>
    <t xml:space="preserve">XZFL-FDJTD-20230413-00004-0001      </t>
  </si>
  <si>
    <t xml:space="preserve">XZFL-FDJTD-20230410-00001-0001      </t>
  </si>
  <si>
    <t xml:space="preserve">XZFL-FDJTD-20230407-00005-0001      </t>
  </si>
  <si>
    <t xml:space="preserve">XZFL-FDJTD-20230417-00001-0001      </t>
  </si>
  <si>
    <t xml:space="preserve">XZFL-FDJTD-20230427-00001-0001      </t>
  </si>
  <si>
    <t xml:space="preserve">XZFL-FDJTD-20230419-00005-0001      </t>
  </si>
  <si>
    <t xml:space="preserve">XZFL-FDJTD-20230504-00010-0001      </t>
  </si>
  <si>
    <t xml:space="preserve">XZFL-FDJTD-20230504-00003-0001      </t>
  </si>
  <si>
    <t xml:space="preserve">XZFL-FDJTD-20230504-00002-0001      </t>
  </si>
  <si>
    <t xml:space="preserve">XZFL-FDJTD-20230504-00024-0001      </t>
  </si>
  <si>
    <t xml:space="preserve">XZFL-FDJTD-20230504-00023-0001      </t>
  </si>
  <si>
    <t xml:space="preserve">XZFL-FDJTD-20230504-00020-0001      </t>
  </si>
  <si>
    <t xml:space="preserve">XZFL-FDJTD-20230504-00012-0001      </t>
  </si>
  <si>
    <t xml:space="preserve">XZFL-FDJTD-20230504-00021-0001      </t>
  </si>
  <si>
    <t xml:space="preserve">XZFL-FDJTD-20230504-00015-0001      </t>
  </si>
  <si>
    <t xml:space="preserve">XZFL-FDJTD-20230504-00016-0001      </t>
  </si>
  <si>
    <t xml:space="preserve">XZFL-FDJTD-BI-20230424-20792-0001   </t>
  </si>
  <si>
    <t xml:space="preserve">XZFL-FDJTD-BI-20230423-20758-0001   </t>
  </si>
  <si>
    <t xml:space="preserve">XZFL-FDJTD-20230505-00001-0001      </t>
  </si>
  <si>
    <t xml:space="preserve">XZFL-FDJTD-20230504-00026-0001      </t>
  </si>
  <si>
    <t xml:space="preserve">XZFL-FDJTD-20230504-00027-0001      </t>
  </si>
  <si>
    <t xml:space="preserve">XZFL-FDJTD-20230505-00009-0001      </t>
  </si>
  <si>
    <t xml:space="preserve">XZFL-FDJTD-20230504-00028-0001      </t>
  </si>
  <si>
    <t xml:space="preserve">XZFL-FDJTD-BI-20230504-40900-0001   </t>
  </si>
  <si>
    <t xml:space="preserve">XZFL-FDJTD-BI-20230504-40833-0001   </t>
  </si>
  <si>
    <t xml:space="preserve">XZFL-FDJTD-BI-20230501-21052-0001   </t>
  </si>
  <si>
    <t xml:space="preserve">XZFL-FDJTD-BI-20230501-21039-0001   </t>
  </si>
  <si>
    <t xml:space="preserve">XZFL-FDJTD-BI-20230501-21053-0001   </t>
  </si>
  <si>
    <t xml:space="preserve">XZFL-FDJTD-BI-20230501-21040-0002   </t>
  </si>
  <si>
    <t xml:space="preserve">XZFL-FDJTD-BI-20230503-30932-0001   </t>
  </si>
  <si>
    <t xml:space="preserve">XZFL-FDJTD-BI-20230501-21051-0002   </t>
  </si>
  <si>
    <t xml:space="preserve">XZFL-FDJTD-BI-20230504-41048-0001   </t>
  </si>
  <si>
    <t xml:space="preserve">XZFL-FDJTD-BI-20230504-41047-0001   </t>
  </si>
  <si>
    <t xml:space="preserve">XZFL-FDJTD-BI-20230504-41044-0001   </t>
  </si>
  <si>
    <t xml:space="preserve">XZFL-FDJTD-BI-20230504-40910-0001   </t>
  </si>
  <si>
    <t xml:space="preserve">XZFL-FDJTD-BI-20230504-41046-0001   </t>
  </si>
  <si>
    <t xml:space="preserve">XZFL-FDJTD-BI-20230504-40977-0001   </t>
  </si>
  <si>
    <t xml:space="preserve">XZFL-FDJTD-BI-20230504-41046-0002   </t>
  </si>
  <si>
    <t xml:space="preserve">XZFL-FDJTD-BI-20230504-41043-0001   </t>
  </si>
  <si>
    <t xml:space="preserve">XZFL-FDJTD-BI-20230504-41050-0001   </t>
  </si>
  <si>
    <t xml:space="preserve">XZFL-FDJTD-BI-20230504-41054-0001   </t>
  </si>
  <si>
    <t xml:space="preserve">XZFL-FDJTD-BI-20230504-41059-0001   </t>
  </si>
  <si>
    <t xml:space="preserve">KSYQW-FDJTD-20230505-00003-0001     </t>
  </si>
  <si>
    <t xml:space="preserve">KSYQW-FDJTD-20230505-00004-0001     </t>
  </si>
  <si>
    <t xml:space="preserve">WHFL-FDJTD-20230505-00010-0001      </t>
  </si>
  <si>
    <t xml:space="preserve">WHFL-FDJTD-20230505-00006-0001      </t>
  </si>
  <si>
    <t xml:space="preserve">WHFL-FDJTD-20230505-00011-0001      </t>
  </si>
  <si>
    <t xml:space="preserve">WHFL-FDJTD-20230505-00009-0001      </t>
  </si>
  <si>
    <t xml:space="preserve">XZFL-FDJTD-20230505-00004-0001      </t>
  </si>
  <si>
    <t xml:space="preserve">XJHLW-FDJTD-20230505-00006-0001     </t>
  </si>
  <si>
    <t xml:space="preserve">XZFL-FDJTD-20230505-00005-0001      </t>
  </si>
  <si>
    <t xml:space="preserve">XJHLW-FDJTD-20230505-00007-0001     </t>
  </si>
  <si>
    <t xml:space="preserve">XZFL-FDJTD-20230505-00010-0001      </t>
  </si>
  <si>
    <t xml:space="preserve">XZFL-FDJTD-20230505-00019-0001      </t>
  </si>
  <si>
    <t>手工凭证</t>
  </si>
  <si>
    <t xml:space="preserve">XZFL-FDJTD-20230601-00020-0001      </t>
  </si>
  <si>
    <t xml:space="preserve">WHYQY-FDJTD-20230602-00002-0001     </t>
  </si>
  <si>
    <t xml:space="preserve">XZFL-FDJTD-20230602-00013-0001      </t>
  </si>
  <si>
    <t xml:space="preserve">XZFL-FDJTD-20230602-00012-0001      </t>
  </si>
  <si>
    <t xml:space="preserve">XZFL-FDJTD-20230605-00005-0001      </t>
  </si>
  <si>
    <t xml:space="preserve">XZFL-FDJTD-20230605-00004-0001      </t>
  </si>
  <si>
    <t xml:space="preserve">XZFL-FDJTD-20230602-00009-0001      </t>
  </si>
  <si>
    <t xml:space="preserve">XZFL-FDJTD-20230605-00006-0001      </t>
  </si>
  <si>
    <t xml:space="preserve">XZFL-FDJTD-BI-20230601-21212-0001   </t>
  </si>
  <si>
    <t xml:space="preserve">XZFL-FDJTD-BI-20230531-61145-0001   </t>
  </si>
  <si>
    <t xml:space="preserve">XZFL-FDJTD-BI-20230531-20952-0001   </t>
  </si>
  <si>
    <t xml:space="preserve">XZFL-FDJTD-BI-20230531-31078-0001   </t>
  </si>
  <si>
    <t xml:space="preserve">XZFL-FDJTD-BI-20230530-20826-0002   </t>
  </si>
  <si>
    <t xml:space="preserve">XZFL-FDJTD-BI-20230531-31078-0002   </t>
  </si>
  <si>
    <t xml:space="preserve">XZFL-FDJTD-BI-20230531-20941-0001   </t>
  </si>
  <si>
    <t xml:space="preserve">XZFL-FDJTD-BI-20230601-61218-0001   </t>
  </si>
  <si>
    <t xml:space="preserve">XZFL-FDJTD-BI-20230601-61182-0001   </t>
  </si>
  <si>
    <t xml:space="preserve">XZFL-FDJTD-BI-20230601-21226-0002   </t>
  </si>
  <si>
    <t xml:space="preserve">XZFL-FDJTD-BI-20230601-21213-0001   </t>
  </si>
  <si>
    <t xml:space="preserve">XZFL-FDJTD-BI-20230601-21227-0001   </t>
  </si>
  <si>
    <t xml:space="preserve">XZFL-FDJTD-BI-20230601-21214-0001   </t>
  </si>
  <si>
    <t xml:space="preserve">XZFL-FDJTD-BI-20230601-61173-0001   </t>
  </si>
  <si>
    <t xml:space="preserve">XZFL-FDJTD-BI-20230601-21215-0002   </t>
  </si>
  <si>
    <t xml:space="preserve">XZFL-FDJTD-BI-20230601-61230-0001   </t>
  </si>
  <si>
    <t xml:space="preserve">XZFL-FDJTD-BI-20230601-61228-0001   </t>
  </si>
  <si>
    <t xml:space="preserve">XZFL-FDJTD-BI-20230601-61222-0002   </t>
  </si>
  <si>
    <t xml:space="preserve">XZFL-FDJTD-BI-20230601-61219-0001   </t>
  </si>
  <si>
    <t xml:space="preserve">XZFL-FDJTD-BI-20230601-61223-0001   </t>
  </si>
  <si>
    <t xml:space="preserve">XZFL-FDJTD-BI-20230601-61220-0001   </t>
  </si>
  <si>
    <t xml:space="preserve">XZFL-FDJTD-BI-20230601-61225-0001   </t>
  </si>
  <si>
    <t xml:space="preserve">XZFL-FDJTD-BI-20230601-61222-0001   </t>
  </si>
  <si>
    <t xml:space="preserve">KSYQW-FDJTD-BI-20230601-21199-0001  </t>
  </si>
  <si>
    <t xml:space="preserve">KSYQW-FDJTD-20230601-00004-0001     </t>
  </si>
  <si>
    <t xml:space="preserve">KSYQW-FDJTD-20230517-00001-0001     </t>
  </si>
  <si>
    <t xml:space="preserve">KSYQW-FDJTD-20230601-00003-0001     </t>
  </si>
  <si>
    <t xml:space="preserve">KSYQW-FDJTD-BI-20230601-61198-0002  </t>
  </si>
  <si>
    <t xml:space="preserve">WHFL-FDJTD-20230510-00003-0001      </t>
  </si>
  <si>
    <t xml:space="preserve">KSYQW-FDJTD-BI-20230601-61198-0003  </t>
  </si>
  <si>
    <t xml:space="preserve">KSYQW-FDJTD-BI-20230601-61198-0004  </t>
  </si>
  <si>
    <t xml:space="preserve">WHFL-FDJTD-20230601-00001-0001      </t>
  </si>
  <si>
    <t xml:space="preserve">WHFL-FDJTD-20230601-00002-0001      </t>
  </si>
  <si>
    <t xml:space="preserve">WHFL-FDJTD-20230601-00017-0001      </t>
  </si>
  <si>
    <t xml:space="preserve">WHFL-FDJTD-20230601-00006-0001      </t>
  </si>
  <si>
    <t xml:space="preserve">WHFL-FDJTD-20230601-00015-0001      </t>
  </si>
  <si>
    <t xml:space="preserve">WHFL-FDJTD-20230601-00016-0001      </t>
  </si>
  <si>
    <t xml:space="preserve">WHFL-FDJTD-20230602-00001-0001      </t>
  </si>
  <si>
    <t xml:space="preserve">WHFL-FDJTD-20230601-00033-0001      </t>
  </si>
  <si>
    <t xml:space="preserve">WHFL-FDJTD-20230601-00034-0001      </t>
  </si>
  <si>
    <t xml:space="preserve">WHFL-FDJTD-20230602-00003-0001      </t>
  </si>
  <si>
    <t xml:space="preserve">WHFL-FDJTD-BI-20230601-21200-0001   </t>
  </si>
  <si>
    <t xml:space="preserve">WHFL-FDJTD-BI-20230531-61192-0001   </t>
  </si>
  <si>
    <t xml:space="preserve">WHFL-FDJTD-BI-20230531-20929-0001   </t>
  </si>
  <si>
    <t xml:space="preserve">WHFL-FDJTD-BI-20230531-31016-0001   </t>
  </si>
  <si>
    <t xml:space="preserve">WHFL-FDJTD-BI-20230601-61232-0001   </t>
  </si>
  <si>
    <t xml:space="preserve">WHFL-FDJTD-BI-20230601-61211-0001   </t>
  </si>
  <si>
    <t xml:space="preserve">WHFL-FDJTD-BI-20230601-61205-0002   </t>
  </si>
  <si>
    <t xml:space="preserve">WHFL-FDJTD-BI-20230601-21202-0001   </t>
  </si>
  <si>
    <t xml:space="preserve">WHFL-FDJTD-BI-20230601-61205-0003   </t>
  </si>
  <si>
    <t xml:space="preserve">WHFL-FDJTD-BI-20230601-21206-0001   </t>
  </si>
  <si>
    <t xml:space="preserve">WHFL-FDJTD-BI-20230601-61207-0001   </t>
  </si>
  <si>
    <t xml:space="preserve">WHFL-FDJTD-BI-20230601-61168-0001   </t>
  </si>
  <si>
    <t xml:space="preserve">WHFL-FDJTD-BI-20230601-61234-0001   </t>
  </si>
  <si>
    <t xml:space="preserve">WHLS-FDJTD-20230601-00002-0001      </t>
  </si>
  <si>
    <t xml:space="preserve">WHLS-FDJTD-BI-20230601-61209-0001   </t>
  </si>
  <si>
    <t xml:space="preserve">WHLS-FDJTD-BI-20230601-61208-0001   </t>
  </si>
  <si>
    <t xml:space="preserve">WHLS-FDJTD-20230601-00003-0001      </t>
  </si>
  <si>
    <t xml:space="preserve">WHLS-FDJTD-20230601-00004-0001      </t>
  </si>
  <si>
    <t xml:space="preserve">WHLS-FDJTD-20230601-00005-0001      </t>
  </si>
  <si>
    <t xml:space="preserve">XJHLW-FDJTD-20230517-00001-0001     </t>
  </si>
  <si>
    <t xml:space="preserve">WHSK-FDJTD-BI-20230601-61235-0001   </t>
  </si>
  <si>
    <t xml:space="preserve">WHLS-FDJTD-BI-20230601-61210-0001   </t>
  </si>
  <si>
    <t xml:space="preserve">WHTS-FDJTD-20230601-00001-0001      </t>
  </si>
  <si>
    <t xml:space="preserve">WHTS-FDJTD-BI-20230601-61201-0001   </t>
  </si>
  <si>
    <t xml:space="preserve">XJHLW-FDJTD-20230601-00005-0001     </t>
  </si>
  <si>
    <t xml:space="preserve">XJHLW-FDJTD-20230601-00004-0001     </t>
  </si>
  <si>
    <t xml:space="preserve">XZFL-FDJTD-20230509-00001-0001      </t>
  </si>
  <si>
    <t xml:space="preserve">XZFL-FDJTD-20230512-00002-0001      </t>
  </si>
  <si>
    <t xml:space="preserve">XZFL-FDJTD-20230510-00004-0001      </t>
  </si>
  <si>
    <t xml:space="preserve">XZFL-FDJTD-20230515-00001-0001      </t>
  </si>
  <si>
    <t xml:space="preserve">XZFL-FDJTD-20230531-00001-0001      </t>
  </si>
  <si>
    <t xml:space="preserve">XZFL-FDJTD-20230526-00002-0001      </t>
  </si>
  <si>
    <t xml:space="preserve">XZFL-FDJTD-20230518-00001-0001      </t>
  </si>
  <si>
    <t xml:space="preserve">XZFL-FDJTD-20230529-00001-0001      </t>
  </si>
  <si>
    <t xml:space="preserve">XZFL-FDJTD-20230601-00014-0001      </t>
  </si>
  <si>
    <t xml:space="preserve">XZFL-FDJTD-20230601-00001-0001      </t>
  </si>
  <si>
    <t xml:space="preserve">XZFL-FDJTD-20230601-00002-0001      </t>
  </si>
  <si>
    <t xml:space="preserve">XZFL-FDJTD-20230601-00011-0001      </t>
  </si>
  <si>
    <t xml:space="preserve">XZFL-FDJTD-20230601-00005-0001      </t>
  </si>
  <si>
    <t xml:space="preserve">XZFL-FDJTD-20230601-00026-0001      </t>
  </si>
  <si>
    <t xml:space="preserve">XZFL-FDJTD-20230601-00025-0001      </t>
  </si>
  <si>
    <t xml:space="preserve">XZFL-FDJTD-20230601-00016-0001      </t>
  </si>
  <si>
    <t xml:space="preserve">XZFL-FDJTD-20230601-00022-0001      </t>
  </si>
  <si>
    <t xml:space="preserve">XZFL-FDJTD-20230601-00017-0001      </t>
  </si>
  <si>
    <t xml:space="preserve">XZFL-FDJTD-20230601-00023-0001      </t>
  </si>
  <si>
    <t xml:space="preserve">XZFL-FDJTD-20230601-00028-0001      </t>
  </si>
  <si>
    <t xml:space="preserve">XZFL-FDJTD-20230602-00005-0001      </t>
  </si>
  <si>
    <t xml:space="preserve">XZFL-FDJTD-20230601-00032-0001      </t>
  </si>
  <si>
    <t xml:space="preserve">XZFL-FDJTD-20230601-00033-0001      </t>
  </si>
  <si>
    <t xml:space="preserve">XZFL-FDJTD-20230707-00001-0001      </t>
  </si>
  <si>
    <t xml:space="preserve">WHYQY-FDJTD-20230703-00003-0001     </t>
  </si>
  <si>
    <t xml:space="preserve">WHSK-FDJTD-BI-20230630-90041-0001   </t>
  </si>
  <si>
    <t xml:space="preserve">WHTS-FDJTD-20230703-00001-0001      </t>
  </si>
  <si>
    <t xml:space="preserve">WHTS-FDJTD-BI-20230701-61311-0001   </t>
  </si>
  <si>
    <t xml:space="preserve">XJHLW-FDJTD-20230704-00002-0001     </t>
  </si>
  <si>
    <t xml:space="preserve">XJHLW-FDJTD-20230704-00003-0001     </t>
  </si>
  <si>
    <t xml:space="preserve">XZFL-FDJTD-20230627-00001-0001      </t>
  </si>
  <si>
    <t xml:space="preserve">XZFL-FDJTD-20230621-00001-0001      </t>
  </si>
  <si>
    <t xml:space="preserve">XZFL-FDJTD-20230621-00003-0001      </t>
  </si>
  <si>
    <t xml:space="preserve">XZFL-FDJTD-20230628-00001-0001      </t>
  </si>
  <si>
    <t xml:space="preserve">XZFL-FDJTD-20230630-00001-0001      </t>
  </si>
  <si>
    <t xml:space="preserve">XZFL-FDJTD-20230628-00002-0001      </t>
  </si>
  <si>
    <t xml:space="preserve">XZFL-FDJTD-20230703-00010-0001      </t>
  </si>
  <si>
    <t xml:space="preserve">XZFL-FDJTD-20230704-00005-0001      </t>
  </si>
  <si>
    <t xml:space="preserve">XZFL-FDJTD-20230703-00017-0001      </t>
  </si>
  <si>
    <t xml:space="preserve">XZFL-FDJTD-20230703-00013-0001      </t>
  </si>
  <si>
    <t xml:space="preserve">XZFL-FDJTD-20230704-00001-0001      </t>
  </si>
  <si>
    <t xml:space="preserve">XZFL-FDJTD-20230703-00014-0001      </t>
  </si>
  <si>
    <t xml:space="preserve">XZFL-FDJTD-20230704-00004-0001      </t>
  </si>
  <si>
    <t xml:space="preserve">XZFL-FDJTD-20230703-00015-0001      </t>
  </si>
  <si>
    <t xml:space="preserve">XZFL-FDJTD-20230704-00016-0001      </t>
  </si>
  <si>
    <t xml:space="preserve">XZFL-FDJTD-20230704-00015-0001      </t>
  </si>
  <si>
    <t xml:space="preserve">XZFL-FDJTD-20230704-00013-0001      </t>
  </si>
  <si>
    <t xml:space="preserve">XZFL-FDJTD-20230704-00014-0001      </t>
  </si>
  <si>
    <t xml:space="preserve">XZFL-FDJTD-BI-20230630-00083-0001   </t>
  </si>
  <si>
    <t xml:space="preserve">XZFL-FDJTD-BI-20230621-20900-0001   </t>
  </si>
  <si>
    <t xml:space="preserve">XZFL-FDJTD-20230704-00025-0001      </t>
  </si>
  <si>
    <t xml:space="preserve">XZFL-FDJTD-20230705-00001-0001      </t>
  </si>
  <si>
    <t xml:space="preserve">XZFL-FDJTD-20230704-00019-0001      </t>
  </si>
  <si>
    <t xml:space="preserve">XZFL-FDJTD-BI-20230621-20883-0001   </t>
  </si>
  <si>
    <t xml:space="preserve">XZFL-FDJTD-20230704-00022-0001      </t>
  </si>
  <si>
    <t xml:space="preserve">XZFL-FDJTD-BI-20230701-21336-0001   </t>
  </si>
  <si>
    <t xml:space="preserve">XZFL-FDJTD-BI-20230701-21327-0002   </t>
  </si>
  <si>
    <t xml:space="preserve">XZFL-FDJTD-BI-20230630-41241-0001   </t>
  </si>
  <si>
    <t xml:space="preserve">XZFL-FDJTD-BI-20230630-10340-0001   </t>
  </si>
  <si>
    <t xml:space="preserve">XZFL-FDJTD-BI-20230701-21325-0001   </t>
  </si>
  <si>
    <t xml:space="preserve">XZFL-FDJTD-BI-20230630-41108-0001   </t>
  </si>
  <si>
    <t xml:space="preserve">XZFL-FDJTD-BI-20230701-21326-0001   </t>
  </si>
  <si>
    <t xml:space="preserve">XZFL-FDJTD-BI-20230630-41153-0001   </t>
  </si>
  <si>
    <t xml:space="preserve">XZFL-FDJTD-BI-20230701-61330-0001   </t>
  </si>
  <si>
    <t xml:space="preserve">XZFL-FDJTD-BI-20230701-61329-0001   </t>
  </si>
  <si>
    <t xml:space="preserve">XZFL-FDJTD-BI-20230701-61287-0001   </t>
  </si>
  <si>
    <t xml:space="preserve">XZFL-FDJTD-BI-20230701-21336-0003   </t>
  </si>
  <si>
    <t xml:space="preserve">XZFL-FDJTD-BI-20230701-61288-0001   </t>
  </si>
  <si>
    <t xml:space="preserve">XZFL-FDJTD-BI-20230701-21336-0004   </t>
  </si>
  <si>
    <t xml:space="preserve">XZFL-FDJTD-BI-20230701-61324-0001   </t>
  </si>
  <si>
    <t xml:space="preserve">XZFL-FDJTD-BI-20230701-21337-0001   </t>
  </si>
  <si>
    <t xml:space="preserve">XZFL-FDJTD-BI-20230701-61335-0002   </t>
  </si>
  <si>
    <t xml:space="preserve">XZFL-FDJTD-BI-20230701-61332-0001   </t>
  </si>
  <si>
    <t xml:space="preserve">XZFL-FDJTD-BI-20230701-61338-0001   </t>
  </si>
  <si>
    <t xml:space="preserve">XZFL-FDJTD-BI-20230701-61332-0002   </t>
  </si>
  <si>
    <t xml:space="preserve">XZFL-FDJTD-BI-20230701-61340-0001   </t>
  </si>
  <si>
    <t xml:space="preserve">XZFL-FDJTD-BI-20230701-61333-0001   </t>
  </si>
  <si>
    <t xml:space="preserve">KSYQW-FDJTD-BI-20230701-61308-0002  </t>
  </si>
  <si>
    <t xml:space="preserve">KSYQW-FDJTD-BI-20230701-21309-0001  </t>
  </si>
  <si>
    <t xml:space="preserve">KSYQW-FDJTD-20230704-00001-0001     </t>
  </si>
  <si>
    <t xml:space="preserve">KSYQW-FDJTD-20230704-00003-0001     </t>
  </si>
  <si>
    <t xml:space="preserve">WHFL-FDJTD-20230629-00001-0001      </t>
  </si>
  <si>
    <t xml:space="preserve">KSYQW-FDJTD-BI-20230701-61308-0003  </t>
  </si>
  <si>
    <t xml:space="preserve">KSYQW-FDJTD-BI-20230701-61308-0004  </t>
  </si>
  <si>
    <t xml:space="preserve">KSYQW-FDJTD-BI-20230701-61308-0005  </t>
  </si>
  <si>
    <t xml:space="preserve">WHFL-FDJTD-20230703-00011-0001      </t>
  </si>
  <si>
    <t xml:space="preserve">WHFL-FDJTD-20230703-00010-0001      </t>
  </si>
  <si>
    <t xml:space="preserve">WHFL-FDJTD-20230703-00009-0001      </t>
  </si>
  <si>
    <t xml:space="preserve">WHFL-FDJTD-20230704-00003-0001      </t>
  </si>
  <si>
    <t xml:space="preserve">WHFL-FDJTD-20230704-00004-0001      </t>
  </si>
  <si>
    <t xml:space="preserve">WHFL-FDJTD-20230704-00019-0001      </t>
  </si>
  <si>
    <t xml:space="preserve">WHFL-FDJTD-20230704-00020-0001      </t>
  </si>
  <si>
    <t xml:space="preserve">WHFL-FDJTD-BI-20230701-21310-0001   </t>
  </si>
  <si>
    <t>数字场景应用中心</t>
  </si>
  <si>
    <t xml:space="preserve">WHFL-FDJTD-BI-20230630-00266-0001   </t>
  </si>
  <si>
    <t xml:space="preserve">WHFL-FDJTD-BI-20230701-61318-0001   </t>
  </si>
  <si>
    <t xml:space="preserve">WHFL-FDJTD-BI-20230701-61317-0001   </t>
  </si>
  <si>
    <t xml:space="preserve">WHFL-FDJTD-BI-20230701-61272-0002   </t>
  </si>
  <si>
    <t xml:space="preserve">WHFL-FDJTD-BI-20230701-21312-0001   </t>
  </si>
  <si>
    <t xml:space="preserve">WHFL-FDJTD-BI-20230701-61315-0002   </t>
  </si>
  <si>
    <t xml:space="preserve">WHFL-FDJTD-BI-20230701-21316-0001   </t>
  </si>
  <si>
    <t xml:space="preserve">WHFL-FDJTD-BI-20230701-61315-0003   </t>
  </si>
  <si>
    <t xml:space="preserve">WHFL-FDJTD-BI-20230701-61272-0001   </t>
  </si>
  <si>
    <t xml:space="preserve">WHFL-FDJTD-BI-20230701-61323-0001   </t>
  </si>
  <si>
    <t xml:space="preserve">WHFL-FDJTD-BI-20230701-61342-0001   </t>
  </si>
  <si>
    <t xml:space="preserve">WHFL-FDJTD-BI-20230701-61344-0001   </t>
  </si>
  <si>
    <t xml:space="preserve">WHLS-FDJTD-BI-20230701-61322-0001   </t>
  </si>
  <si>
    <t xml:space="preserve">WHLS-FDJTD-BI-20230701-21319-0002   </t>
  </si>
  <si>
    <t xml:space="preserve">WHLS-FDJTD-20230703-00007-0001      </t>
  </si>
  <si>
    <t xml:space="preserve">WHLS-FDJTD-BI-20230701-61320-0001   </t>
  </si>
  <si>
    <t xml:space="preserve">WHLS-FDJTD-20230703-00008-0001      </t>
  </si>
  <si>
    <t xml:space="preserve">WHLS-FDJTD-BI-20230701-61321-0001   </t>
  </si>
  <si>
    <t>江西福禄网络科技有限公司</t>
  </si>
  <si>
    <t xml:space="preserve">JXFL-FDJTD-20230704-00001-0001      </t>
  </si>
  <si>
    <t xml:space="preserve">XZFL-FDJTD-20230706-00001-0001      </t>
  </si>
  <si>
    <t xml:space="preserve">WHFL-FDJTD-20230724-00001-0001      </t>
  </si>
  <si>
    <t xml:space="preserve">WHFL-FDJTD-20230801-00018-0001      </t>
  </si>
  <si>
    <t xml:space="preserve">WHFL-FDJTD-20230801-00010-0001      </t>
  </si>
  <si>
    <t xml:space="preserve">WHFL-FDJTD-20230801-00017-0001      </t>
  </si>
  <si>
    <t xml:space="preserve">WHFL-FDJTD-20230802-00005-0001      </t>
  </si>
  <si>
    <t xml:space="preserve">WHFL-FDJTD-20230802-00001-0001      </t>
  </si>
  <si>
    <t xml:space="preserve">WHFL-FDJTD-20230802-00004-0001      </t>
  </si>
  <si>
    <t xml:space="preserve">WHFL-FDJTD-BI-20230801-21258-0001   </t>
  </si>
  <si>
    <t>渠道三线</t>
  </si>
  <si>
    <t xml:space="preserve">WHFL-FDJTD-BI-20230727-80157-0001   </t>
  </si>
  <si>
    <t xml:space="preserve">WHFL-FDJTD-BI-20230727-90376-0001   </t>
  </si>
  <si>
    <t xml:space="preserve">WHFL-FDJTD-BI-20230727-90501-0001   </t>
  </si>
  <si>
    <t xml:space="preserve">WHFL-FDJTD-20230802-00013-0001      </t>
  </si>
  <si>
    <t xml:space="preserve">WHFL-FDJTD-BI-20230801-21256-0001   </t>
  </si>
  <si>
    <t xml:space="preserve">WHFL-FDJTD-BI-20230801-81262-0001   </t>
  </si>
  <si>
    <t xml:space="preserve">WHFL-FDJTD-BI-20230801-21261-0001   </t>
  </si>
  <si>
    <t xml:space="preserve">WHFL-FDJTD-BI-20230801-81267-0001   </t>
  </si>
  <si>
    <t xml:space="preserve">WHFL-FDJTD-BI-20230801-81260-0002   </t>
  </si>
  <si>
    <t xml:space="preserve">WHFL-FDJTD-BI-20230801-81288-0001   </t>
  </si>
  <si>
    <t xml:space="preserve">WHFL-FDJTD-BI-20230801-81260-0003   </t>
  </si>
  <si>
    <t>直播电商中心</t>
  </si>
  <si>
    <t xml:space="preserve">WHFL-FDJTD-BI-20230801-81290-0001   </t>
  </si>
  <si>
    <t xml:space="preserve">WHLS-FDJTD-20230717-00001-0001      </t>
  </si>
  <si>
    <t xml:space="preserve">WHLS-FDJTD-20230717-00003-0001      </t>
  </si>
  <si>
    <t xml:space="preserve">WHLS-FDJTD-20230711-00001-0001      </t>
  </si>
  <si>
    <t xml:space="preserve">WHLS-FDJTD-20230801-00004-0001      </t>
  </si>
  <si>
    <t xml:space="preserve">WHLS-FDJTD-20230801-00005-0001      </t>
  </si>
  <si>
    <t xml:space="preserve">WHLS-FDJTD-20230801-00003-0001      </t>
  </si>
  <si>
    <t xml:space="preserve">WHTS-FDJTD-BI-20230801-81257-0001   </t>
  </si>
  <si>
    <t xml:space="preserve">WHLS-FDJTD-BI-20230801-81266-0001   </t>
  </si>
  <si>
    <t xml:space="preserve">WHLS-FDJTD-BI-20230801-21263-0002   </t>
  </si>
  <si>
    <t xml:space="preserve">WHLS-FDJTD-BI-20230801-81264-0001   </t>
  </si>
  <si>
    <t xml:space="preserve">WHSK-FDJTD-BI-20230731-61245-0001   </t>
  </si>
  <si>
    <t xml:space="preserve">WHLS-FDJTD-BI-20230801-81265-0001   </t>
  </si>
  <si>
    <t xml:space="preserve">WHTS-FDJTD-20230801-00001-0001      </t>
  </si>
  <si>
    <t xml:space="preserve">XJHLW-FDJTD-20230801-00001-0001     </t>
  </si>
  <si>
    <t xml:space="preserve">WHYQY-FDJTD-20230801-00001-0001     </t>
  </si>
  <si>
    <t xml:space="preserve">XJHLW-FDJTD-20230721-00001-0001     </t>
  </si>
  <si>
    <t xml:space="preserve">XJHLW-FDJTD-20230721-00002-0001     </t>
  </si>
  <si>
    <t xml:space="preserve">XJHLW-FDJTD-20230801-00002-0001     </t>
  </si>
  <si>
    <t xml:space="preserve">XZFL-FDJTD-20230711-00002-0001      </t>
  </si>
  <si>
    <t xml:space="preserve">XZFL-FDJTD-20230713-00002-0001      </t>
  </si>
  <si>
    <t xml:space="preserve">XZFL-FDJTD-20230711-00001-0001      </t>
  </si>
  <si>
    <t xml:space="preserve">XZFL-FDJTD-20230713-00003-0001      </t>
  </si>
  <si>
    <t xml:space="preserve">XZFL-FDJTD-20230719-00005-0001      </t>
  </si>
  <si>
    <t xml:space="preserve">XZFL-FDJTD-20230718-00004-0001      </t>
  </si>
  <si>
    <t xml:space="preserve">XZFL-FDJTD-20230719-00001-0001      </t>
  </si>
  <si>
    <t xml:space="preserve">XZFL-FDJTD-20230719-00002-0001      </t>
  </si>
  <si>
    <t xml:space="preserve">XZFL-FDJTD-20230719-00003-0001      </t>
  </si>
  <si>
    <t xml:space="preserve">XZFL-FDJTD-20230721-00005-0001      </t>
  </si>
  <si>
    <t xml:space="preserve">XZFL-FDJTD-20230720-00001-0001      </t>
  </si>
  <si>
    <t xml:space="preserve">XZFL-FDJTD-20230721-00006-0001      </t>
  </si>
  <si>
    <t xml:space="preserve">XZFL-FDJTD-20230720-00002-0001      </t>
  </si>
  <si>
    <t xml:space="preserve">XZFL-FDJTD-20230721-00008-0001      </t>
  </si>
  <si>
    <t xml:space="preserve">XZFL-FDJTD-20230721-00004-0001      </t>
  </si>
  <si>
    <t xml:space="preserve">XZFL-FDJTD-20230801-00018-0001      </t>
  </si>
  <si>
    <t xml:space="preserve">XZFL-FDJTD-20230801-00012-0001      </t>
  </si>
  <si>
    <t xml:space="preserve">XZFL-FDJTD-20230801-00009-0001      </t>
  </si>
  <si>
    <t xml:space="preserve">XZFL-FDJTD-20230801-00015-0001      </t>
  </si>
  <si>
    <t xml:space="preserve">XZFL-FDJTD-20230801-00017-0001      </t>
  </si>
  <si>
    <t xml:space="preserve">XZFL-FDJTD-20230801-00028-0001      </t>
  </si>
  <si>
    <t xml:space="preserve">XZFL-FDJTD-20230801-00022-0001      </t>
  </si>
  <si>
    <t xml:space="preserve">XZFL-FDJTD-20230801-00019-0001      </t>
  </si>
  <si>
    <t xml:space="preserve">XZFL-FDJTD-20230801-00023-0001      </t>
  </si>
  <si>
    <t xml:space="preserve">XZFL-FDJTD-20230801-00020-0001      </t>
  </si>
  <si>
    <t xml:space="preserve">XZFL-FDJTD-20230801-00024-0001      </t>
  </si>
  <si>
    <t xml:space="preserve">XZFL-FDJTD-20230801-00021-0001      </t>
  </si>
  <si>
    <t xml:space="preserve">XZFL-FDJTD-20230801-00026-0001      </t>
  </si>
  <si>
    <t xml:space="preserve">XZFL-FDJTD-20230802-00014-0001      </t>
  </si>
  <si>
    <t xml:space="preserve">XZFL-FDJTD-20230802-00002-0001      </t>
  </si>
  <si>
    <t xml:space="preserve">XZFL-FDJTD-20230802-00005-0001      </t>
  </si>
  <si>
    <t xml:space="preserve">XZFL-FDJTD-20230802-00012-0001      </t>
  </si>
  <si>
    <t xml:space="preserve">XZFL-FDJTD-20230802-00006-0001      </t>
  </si>
  <si>
    <t xml:space="preserve">XZFL-FDJTD-20230802-00013-0001      </t>
  </si>
  <si>
    <t xml:space="preserve">XZFL-FDJTD-BI-20230801-21282-0002   </t>
  </si>
  <si>
    <t xml:space="preserve">XZFL-FDJTD-BI-20230727-00830-0001   </t>
  </si>
  <si>
    <t xml:space="preserve">XZFL-FDJTD-20230802-00015-0001      </t>
  </si>
  <si>
    <t xml:space="preserve">XZFL-FDJTD-BI-20230727-90557-0001   </t>
  </si>
  <si>
    <t xml:space="preserve">XZFL-FDJTD-BI-20230801-21269-0001   </t>
  </si>
  <si>
    <t xml:space="preserve">XZFL-FDJTD-BI-20230722-20854-0001   </t>
  </si>
  <si>
    <t xml:space="preserve">XZFL-FDJTD-BI-20230801-21270-0002   </t>
  </si>
  <si>
    <t xml:space="preserve">XZFL-FDJTD-BI-20230801-71286-0001   </t>
  </si>
  <si>
    <t xml:space="preserve">XZFL-FDJTD-BI-20230801-71233-0001   </t>
  </si>
  <si>
    <t xml:space="preserve">XZFL-FDJTD-BI-20230801-21282-0003   </t>
  </si>
  <si>
    <t xml:space="preserve">XZFL-FDJTD-BI-20230801-71268-0001   </t>
  </si>
  <si>
    <t xml:space="preserve">XZFL-FDJTD-BI-20230801-21283-0001   </t>
  </si>
  <si>
    <t xml:space="preserve">XZFL-FDJTD-BI-20230801-71274-0001   </t>
  </si>
  <si>
    <t xml:space="preserve">XZFL-FDJTD-BI-20230801-21285-0002   </t>
  </si>
  <si>
    <t xml:space="preserve">XZFL-FDJTD-BI-20230801-71277-0001   </t>
  </si>
  <si>
    <t xml:space="preserve">XZFL-FDJTD-BI-20230801-81276-0002   </t>
  </si>
  <si>
    <t xml:space="preserve">XZFL-FDJTD-BI-20230801-81272-0001   </t>
  </si>
  <si>
    <t xml:space="preserve">XZFL-FDJTD-BI-20230801-81278-0001   </t>
  </si>
  <si>
    <t xml:space="preserve">XZFL-FDJTD-BI-20230801-81273-0001   </t>
  </si>
  <si>
    <t xml:space="preserve">XZFL-FDJTD-BI-20230801-81280-0001   </t>
  </si>
  <si>
    <t xml:space="preserve">XZFL-FDJTD-BI-20230801-81276-0001   </t>
  </si>
  <si>
    <t xml:space="preserve">XZFL-FDJTD-BI-20230801-81284-0001   </t>
  </si>
  <si>
    <t xml:space="preserve">KSYQW-FDJTD-20230720-00003-0001     </t>
  </si>
  <si>
    <t xml:space="preserve">KSYQW-FDJTD-20230720-00002-0001     </t>
  </si>
  <si>
    <t xml:space="preserve">KSYQW-FDJTD-BI-20230801-81254-0005  </t>
  </si>
  <si>
    <t xml:space="preserve">KSYQW-FDJTD-BI-20230801-21255-0002  </t>
  </si>
  <si>
    <t xml:space="preserve">KSYQW-FDJTD-20230801-00001-0001     </t>
  </si>
  <si>
    <t xml:space="preserve">KSYQW-FDJTD-BI-20230801-81254-0001  </t>
  </si>
  <si>
    <t xml:space="preserve">KSYQW-FDJTD-20230801-00002-0001     </t>
  </si>
  <si>
    <t xml:space="preserve">KSYQW-FDJTD-BI-20230801-81254-0003  </t>
  </si>
  <si>
    <t xml:space="preserve">KSYQW-FDJTD-BI-20230801-81254-0004  </t>
  </si>
  <si>
    <t xml:space="preserve">WHFL-FDJTD-20230720-00002-0001      </t>
  </si>
  <si>
    <t>西藏葫芦娃网络科技有限公司</t>
  </si>
  <si>
    <t xml:space="preserve">LSFL-FDJTD-20230801-00001-0001      </t>
  </si>
  <si>
    <t xml:space="preserve">WHFL-FDJTD-20230720-00001-0001      </t>
  </si>
  <si>
    <t xml:space="preserve">JXFL-FDJTD-20230802-00001-0001      </t>
  </si>
  <si>
    <t xml:space="preserve">XZFL-FDJTD-20230802-00016-0001      </t>
  </si>
  <si>
    <t xml:space="preserve">XZFL-FDJTD-20230802-00017-0001      </t>
  </si>
  <si>
    <t xml:space="preserve">XZFL-FDJTD-20230802-00019-0001      </t>
  </si>
  <si>
    <t xml:space="preserve">HNFL-FDJTD-20230828-00001-0001      </t>
  </si>
  <si>
    <t xml:space="preserve">KSYQW-FDJTD-BI-20230901-90134-0003  </t>
  </si>
  <si>
    <t xml:space="preserve">KSYQW-FDJTD-BI-20230901-90134-0004  </t>
  </si>
  <si>
    <t xml:space="preserve">KSYQW-FDJTD-BI-20230901-21208-0001  </t>
  </si>
  <si>
    <t xml:space="preserve">KSYQW-FDJTD-BI-20230901-90134-0005  </t>
  </si>
  <si>
    <t xml:space="preserve">KSYQW-FDJTD-BI-20230901-90134-0002  </t>
  </si>
  <si>
    <t xml:space="preserve">WHFL-FDJTD-20230828-00004-0001      </t>
  </si>
  <si>
    <t xml:space="preserve">WHFL-FDJTD-20230901-00019-0001      </t>
  </si>
  <si>
    <t xml:space="preserve">WHFL-FDJTD-BI-20230901-90055-0001   </t>
  </si>
  <si>
    <t xml:space="preserve">WHFL-FDJTD-BI-20230901-31215-0001   </t>
  </si>
  <si>
    <t xml:space="preserve">WHFL-FDJTD-BI-20230804-20094-0001   </t>
  </si>
  <si>
    <t xml:space="preserve">WHFL-FDJTD-20230901-00022-0001      </t>
  </si>
  <si>
    <t xml:space="preserve">WHFL-FDJTD-BI-20230901-21209-0001   </t>
  </si>
  <si>
    <t xml:space="preserve">WHFL-FDJTD-BI-20230901-21212-0001   </t>
  </si>
  <si>
    <t xml:space="preserve">WHFL-FDJTD-BI-20230901-90168-0001   </t>
  </si>
  <si>
    <t xml:space="preserve">WHFL-FDJTD-BI-20230901-90139-0002   </t>
  </si>
  <si>
    <t xml:space="preserve">WHFL-FDJTD-BI-20230901-90171-0001   </t>
  </si>
  <si>
    <t xml:space="preserve">WHFL-FDJTD-BI-20230901-90141-0001   </t>
  </si>
  <si>
    <t xml:space="preserve">WHFL-FDJTD-BI-20230901-90147-0001   </t>
  </si>
  <si>
    <t xml:space="preserve">WHLS-FDJTD-BI-20230901-90146-0001   </t>
  </si>
  <si>
    <t xml:space="preserve">WHLS-FDJTD-BI-20230901-90145-0001   </t>
  </si>
  <si>
    <t xml:space="preserve">WHLS-FDJTD-20230901-00004-0001      </t>
  </si>
  <si>
    <t xml:space="preserve">WHLS-FDJTD-BI-20230901-21216-0002   </t>
  </si>
  <si>
    <t xml:space="preserve">WHLS-FDJTD-BI-20230901-90144-0001   </t>
  </si>
  <si>
    <t xml:space="preserve">WHLS-FDJTD-20230901-00003-0001      </t>
  </si>
  <si>
    <t xml:space="preserve">WHYQY-FDJTD-20230901-00002-0001     </t>
  </si>
  <si>
    <t xml:space="preserve">WHTS-FDJTD-BI-20230901-90137-0001   </t>
  </si>
  <si>
    <t xml:space="preserve">WHSK-FDJTD-BI-20230901-90169-0001   </t>
  </si>
  <si>
    <t xml:space="preserve">WHTS-FDJTD-BI-20230901-90172-0001   </t>
  </si>
  <si>
    <t xml:space="preserve">WHTS-FDJTD-20230831-00001-0001      </t>
  </si>
  <si>
    <t xml:space="preserve">WHTS-FDJTD-20230901-00001-0001      </t>
  </si>
  <si>
    <t xml:space="preserve">XZFL-FDJTD-20230816-00001-0001      </t>
  </si>
  <si>
    <t xml:space="preserve">XZFL-FDJTD-20230807-00002-0001      </t>
  </si>
  <si>
    <t xml:space="preserve">XZFL-FDJTD-20230808-00001-0001      </t>
  </si>
  <si>
    <t xml:space="preserve">XZFL-FDJTD-20230831-00005-0001      </t>
  </si>
  <si>
    <t xml:space="preserve">XZFL-FDJTD-20230828-00001-0001      </t>
  </si>
  <si>
    <t xml:space="preserve">XZFL-FDJTD-20230828-00002-0001      </t>
  </si>
  <si>
    <t xml:space="preserve">XZFL-FDJTD-20230830-00002-0001      </t>
  </si>
  <si>
    <t xml:space="preserve">XZFL-FDJTD-20230901-00008-0001      </t>
  </si>
  <si>
    <t xml:space="preserve">XZFL-FDJTD-20230901-00001-0001      </t>
  </si>
  <si>
    <t xml:space="preserve">XZFL-FDJTD-20230831-00007-0001      </t>
  </si>
  <si>
    <t xml:space="preserve">XZFL-FDJTD-20230831-00014-0001      </t>
  </si>
  <si>
    <t xml:space="preserve">XZFL-FDJTD-20230831-00008-0001      </t>
  </si>
  <si>
    <t xml:space="preserve">XZFL-FDJTD-BI-20230812-20441-0001   </t>
  </si>
  <si>
    <t xml:space="preserve">XZFL-FDJTD-BI-20230808-20288-0002   </t>
  </si>
  <si>
    <t xml:space="preserve">XZFL-FDJTD-20230901-00030-0001      </t>
  </si>
  <si>
    <t xml:space="preserve">XZFL-FDJTD-20230901-00018-0001      </t>
  </si>
  <si>
    <t xml:space="preserve">XZFL-FDJTD-20230901-00031-0001      </t>
  </si>
  <si>
    <t xml:space="preserve">XZFL-FDJTD-20230901-00020-0001      </t>
  </si>
  <si>
    <t xml:space="preserve">XZFL-FDJTD-20230901-00033-0001      </t>
  </si>
  <si>
    <t xml:space="preserve">XZFL-FDJTD-20230901-00026-0001      </t>
  </si>
  <si>
    <t xml:space="preserve">XZFL-FDJTD-BI-20230901-21234-0001   </t>
  </si>
  <si>
    <t xml:space="preserve">XZFL-FDJTD-BI-20230901-21233-0003   </t>
  </si>
  <si>
    <t xml:space="preserve">XZFL-FDJTD-BI-20230901-21222-0001   </t>
  </si>
  <si>
    <t xml:space="preserve">XZFL-FDJTD-BI-20230901-10569-0001   </t>
  </si>
  <si>
    <t xml:space="preserve">XZFL-FDJTD-BI-20230901-21223-0002   </t>
  </si>
  <si>
    <t xml:space="preserve">XZFL-FDJTD-BI-20230901-20950-0001   </t>
  </si>
  <si>
    <t xml:space="preserve">XZFL-FDJTD-BI-20230901-21233-0002   </t>
  </si>
  <si>
    <t xml:space="preserve">XZFL-FDJTD-BI-20230901-21221-0001   </t>
  </si>
  <si>
    <t xml:space="preserve">XZFL-FDJTD-BI-20230901-90157-0001   </t>
  </si>
  <si>
    <t xml:space="preserve">XZFL-FDJTD-BI-20230901-90154-0001   </t>
  </si>
  <si>
    <t xml:space="preserve">XZFL-FDJTD-BI-20230901-90114-0001   </t>
  </si>
  <si>
    <t xml:space="preserve">XZFL-FDJTD-BI-20230901-31185-0001   </t>
  </si>
  <si>
    <t xml:space="preserve">XZFL-FDJTD-BI-20230901-90121-0001   </t>
  </si>
  <si>
    <t xml:space="preserve">XZFL-FDJTD-BI-20230901-90105-0001   </t>
  </si>
  <si>
    <t xml:space="preserve">XZFL-FDJTD-BI-20230901-90153-0001   </t>
  </si>
  <si>
    <t xml:space="preserve">XZFL-FDJTD-BI-20230901-90113-0001   </t>
  </si>
  <si>
    <t xml:space="preserve">XZFL-FDJTD-BI-20230901-90164-0001   </t>
  </si>
  <si>
    <t xml:space="preserve">XZFL-FDJTD-BI-20230901-90157-0002   </t>
  </si>
  <si>
    <t xml:space="preserve">XZFL-FDJTD-BI-20230901-90160-0001   </t>
  </si>
  <si>
    <t xml:space="preserve">XZFL-FDJTD-BI-20230901-90162-0001   </t>
  </si>
  <si>
    <t xml:space="preserve">XZFL-FDJTD-20230907-00003-0001      </t>
  </si>
  <si>
    <t xml:space="preserve">XJHLW-FDJTD-20230901-00004-0001     </t>
  </si>
  <si>
    <t xml:space="preserve">XJHLW-FDJTD-20230901-00003-0001     </t>
  </si>
  <si>
    <t xml:space="preserve">WHTS-FDJTD-20230904-00001-0001      </t>
  </si>
  <si>
    <t xml:space="preserve">KSYQW-FDJTD-20230901-00002-0001     </t>
  </si>
  <si>
    <t xml:space="preserve">KSYQW-FDJTD-20230904-00001-0001     </t>
  </si>
  <si>
    <t xml:space="preserve">KSYQW-FDJTD-20230901-00001-0001     </t>
  </si>
  <si>
    <t xml:space="preserve">WHFL-FDJTD-20230901-00027-0001      </t>
  </si>
  <si>
    <t xml:space="preserve">WHFL-FDJTD-20230901-00026-0001      </t>
  </si>
  <si>
    <t xml:space="preserve">WHFL-FDJTD-20230904-00002-0001      </t>
  </si>
  <si>
    <t xml:space="preserve">WHFL-FDJTD-20230904-00001-0001      </t>
  </si>
  <si>
    <t xml:space="preserve">WHFL-FDJTD-20230901-00032-0001      </t>
  </si>
  <si>
    <t xml:space="preserve">WHFL-FDJTD-20230901-00033-0001      </t>
  </si>
  <si>
    <t xml:space="preserve">WHFL-FDJTD-20230904-00003-0001      </t>
  </si>
  <si>
    <t xml:space="preserve">WHFL-FDJTD-20230904-00005-0001      </t>
  </si>
  <si>
    <t xml:space="preserve">WHTS-FDJTD-20230831-00002-0001      </t>
  </si>
  <si>
    <t xml:space="preserve">XZFL-FDJTD-20230901-00014-0001      </t>
  </si>
  <si>
    <t xml:space="preserve">XZFL-FDJTD-20230901-00013-0001      </t>
  </si>
  <si>
    <t xml:space="preserve">XZFL-FDJTD-20230901-00034-0001      </t>
  </si>
  <si>
    <t xml:space="preserve">XZFL-FDJTD-20230901-00024-0001      </t>
  </si>
  <si>
    <t xml:space="preserve">XZFL-FDJTD-20230901-00023-0001      </t>
  </si>
  <si>
    <t xml:space="preserve">XZFL-FDJTD-20230904-00004-0001      </t>
  </si>
  <si>
    <t xml:space="preserve">XZFL-FDJTD-20230901-00035-0001      </t>
  </si>
  <si>
    <t xml:space="preserve">XZFL-FDJTD-20230904-00007-0001      </t>
  </si>
  <si>
    <t xml:space="preserve">XZFL-FDJTD-20230901-00037-0001      </t>
  </si>
  <si>
    <t xml:space="preserve">XZFL-FDJTD-20230904-00008-0001      </t>
  </si>
  <si>
    <t xml:space="preserve">XZFL-FDJTD-20230904-00001-0001      </t>
  </si>
  <si>
    <t xml:space="preserve">JXFL-FDJTD-20230904-00002-0001      </t>
  </si>
  <si>
    <t xml:space="preserve">JXFL-FDJTD-20230904-00006-0001      </t>
  </si>
  <si>
    <t xml:space="preserve">WHFL-FDJTD-20230905-00001-0001      </t>
  </si>
  <si>
    <t xml:space="preserve">XZFL-FDJTD-20230904-00009-0001      </t>
  </si>
  <si>
    <t xml:space="preserve">XZFL-FDJTD-20230905-00001-0001      </t>
  </si>
  <si>
    <t xml:space="preserve">XZFL-FDJTD-20230906-00001-0001      </t>
  </si>
  <si>
    <t>XJHLW-FDJTD-20231007-00002</t>
  </si>
  <si>
    <t>WHYQY-FDJTD-20231008-00001</t>
  </si>
  <si>
    <t>XJHLW-FDJTD-20231007-00003</t>
  </si>
  <si>
    <t>WHTS-FDJTD-20231007-00001</t>
  </si>
  <si>
    <t>WHFL-FDJTD-20230924-00001</t>
  </si>
  <si>
    <t>WHFL-FDJTD-20231007-00010</t>
  </si>
  <si>
    <t>WHFL-FDJTD-20231007-00016</t>
  </si>
  <si>
    <t>WHFL-FDJTD-20231007-00024</t>
  </si>
  <si>
    <t>WHFL-FDJTD-20231007-00026</t>
  </si>
  <si>
    <t>WHFL-FDJTD-20231007-00027</t>
  </si>
  <si>
    <t>WHFL-FDJTD-20231007-00023</t>
  </si>
  <si>
    <t>WHFL-FDJTD-20231008-00009</t>
  </si>
  <si>
    <t>WHFL-FDJTD-20231008-00008</t>
  </si>
  <si>
    <t>WHFL-FDJTD-20231008-00007</t>
  </si>
  <si>
    <t>WHFL-FDJTD-20231008-00003</t>
  </si>
  <si>
    <t>WHLS-FDJTD-20231007-00003</t>
  </si>
  <si>
    <t>JXFL-FDJTD-20231007-00001</t>
  </si>
  <si>
    <t>JXFL-FDJTD-20231007-00005</t>
  </si>
  <si>
    <t>LSFL-FDJTD-20231008-00001</t>
  </si>
  <si>
    <t>KSYQW-FDJTD-20231007-00001</t>
  </si>
  <si>
    <t>KSYQW-FDJTD-20231007-00002</t>
  </si>
  <si>
    <t>XZFL-FDJTD-20230907-00002</t>
  </si>
  <si>
    <t>XZFL-FDJTD-20230907-00001</t>
  </si>
  <si>
    <t>XZFL-FDJTD-20230908-00002</t>
  </si>
  <si>
    <t>XZFL-FDJTD-20230922-00002</t>
  </si>
  <si>
    <t>XZFL-FDJTD-20230922-00001</t>
  </si>
  <si>
    <t>XZFL-FDJTD-20230919-00001</t>
  </si>
  <si>
    <t>XZFL-FDJTD-20230920-00001</t>
  </si>
  <si>
    <t>XZFL-FDJTD-20230921-00001</t>
  </si>
  <si>
    <t>XZFL-FDJTD-20230927-00001</t>
  </si>
  <si>
    <t>XZFL-FDJTD-20230925-00002</t>
  </si>
  <si>
    <t>XZFL-FDJTD-20231007-00007</t>
  </si>
  <si>
    <t>XZFL-FDJTD-20231007-00003</t>
  </si>
  <si>
    <t>XZFL-FDJTD-20231007-00005</t>
  </si>
  <si>
    <t>XZFL-FDJTD-20231007-00001</t>
  </si>
  <si>
    <t>XZFL-FDJTD-20231007-00017</t>
  </si>
  <si>
    <t>XZFL-FDJTD-20231007-00016</t>
  </si>
  <si>
    <t>XZFL-FDJTD-20231007-00008</t>
  </si>
  <si>
    <t>XZFL-FDJTD-20231007-00014</t>
  </si>
  <si>
    <t>XZFL-FDJTD-20231007-00015</t>
  </si>
  <si>
    <t>XZFL-FDJTD-20231007-00026</t>
  </si>
  <si>
    <t>XZFL-FDJTD-20231007-00024</t>
  </si>
  <si>
    <t>XZFL-FDJTD-20231007-00021</t>
  </si>
  <si>
    <t>XZFL-FDJTD-20231007-00018</t>
  </si>
  <si>
    <t>XZFL-FDJTD-20231007-00022</t>
  </si>
  <si>
    <t>XZFL-FDJTD-20231007-00019</t>
  </si>
  <si>
    <t>XZFL-FDJTD-20231007-00023</t>
  </si>
  <si>
    <t>XZFL-FDJTD-20231007-00020</t>
  </si>
  <si>
    <t>XZFL-FDJTD-20231008-00003</t>
  </si>
  <si>
    <t>XZFL-FDJTD-20231007-00027</t>
  </si>
  <si>
    <t>XZFL-FDJTD-20231008-00004</t>
  </si>
  <si>
    <t>XZFL-FDJTD-20231007-00029</t>
  </si>
  <si>
    <t>XZFL-FDJTD-20231008-00001</t>
  </si>
  <si>
    <t>XZFL-FDJTD-20231009-00002</t>
  </si>
  <si>
    <t xml:space="preserve">XZFL-FDJTD-20231107-00004-0001      </t>
  </si>
  <si>
    <t xml:space="preserve">XZFL-FDJTD-20231107-00005-0001      </t>
  </si>
  <si>
    <t xml:space="preserve">XZFL-FDJTD-20231102-00002-0001      </t>
  </si>
  <si>
    <t xml:space="preserve">XZFL-FDJTD-20231101-00023-0001      </t>
  </si>
  <si>
    <t xml:space="preserve">XZFL-FDJTD-20231101-00020-0001      </t>
  </si>
  <si>
    <t xml:space="preserve">XZFL-FDJTD-20231101-00025-0001      </t>
  </si>
  <si>
    <t xml:space="preserve">XZFL-FDJTD-20231101-00021-0001      </t>
  </si>
  <si>
    <t xml:space="preserve">XZFL-FDJTD-20231101-00026-0001      </t>
  </si>
  <si>
    <t xml:space="preserve">XZFL-FDJTD-20231101-00022-0001      </t>
  </si>
  <si>
    <t xml:space="preserve">XZFL-FDJTD-20231102-00001-0001      </t>
  </si>
  <si>
    <t xml:space="preserve">XZFL-FDJTD-BI-20231101-21136-0001   </t>
  </si>
  <si>
    <t xml:space="preserve">XZFL-FDJTD-20231102-00004-0001      </t>
  </si>
  <si>
    <t xml:space="preserve">XZFL-FDJTD-20231102-00009-0001      </t>
  </si>
  <si>
    <t xml:space="preserve">XZFL-FDJTD-20231102-00006-0001      </t>
  </si>
  <si>
    <t xml:space="preserve">XZFL-FDJTD-BI-20231030-00907-0001   </t>
  </si>
  <si>
    <t xml:space="preserve">XZFL-FDJTD-20231102-00007-0001      </t>
  </si>
  <si>
    <t xml:space="preserve">XZFL-FDJTD-BI-20231030-90427-0001   </t>
  </si>
  <si>
    <t xml:space="preserve">XZFL-FDJTD-BI-20231101-61097-0001   </t>
  </si>
  <si>
    <t xml:space="preserve">XZFL-FDJTD-BI-20231101-21149-0002   </t>
  </si>
  <si>
    <t xml:space="preserve">XZFL-FDJTD-BI-20231101-21137-0001   </t>
  </si>
  <si>
    <t xml:space="preserve">XZFL-FDJTD-BI-20231101-21151-0001   </t>
  </si>
  <si>
    <t xml:space="preserve">XZFL-FDJTD-BI-20231101-21138-0001   </t>
  </si>
  <si>
    <t xml:space="preserve">XZFL-FDJTD-BI-20231101-21151-0002   </t>
  </si>
  <si>
    <t xml:space="preserve">XZFL-FDJTD-BI-20231101-21139-0002   </t>
  </si>
  <si>
    <t xml:space="preserve">XZFL-FDJTD-BI-20231101-21153-0002   </t>
  </si>
  <si>
    <t xml:space="preserve">XZFL-FDJTD-BI-20231101-61148-0001   </t>
  </si>
  <si>
    <t xml:space="preserve">XZFL-FDJTD-BI-20231101-61143-0001   </t>
  </si>
  <si>
    <t xml:space="preserve">XZFL-FDJTD-BI-20231101-61106-0001   </t>
  </si>
  <si>
    <t xml:space="preserve">XZFL-FDJTD-BI-20231101-61145-0001   </t>
  </si>
  <si>
    <t xml:space="preserve">XZFL-FDJTD-BI-20231101-61141-0001   </t>
  </si>
  <si>
    <t xml:space="preserve">XZFL-FDJTD-BI-20231101-61145-0002   </t>
  </si>
  <si>
    <t xml:space="preserve">XZFL-FDJTD-BI-20231101-61142-0001   </t>
  </si>
  <si>
    <t xml:space="preserve">XZFL-FDJTD-BI-20231101-61146-0001   </t>
  </si>
  <si>
    <t xml:space="preserve">XZFL-FDJTD-BI-20231101-61152-0001   </t>
  </si>
  <si>
    <t xml:space="preserve">XZFL-FDJTD-BI-20231101-61154-0001   </t>
  </si>
  <si>
    <t xml:space="preserve">KSYQW-FDJTD-20231030-00001-0001     </t>
  </si>
  <si>
    <t xml:space="preserve">JXFL-FDJTD-20231102-00001-0001      </t>
  </si>
  <si>
    <t xml:space="preserve">KSYQW-FDJTD-BI-20231101-21124-0001  </t>
  </si>
  <si>
    <t xml:space="preserve">KSYQW-FDJTD-20231101-00001-0001     </t>
  </si>
  <si>
    <t xml:space="preserve">KSYQW-FDJTD-BI-20231101-61123-0002  </t>
  </si>
  <si>
    <t xml:space="preserve">KSYQW-FDJTD-20231101-00002-0001     </t>
  </si>
  <si>
    <t xml:space="preserve">KSYQW-FDJTD-BI-20231101-61123-0003  </t>
  </si>
  <si>
    <t xml:space="preserve">KSYQW-FDJTD-BI-20231101-61123-0004  </t>
  </si>
  <si>
    <t xml:space="preserve">WHFL-FDJTD-20231030-00004-0001      </t>
  </si>
  <si>
    <t xml:space="preserve">WHFL-FDJTD-20231101-00005-0001      </t>
  </si>
  <si>
    <t xml:space="preserve">WHFL-FDJTD-20231101-00001-0001      </t>
  </si>
  <si>
    <t xml:space="preserve">WHFL-FDJTD-20231101-00020-0001      </t>
  </si>
  <si>
    <t xml:space="preserve">WHFL-FDJTD-20231101-00013-0001      </t>
  </si>
  <si>
    <t xml:space="preserve">WHFL-FDJTD-20231101-00019-0001      </t>
  </si>
  <si>
    <t xml:space="preserve">WHFL-FDJTD-20231102-00004-0001      </t>
  </si>
  <si>
    <t xml:space="preserve">WHFL-FDJTD-20231102-00006-0001      </t>
  </si>
  <si>
    <t xml:space="preserve">WHFL-FDJTD-20231102-00003-0001      </t>
  </si>
  <si>
    <t xml:space="preserve">WHFL-FDJTD-BI-20231030-80032-0001   </t>
  </si>
  <si>
    <t xml:space="preserve">WHFL-FDJTD-BI-20231101-61159-0001   </t>
  </si>
  <si>
    <t xml:space="preserve">WHFL-FDJTD-BI-20231101-61128-0002   </t>
  </si>
  <si>
    <t xml:space="preserve">WHFL-FDJTD-BI-20231030-90548-0001   </t>
  </si>
  <si>
    <t xml:space="preserve">WHFL-FDJTD-BI-20231101-61130-0001   </t>
  </si>
  <si>
    <t xml:space="preserve">WHFL-FDJTD-BI-20231101-21125-0001   </t>
  </si>
  <si>
    <t xml:space="preserve">WHFL-FDJTD-BI-20231101-61135-0001   </t>
  </si>
  <si>
    <t xml:space="preserve">WHFL-FDJTD-BI-20231101-21129-0001   </t>
  </si>
  <si>
    <t xml:space="preserve">WHFL-FDJTD-BI-20231101-61156-0001   </t>
  </si>
  <si>
    <t>私域电商中心</t>
  </si>
  <si>
    <t xml:space="preserve">WHFL-FDJTD-BI-20231101-61160-0001   </t>
  </si>
  <si>
    <t xml:space="preserve">WHLS-FDJTD-20231024-00001-0001      </t>
  </si>
  <si>
    <t xml:space="preserve">WHLS-FDJTD-BI-20231101-61132-0001   </t>
  </si>
  <si>
    <t xml:space="preserve">WHLS-FDJTD-BI-20231101-21131-0002   </t>
  </si>
  <si>
    <t xml:space="preserve">WHTS-FDJTD-BI-20231101-61126-0001   </t>
  </si>
  <si>
    <t xml:space="preserve">WHSK-FDJTD-BI-20231101-61157-0001   </t>
  </si>
  <si>
    <t xml:space="preserve">WHLS-FDJTD-BI-20231101-61133-0001   </t>
  </si>
  <si>
    <t xml:space="preserve">WHLS-FDJTD-BI-20231101-61134-0001   </t>
  </si>
  <si>
    <t xml:space="preserve">WHTS-FDJTD-20231101-00001-0001      </t>
  </si>
  <si>
    <t xml:space="preserve">WHYQY-FDJTD-20231101-00002-0001     </t>
  </si>
  <si>
    <t xml:space="preserve">XJHLW-FDJTD-20231101-00002-0001     </t>
  </si>
  <si>
    <t xml:space="preserve">XJHLW-FDJTD-20231030-00001-0001     </t>
  </si>
  <si>
    <t xml:space="preserve">XJHLW-FDJTD-20231101-00003-0001     </t>
  </si>
  <si>
    <t xml:space="preserve">XJHLW-FDJTD-20231030-00002-0001     </t>
  </si>
  <si>
    <t xml:space="preserve">XZFL-FDJTD-20231024-00001-0001      </t>
  </si>
  <si>
    <t xml:space="preserve">XZFL-FDJTD-20231020-00001-0001      </t>
  </si>
  <si>
    <t xml:space="preserve">XZFL-FDJTD-20231030-00002-0001      </t>
  </si>
  <si>
    <t xml:space="preserve">XZFL-FDJTD-20231026-00001-0001      </t>
  </si>
  <si>
    <t xml:space="preserve">XZFL-FDJTD-20231027-00002-0001      </t>
  </si>
  <si>
    <t xml:space="preserve">XZFL-FDJTD-20231027-00003-0001      </t>
  </si>
  <si>
    <t xml:space="preserve">XZFL-FDJTD-20231030-00001-0001      </t>
  </si>
  <si>
    <t xml:space="preserve">XZFL-FDJTD-20231101-00019-0001      </t>
  </si>
  <si>
    <t xml:space="preserve">XZFL-FDJTD-20231101-00009-0001      </t>
  </si>
  <si>
    <t xml:space="preserve">XZFL-FDJTD-20231101-00016-0001      </t>
  </si>
  <si>
    <t xml:space="preserve">XZFL-FDJTD-20231101-00011-0001      </t>
  </si>
  <si>
    <t xml:space="preserve">XZFL-FDJTD-20231101-00017-0001      </t>
  </si>
  <si>
    <t xml:space="preserve">XZFL-FDJTD-20231103-00005-0001      </t>
  </si>
  <si>
    <t xml:space="preserve">XZFL-FDJTD-20231103-00001-0001      </t>
  </si>
  <si>
    <t xml:space="preserve">XZFL-FDJTD-20231103-00002-0001      </t>
  </si>
  <si>
    <t xml:space="preserve">XZFL-FDJTD-20231102-00015-0001      </t>
  </si>
  <si>
    <t xml:space="preserve">XZFL-FDJTD-20231103-00003-0001      </t>
  </si>
  <si>
    <t xml:space="preserve">XZFL-FDJTD-20231102-00016-0001      </t>
  </si>
  <si>
    <t xml:space="preserve">XZFL-FDJTD-20231103-00004-0001      </t>
  </si>
  <si>
    <t xml:space="preserve">XZFL-FDJTD-20231103-00006-0001      </t>
  </si>
  <si>
    <t xml:space="preserve">XZFL-FDJTD-20231103-00008-0001      </t>
  </si>
  <si>
    <t xml:space="preserve">XZFL-FDJTD-20231103-00009-0001      </t>
  </si>
  <si>
    <t xml:space="preserve">WHTS-FDJTD-20231103-00001-0001      </t>
  </si>
  <si>
    <t xml:space="preserve">KSYQW-FDJTD-BI-20231201-61157-0002  </t>
  </si>
  <si>
    <t xml:space="preserve">JXFL-FDJTD-20231201-00007-0001      </t>
  </si>
  <si>
    <t xml:space="preserve">KSYQW-FDJTD-BI-20231201-21158-0001  </t>
  </si>
  <si>
    <t xml:space="preserve">WHFL-FDJTD-20231109-00003-0001      </t>
  </si>
  <si>
    <t xml:space="preserve">KSYQW-FDJTD-BI-20231201-61157-0003  </t>
  </si>
  <si>
    <t xml:space="preserve">WHFL-FDJTD-20231115-00001-0001      </t>
  </si>
  <si>
    <t xml:space="preserve">KSYQW-FDJTD-BI-20231201-61157-0004  </t>
  </si>
  <si>
    <t xml:space="preserve">WHFL-FDJTD-20231201-00005-0001      </t>
  </si>
  <si>
    <t xml:space="preserve">WHFL-FDJTD-20231201-00012-0001      </t>
  </si>
  <si>
    <t xml:space="preserve">WHFL-FDJTD-20231201-00018-0001      </t>
  </si>
  <si>
    <t xml:space="preserve">WHFL-FDJTD-BI-20231201-21159-0001   </t>
  </si>
  <si>
    <t xml:space="preserve">WHFL-FDJTD-20231201-00025-0001      </t>
  </si>
  <si>
    <t xml:space="preserve">WHFL-FDJTD-BI-20231129-50342-0001   </t>
  </si>
  <si>
    <t xml:space="preserve">WHFL-FDJTD-BI-20231129-60804-0001   </t>
  </si>
  <si>
    <t xml:space="preserve">WHFL-FDJTD-BI-20231130-61090-0001   </t>
  </si>
  <si>
    <t xml:space="preserve">WHFL-FDJTD-BI-20231201-61185-0001   </t>
  </si>
  <si>
    <t xml:space="preserve">WHFL-FDJTD-BI-20231201-21163-0001   </t>
  </si>
  <si>
    <t xml:space="preserve">WHFL-FDJTD-BI-20231201-61187-0001   </t>
  </si>
  <si>
    <t xml:space="preserve">WHFL-FDJTD-BI-20231201-61162-0002   </t>
  </si>
  <si>
    <t xml:space="preserve">WHFL-FDJTD-BI-20231201-61167-0001   </t>
  </si>
  <si>
    <t xml:space="preserve">WHLS-FDJTD-BI-20231201-61166-0001   </t>
  </si>
  <si>
    <t xml:space="preserve">WHLS-FDJTD-BI-20231115-20568-0002   </t>
  </si>
  <si>
    <t xml:space="preserve">WHLS-FDJTD-20231201-00001-0001      </t>
  </si>
  <si>
    <t xml:space="preserve">WHLS-FDJTD-BI-20231116-20606-0002   </t>
  </si>
  <si>
    <t xml:space="preserve">WHLS-FDJTD-BI-20231201-61164-0001   </t>
  </si>
  <si>
    <t xml:space="preserve">WHLS-FDJTD-BI-20231201-61165-0001   </t>
  </si>
  <si>
    <t xml:space="preserve">WHTS-FDJTD-20231201-00003-0001      </t>
  </si>
  <si>
    <t xml:space="preserve">WHTS-FDJTD-BI-20231129-71041-0001   </t>
  </si>
  <si>
    <t xml:space="preserve">WHSK-FDJTD-BI-20231130-61150-0001   </t>
  </si>
  <si>
    <t xml:space="preserve">WHTS-FDJTD-BI-20231201-61160-0001   </t>
  </si>
  <si>
    <t xml:space="preserve">XJHLW-FDJTD-20231201-00009-0001     </t>
  </si>
  <si>
    <t xml:space="preserve">WHYQY-FDJTD-20231201-00002-0001     </t>
  </si>
  <si>
    <t xml:space="preserve">XZFL-FDJTD-20231113-00001-0001      </t>
  </si>
  <si>
    <t xml:space="preserve">XZFL-FDJTD-20231128-00002-0001      </t>
  </si>
  <si>
    <t xml:space="preserve">XZFL-FDJTD-20231116-00004-0001      </t>
  </si>
  <si>
    <t xml:space="preserve">XZFL-FDJTD-20231128-00001-0001      </t>
  </si>
  <si>
    <t xml:space="preserve">XZFL-FDJTD-20231129-00007-0001      </t>
  </si>
  <si>
    <t xml:space="preserve">XZFL-FDJTD-20231129-00001-0001      </t>
  </si>
  <si>
    <t xml:space="preserve">XZFL-FDJTD-20231129-00008-0001      </t>
  </si>
  <si>
    <t xml:space="preserve">XZFL-FDJTD-20231129-00003-0001      </t>
  </si>
  <si>
    <t xml:space="preserve">XZFL-FDJTD-20231129-00005-0001      </t>
  </si>
  <si>
    <t xml:space="preserve">XZFL-FDJTD-20231201-00017-0001      </t>
  </si>
  <si>
    <t xml:space="preserve">XZFL-FDJTD-20231201-00018-0001      </t>
  </si>
  <si>
    <t xml:space="preserve">XZFL-FDJTD-20231201-00015-0001      </t>
  </si>
  <si>
    <t xml:space="preserve">XZFL-FDJTD-20231201-00019-0001      </t>
  </si>
  <si>
    <t xml:space="preserve">XZFL-FDJTD-20231201-00016-0001      </t>
  </si>
  <si>
    <t xml:space="preserve">XZFL-FDJTD-20231201-00020-0001      </t>
  </si>
  <si>
    <t xml:space="preserve">XZFL-FDJTD-BI-20231120-20766-0002   </t>
  </si>
  <si>
    <t xml:space="preserve">XZFL-FDJTD-20231201-00028-0001      </t>
  </si>
  <si>
    <t xml:space="preserve">XZFL-FDJTD-20231201-00025-0001      </t>
  </si>
  <si>
    <t xml:space="preserve">XZFL-FDJTD-20231201-00032-0001      </t>
  </si>
  <si>
    <t xml:space="preserve">XZFL-FDJTD-BI-20231112-20444-0001   </t>
  </si>
  <si>
    <t xml:space="preserve">XZFL-FDJTD-20231201-00027-0001      </t>
  </si>
  <si>
    <t xml:space="preserve">XZFL-FDJTD-BI-20231112-20461-0001   </t>
  </si>
  <si>
    <t xml:space="preserve">XZFL-FDJTD-BI-20231201-21180-0003   </t>
  </si>
  <si>
    <t xml:space="preserve">XZFL-FDJTD-BI-20231201-21169-0001   </t>
  </si>
  <si>
    <t xml:space="preserve">XZFL-FDJTD-BI-20231129-40069-0001   </t>
  </si>
  <si>
    <t xml:space="preserve">XZFL-FDJTD-BI-20231201-21170-0001   </t>
  </si>
  <si>
    <t xml:space="preserve">XZFL-FDJTD-BI-20231129-60908-0001   </t>
  </si>
  <si>
    <t xml:space="preserve">XZFL-FDJTD-BI-20231201-21173-0002   </t>
  </si>
  <si>
    <t xml:space="preserve">XZFL-FDJTD-BI-20231129-70951-0001   </t>
  </si>
  <si>
    <t xml:space="preserve">XZFL-FDJTD-BI-20231201-21180-0001   </t>
  </si>
  <si>
    <t xml:space="preserve">XZFL-FDJTD-BI-20231201-61176-0001   </t>
  </si>
  <si>
    <t xml:space="preserve">XZFL-FDJTD-BI-20231201-61139-0001   </t>
  </si>
  <si>
    <t xml:space="preserve">XZFL-FDJTD-BI-20231201-21181-0001   </t>
  </si>
  <si>
    <t xml:space="preserve">XZFL-FDJTD-BI-20231201-61168-0001   </t>
  </si>
  <si>
    <t xml:space="preserve">XZFL-FDJTD-BI-20231201-21181-0002   </t>
  </si>
  <si>
    <t xml:space="preserve">XZFL-FDJTD-BI-20231201-61172-0001   </t>
  </si>
  <si>
    <t xml:space="preserve">XZFL-FDJTD-BI-20231201-61136-0001   </t>
  </si>
  <si>
    <t xml:space="preserve">XZFL-FDJTD-BI-20231201-61174-0001   </t>
  </si>
  <si>
    <t xml:space="preserve">XZFL-FDJTD-BI-20231201-61182-0001   </t>
  </si>
  <si>
    <t xml:space="preserve">XZFL-FDJTD-BI-20231201-61176-0002   </t>
  </si>
  <si>
    <t xml:space="preserve">XZFL-FDJTD-BI-20231201-61183-0001   </t>
  </si>
  <si>
    <t xml:space="preserve">XZFL-FDJTD-BI-20231201-61177-0001   </t>
  </si>
  <si>
    <t xml:space="preserve">XZFL-FDJTD-BI-20231201-61179-0002   </t>
  </si>
  <si>
    <t xml:space="preserve">WHFL-FDJTD-20231204-00005-0001      </t>
  </si>
  <si>
    <t xml:space="preserve">WHFL-FDJTD-20231204-00006-0001      </t>
  </si>
  <si>
    <t xml:space="preserve">WHYQY-FDJTD-20231204-00002-0001     </t>
  </si>
  <si>
    <t xml:space="preserve">WHYQY-FDJTD-20231201-00004-0001     </t>
  </si>
  <si>
    <t xml:space="preserve">XJHLW-FDJTD-20231201-00008-0001     </t>
  </si>
  <si>
    <t xml:space="preserve">WHYQY-FDJTD-20231201-00005-0001     </t>
  </si>
  <si>
    <t xml:space="preserve">XZFL-FDJTD-20231201-00007-0001      </t>
  </si>
  <si>
    <t xml:space="preserve">XZFL-FDJTD-20231201-00037-0001      </t>
  </si>
  <si>
    <t xml:space="preserve">XZFL-FDJTD-20231201-00036-0001      </t>
  </si>
  <si>
    <t xml:space="preserve">XZFL-FDJTD-20231201-00030-0001      </t>
  </si>
  <si>
    <t xml:space="preserve">XZFL-FDJTD-20231201-00008-0001      </t>
  </si>
  <si>
    <t xml:space="preserve">XZFL-FDJTD-20231201-00033-0001      </t>
  </si>
  <si>
    <t xml:space="preserve">XZFL-FDJTD-20231201-00034-0001      </t>
  </si>
  <si>
    <t xml:space="preserve">XZFL-FDJTD-20231201-00029-0001      </t>
  </si>
  <si>
    <t xml:space="preserve">XZFL-FDJTD-20231204-00002-0001      </t>
  </si>
  <si>
    <t xml:space="preserve">XZFL-FDJTD-20231201-00038-0001      </t>
  </si>
  <si>
    <t xml:space="preserve">XZFL-FDJTD-20231204-00003-0001      </t>
  </si>
  <si>
    <t xml:space="preserve">XZFL-FDJTD-20231201-00039-0001      </t>
  </si>
  <si>
    <t xml:space="preserve">XZFL-FDJTD-20231204-00004-0001      </t>
  </si>
  <si>
    <t xml:space="preserve">XZFL-FDJTD-20231201-00041-0001      </t>
  </si>
  <si>
    <t xml:space="preserve">KSYQW-FDJTD-20231201-00002-0001     </t>
  </si>
  <si>
    <t xml:space="preserve">WHFL-FDJTD-20231201-00024-0001      </t>
  </si>
  <si>
    <t xml:space="preserve">WHFL-FDJTD-20231201-00003-0001      </t>
  </si>
  <si>
    <t xml:space="preserve">KSYQW-FDJTD-20231201-00001-0001     </t>
  </si>
  <si>
    <t xml:space="preserve">WHFL-FDJTD-20231204-00011-0001      </t>
  </si>
  <si>
    <t xml:space="preserve">WHFL-FDJTD-20231204-00014-0001      </t>
  </si>
  <si>
    <t xml:space="preserve">XZFL-FDJTD-20231201-00031-0001      </t>
  </si>
  <si>
    <t xml:space="preserve">WHYQY-FDJTD-20231204-00006-0001     </t>
  </si>
  <si>
    <t xml:space="preserve">XZFL-FDJTD-20231204-00001-0001      </t>
  </si>
  <si>
    <t xml:space="preserve">XZFL-FDJTD-20231204-00005-0001      </t>
  </si>
  <si>
    <t>海南福禄网络科技有限公司第一分公司</t>
  </si>
  <si>
    <t xml:space="preserve">HNFLDYFGS-FDJTD-20231205-00002-0001 </t>
  </si>
  <si>
    <t xml:space="preserve">XZFL-FDJTD-20231205-00002-0001      </t>
  </si>
  <si>
    <t xml:space="preserve">LSFL-FDJTD-20231205-00001-0001      </t>
  </si>
  <si>
    <t xml:space="preserve">LSFL-FDJTD-20231205-00002-0001      </t>
  </si>
  <si>
    <t xml:space="preserve">WHLS-FDJTD-BI-20231224-30788-0002   </t>
  </si>
  <si>
    <t xml:space="preserve">WHFL-FDJTD-BI-20240101-51141-0001   </t>
  </si>
  <si>
    <t xml:space="preserve">WHFL-FDJTD-BI-20240101-21134-0001   </t>
  </si>
  <si>
    <t xml:space="preserve">WHFL-FDJTD-BI-20240101-51159-0001   </t>
  </si>
  <si>
    <t xml:space="preserve">WHFL-FDJTD-BI-20240101-21138-0001   </t>
  </si>
  <si>
    <t xml:space="preserve">WHFL-FDJTD-BI-20240101-51162-0001   </t>
  </si>
  <si>
    <t xml:space="preserve">WHFL-FDJTD-BI-20240101-51137-0002   </t>
  </si>
  <si>
    <t xml:space="preserve">WHTS-FDJTD-20231211-00006-0001      </t>
  </si>
  <si>
    <t xml:space="preserve">WHTS-FDJTD-20231211-00001-0001      </t>
  </si>
  <si>
    <t xml:space="preserve">WHLS-FDJTD-BI-20240101-51139-0001   </t>
  </si>
  <si>
    <t xml:space="preserve">WHTS-FDJTD-20231211-00003-0001      </t>
  </si>
  <si>
    <t xml:space="preserve">WHLS-FDJTD-BI-20240101-51140-0001   </t>
  </si>
  <si>
    <t xml:space="preserve">WHTS-FDJTD-20231211-00004-0001      </t>
  </si>
  <si>
    <t xml:space="preserve">WHSK-FDJTD-BI-20240101-51160-0001   </t>
  </si>
  <si>
    <t xml:space="preserve">WHTS-FDJTD-20231211-00005-0001      </t>
  </si>
  <si>
    <t xml:space="preserve">WHTS-FDJTD-20231215-00001-0001      </t>
  </si>
  <si>
    <t xml:space="preserve">WHTS-FDJTD-BI-20240101-51135-0001   </t>
  </si>
  <si>
    <t xml:space="preserve">KSYQW-FDJTD-BI-20240101-51132-0003  </t>
  </si>
  <si>
    <t xml:space="preserve">KSYQW-FDJTD-BI-20240101-51132-0004  </t>
  </si>
  <si>
    <t xml:space="preserve">KSYQW-FDJTD-BI-20240101-21133-0001  </t>
  </si>
  <si>
    <t xml:space="preserve">LSFL-FDJTD-20231222-00001-0001      </t>
  </si>
  <si>
    <t xml:space="preserve">KSYQW-FDJTD-BI-20240101-51132-0002  </t>
  </si>
  <si>
    <t xml:space="preserve">WHFL-FDJTD-20231219-00002-0001      </t>
  </si>
  <si>
    <t xml:space="preserve">WHFL-FDJTD-20231215-00003-0001      </t>
  </si>
  <si>
    <t xml:space="preserve">WHFL-FDJTD-BI-20231214-20507-0001   </t>
  </si>
  <si>
    <t xml:space="preserve">XZFL-FDJTD-20231211-00004-0001      </t>
  </si>
  <si>
    <t xml:space="preserve">XZFL-FDJTD-20231211-00001-0001      </t>
  </si>
  <si>
    <t xml:space="preserve">XZFL-FDJTD-20231211-00002-0001      </t>
  </si>
  <si>
    <t xml:space="preserve">WHYQY-FDJTD-20240102-00001-0001     </t>
  </si>
  <si>
    <t xml:space="preserve">XZFL-FDJTD-20231211-00003-0001      </t>
  </si>
  <si>
    <t xml:space="preserve">XZFL-FDJTD-20231215-00003-0001      </t>
  </si>
  <si>
    <t xml:space="preserve">XZFL-FDJTD-20231211-00005-0001      </t>
  </si>
  <si>
    <t xml:space="preserve">XZFL-FDJTD-20231211-00006-0001      </t>
  </si>
  <si>
    <t xml:space="preserve">XZFL-FDJTD-20231215-00001-0001      </t>
  </si>
  <si>
    <t xml:space="preserve">XZFL-FDJTD-20231212-00001-0001      </t>
  </si>
  <si>
    <t xml:space="preserve">XZFL-FDJTD-20231215-00002-0001      </t>
  </si>
  <si>
    <t xml:space="preserve">XZFL-FDJTD-20231222-00003-0001      </t>
  </si>
  <si>
    <t xml:space="preserve">XZFL-FDJTD-20231221-00001-0001      </t>
  </si>
  <si>
    <t xml:space="preserve">XZFL-FDJTD-20231222-00001-0001      </t>
  </si>
  <si>
    <t xml:space="preserve">XZFL-FDJTD-20231222-00002-0001      </t>
  </si>
  <si>
    <t xml:space="preserve">XZFL-FDJTD-20240102-00013-0001      </t>
  </si>
  <si>
    <t xml:space="preserve">XZFL-FDJTD-20231222-00004-0001      </t>
  </si>
  <si>
    <t xml:space="preserve">XZFL-FDJTD-20231225-00003-0001      </t>
  </si>
  <si>
    <t xml:space="preserve">XZFL-FDJTD-20240102-00012-0001      </t>
  </si>
  <si>
    <t xml:space="preserve">XZFL-FDJTD-BI-20231231-51079-0001   </t>
  </si>
  <si>
    <t xml:space="preserve">XZFL-FDJTD-BI-20231230-51043-0001   </t>
  </si>
  <si>
    <t xml:space="preserve">XZFL-FDJTD-BI-20231228-70251-0001   </t>
  </si>
  <si>
    <t xml:space="preserve">XZFL-FDJTD-BI-20231231-21120-0001   </t>
  </si>
  <si>
    <t xml:space="preserve">XZFL-FDJTD-BI-20231228-90614-0001   </t>
  </si>
  <si>
    <t xml:space="preserve">XZFL-FDJTD-BI-20231231-21120-0002   </t>
  </si>
  <si>
    <t xml:space="preserve">XZFL-FDJTD-BI-20231229-50998-0001   </t>
  </si>
  <si>
    <t xml:space="preserve">XZFL-FDJTD-BI-20231231-21120-0003   </t>
  </si>
  <si>
    <t xml:space="preserve">XZFL-FDJTD-BI-20240101-51148-0001   </t>
  </si>
  <si>
    <t xml:space="preserve">XZFL-FDJTD-BI-20240101-21147-0002   </t>
  </si>
  <si>
    <t xml:space="preserve">XZFL-FDJTD-BI-20240101-21142-0001   </t>
  </si>
  <si>
    <t xml:space="preserve">XZFL-FDJTD-BI-20240101-21155-0002   </t>
  </si>
  <si>
    <t xml:space="preserve">XZFL-FDJTD-BI-20240101-21143-0001   </t>
  </si>
  <si>
    <t xml:space="preserve">XZFL-FDJTD-BI-20240101-21155-0003   </t>
  </si>
  <si>
    <t xml:space="preserve">XZFL-FDJTD-BI-20240101-21144-0001   </t>
  </si>
  <si>
    <t xml:space="preserve">XZFL-FDJTD-BI-20240101-51146-0001   </t>
  </si>
  <si>
    <t xml:space="preserve">XZFL-FDJTD-BI-20240101-51153-0001   </t>
  </si>
  <si>
    <t xml:space="preserve">XZFL-FDJTD-BI-20240101-51150-0001   </t>
  </si>
  <si>
    <t xml:space="preserve">XZFL-FDJTD-BI-20240101-51156-0001   </t>
  </si>
  <si>
    <t xml:space="preserve">XZFL-FDJTD-BI-20240101-51150-0002   </t>
  </si>
  <si>
    <t xml:space="preserve">XZFL-FDJTD-BI-20240101-51157-0001   </t>
  </si>
  <si>
    <t xml:space="preserve">XZFL-FDJTD-BI-20240101-51151-0001   </t>
  </si>
  <si>
    <t xml:space="preserve">WHYQY-FDJTD-20240109-00001-0001     </t>
  </si>
  <si>
    <t xml:space="preserve">WHFL-FDJTD-20240110-00001-0001      </t>
  </si>
  <si>
    <t xml:space="preserve">HNFLDYFGS-FDJTD-20240104-00001-0001 </t>
  </si>
  <si>
    <t xml:space="preserve">LSFL-FDJTD-20240104-00001-0001      </t>
  </si>
  <si>
    <t xml:space="preserve">KSYQW-FDJTD-20240103-00003-0001     </t>
  </si>
  <si>
    <t xml:space="preserve">HNFLDYFGS-FDJTD-20240104-00003-0001 </t>
  </si>
  <si>
    <t xml:space="preserve">KSYQW-FDJTD-20240103-00005-0001     </t>
  </si>
  <si>
    <t xml:space="preserve">JXFL-FDJTD-20240104-00001-0001      </t>
  </si>
  <si>
    <t xml:space="preserve">KSYQW-FDJTD-20240103-00002-0001     </t>
  </si>
  <si>
    <t xml:space="preserve">WHFL-FDJTD-20240103-00026-0001      </t>
  </si>
  <si>
    <t xml:space="preserve">WHFL-FDJTD-20240103-00001-0001      </t>
  </si>
  <si>
    <t xml:space="preserve">WHFL-FDJTD-20240103-00023-0001      </t>
  </si>
  <si>
    <t xml:space="preserve">WHFL-FDJTD-20240103-00005-0001      </t>
  </si>
  <si>
    <t xml:space="preserve">WHFL-FDJTD-20240103-00024-0001      </t>
  </si>
  <si>
    <t>传统电商中心</t>
  </si>
  <si>
    <t xml:space="preserve">WHFL-FDJTD-20240104-00004-0001      </t>
  </si>
  <si>
    <t xml:space="preserve">WHTS-FDJTD-20240104-00001-0001      </t>
  </si>
  <si>
    <t xml:space="preserve">WHLS-FDJTD-20240103-00007-0001      </t>
  </si>
  <si>
    <t xml:space="preserve">XJHLW-FDJTD-20240103-00015-0001     </t>
  </si>
  <si>
    <t xml:space="preserve">XZFL-FDJTD-20240103-00020-0001      </t>
  </si>
  <si>
    <t xml:space="preserve">XJHLW-FDJTD-20240103-00012-0001     </t>
  </si>
  <si>
    <t xml:space="preserve">XZFL-FDJTD-20240103-00021-0001      </t>
  </si>
  <si>
    <t xml:space="preserve">XJHLW-FDJTD-20240103-00013-0001     </t>
  </si>
  <si>
    <t xml:space="preserve">XZFL-FDJTD-20240104-00007-0001      </t>
  </si>
  <si>
    <t xml:space="preserve">XZFL-FDJTD-20240104-00003-0001      </t>
  </si>
  <si>
    <t xml:space="preserve">XZFL-FDJTD-20240104-00008-0001      </t>
  </si>
  <si>
    <t xml:space="preserve">XZFL-FDJTD-20240104-00005-0001      </t>
  </si>
  <si>
    <t xml:space="preserve">XZFL-FDJTD-20240104-00006-0001      </t>
  </si>
  <si>
    <t xml:space="preserve">XZFL-FDJTD-20240104-00015-0001      </t>
  </si>
  <si>
    <t xml:space="preserve">KSYQW-FDJTD-20240104-00002-0001     </t>
  </si>
  <si>
    <t xml:space="preserve">XZFL-FDJTD-20240104-00013-0001      </t>
  </si>
  <si>
    <t xml:space="preserve">XJHLW-FDJTD-20240104-00001-0001     </t>
  </si>
  <si>
    <t xml:space="preserve">WHYQY-FDJTD-20240105-00003-0001     </t>
  </si>
  <si>
    <t>西藏数云网络科技有限公司</t>
  </si>
  <si>
    <t xml:space="preserve">XCSY-FDJTD-20240105-00004-0001      </t>
  </si>
  <si>
    <t xml:space="preserve">XZFL-FDJTD-20240105-00007-0001      </t>
  </si>
  <si>
    <t xml:space="preserve">XZFL-FDJTD-20240105-00004-0001      </t>
  </si>
  <si>
    <t xml:space="preserve">XZFL-FDJTD-20240105-00001-0001      </t>
  </si>
  <si>
    <t xml:space="preserve">XZFL-FDJTD-20240104-00017-0001      </t>
  </si>
  <si>
    <t xml:space="preserve">XZFL-FDJTD-20240105-00002-0001      </t>
  </si>
  <si>
    <t xml:space="preserve">XZFL-FDJTD-20240104-00018-0001      </t>
  </si>
  <si>
    <t xml:space="preserve">XZFL-FDJTD-20240105-00003-0001      </t>
  </si>
  <si>
    <t xml:space="preserve">XZFL-FDJTD-20240108-00001-0001      </t>
  </si>
  <si>
    <t xml:space="preserve">XZFL-FDJTD-20240108-00002-0001      </t>
  </si>
  <si>
    <t xml:space="preserve">XZFL-FDJTD-20240105-00010-0001      </t>
  </si>
  <si>
    <t xml:space="preserve">WHFL-FDJTD-20240105-00001-0001      </t>
  </si>
  <si>
    <t xml:space="preserve">XZFL-FDJTD-20240105-00005-0001      </t>
  </si>
  <si>
    <t xml:space="preserve">XZFL-FDJTD-20240105-00006-0001      </t>
  </si>
  <si>
    <t xml:space="preserve">WHFL-FDJTD-20240104-00018-0001      </t>
  </si>
  <si>
    <t xml:space="preserve">WHFL-FDJTD-20231229-00001-0001      </t>
  </si>
  <si>
    <t xml:space="preserve">JXFL-FDJTD-20240102-00006-0001      </t>
  </si>
  <si>
    <t xml:space="preserve">WHFL-FDJTD-20240102-00007-0001      </t>
  </si>
  <si>
    <t xml:space="preserve">WHFL-FDJTD-20240102-00008-0001      </t>
  </si>
  <si>
    <t xml:space="preserve">WHFL-FDJTD-20240102-00009-0001      </t>
  </si>
  <si>
    <t xml:space="preserve">WHFL-FDJTD-20240103-00002-0001      </t>
  </si>
  <si>
    <t xml:space="preserve">WHLS-FDJTD-20240102-00006-0001      </t>
  </si>
  <si>
    <t xml:space="preserve">WHLS-FDJTD-20240102-00004-0001      </t>
  </si>
  <si>
    <t xml:space="preserve">WHLS-FDJTD-20240102-00002-0001      </t>
  </si>
  <si>
    <t xml:space="preserve">WHLS-FDJTD-20240102-00008-0001      </t>
  </si>
  <si>
    <t xml:space="preserve">WHTS-FDJTD-20240103-00001-0001      </t>
  </si>
  <si>
    <t xml:space="preserve">WHYQY-FDJTD-20240102-00005-0001     </t>
  </si>
  <si>
    <t xml:space="preserve">WHYQY-FDJTD-20240102-00003-0001     </t>
  </si>
  <si>
    <t xml:space="preserve">XZFL-FDJTD-20240102-00008-0001      </t>
  </si>
  <si>
    <t xml:space="preserve">XZFL-FDJTD-20240102-00007-0001      </t>
  </si>
  <si>
    <t xml:space="preserve">XZFL-FDJTD-20240102-00005-0001      </t>
  </si>
  <si>
    <t xml:space="preserve">XZFL-FDJTD-20240102-00002-0001      </t>
  </si>
  <si>
    <t xml:space="preserve">XZFL-FDJTD-20240102-00006-0001      </t>
  </si>
  <si>
    <t xml:space="preserve">XZFL-FDJTD-20240102-00003-0001      </t>
  </si>
  <si>
    <t xml:space="preserve">XZFL-FDJTD-20240103-00003-0001      </t>
  </si>
  <si>
    <t xml:space="preserve">XZFL-FDJTD-20240103-00002-0001      </t>
  </si>
  <si>
    <t xml:space="preserve">XZFL-FDJTD-20240103-00001-0001      </t>
  </si>
  <si>
    <t xml:space="preserve">XZFL-FDJTD-20240102-00014-0001      </t>
  </si>
  <si>
    <t xml:space="preserve">XZFL-FDJTD-20240103-00016-0001      </t>
  </si>
  <si>
    <t xml:space="preserve">XZFL-FDJTD-20240103-00004-0001      </t>
  </si>
  <si>
    <t xml:space="preserve">XZFL-FDJTD-20240103-00006-0001      </t>
  </si>
  <si>
    <t xml:space="preserve">XZFL-FDJTD-20240103-00008-0001      </t>
  </si>
  <si>
    <t>战娃</t>
  </si>
  <si>
    <t>代运营服务</t>
  </si>
  <si>
    <t xml:space="preserve">WHFL-FDJTD-BI-20230201-90018-0001   </t>
  </si>
  <si>
    <t>代运营服务费</t>
  </si>
  <si>
    <t>渠道二线</t>
  </si>
  <si>
    <t xml:space="preserve">WHFL-FDJTD-BI-20230201-90014-0001   </t>
  </si>
  <si>
    <t xml:space="preserve">WHFL-FDJTD-BI-20230201-90019-0001   </t>
  </si>
  <si>
    <t xml:space="preserve">WHFL-FDJTD-BI-20230201-90015-0001   </t>
  </si>
  <si>
    <t>北京智者天下科技有限公司</t>
  </si>
  <si>
    <t xml:space="preserve">WHFL-FDJTD-BI-20230201-90017-0001   </t>
  </si>
  <si>
    <t>北京大麦文化传媒发展有限公司</t>
  </si>
  <si>
    <t xml:space="preserve">WHFL-FDJTD-BI-20230201-90012-0001   </t>
  </si>
  <si>
    <t>同程网络科技股份有限公司</t>
  </si>
  <si>
    <t xml:space="preserve">WHFL-FDJTD-BI-20230201-90002-0001   </t>
  </si>
  <si>
    <t xml:space="preserve">WHFL-FDJTD-BI-20230201-90010-0001   </t>
  </si>
  <si>
    <t>北京嘀嘀无限科技发展有限公司</t>
  </si>
  <si>
    <t xml:space="preserve">WHFL-FDJTD-BI-20230201-90011-0001   </t>
  </si>
  <si>
    <t>社交电商平台中心</t>
  </si>
  <si>
    <t xml:space="preserve">KSYQW-FDJTD-20230202-00001-0001     </t>
  </si>
  <si>
    <t>深圳市景秀网络科技有限公司</t>
  </si>
  <si>
    <t xml:space="preserve">WHFL-FDJTD-20230111-00002-0001      </t>
  </si>
  <si>
    <t>厦门美图网科技有限公司</t>
  </si>
  <si>
    <t xml:space="preserve">WHFL-FDJTD-20230129-00001-0001      </t>
  </si>
  <si>
    <t>雷神武汉网络技术有限公司</t>
  </si>
  <si>
    <t xml:space="preserve">WHFL-FDJTD-20230201-00001-0001      </t>
  </si>
  <si>
    <t>武汉大博恩科技有限公司</t>
  </si>
  <si>
    <t xml:space="preserve">WHFL-FDJTD-20230201-00012-0001      </t>
  </si>
  <si>
    <t>珠海金山办公软件有限公司</t>
  </si>
  <si>
    <t xml:space="preserve">WHFL-FDJTD-20230201-00013-0001      </t>
  </si>
  <si>
    <t>厦门享游网络科技有限公司</t>
  </si>
  <si>
    <t xml:space="preserve">WHFL-FDJTD-20230201-00010-0001      </t>
  </si>
  <si>
    <t>武汉海客快冲科技有限公司</t>
  </si>
  <si>
    <t xml:space="preserve">WHFL-FDJTD-20230201-00014-0001      </t>
  </si>
  <si>
    <t xml:space="preserve">WHFL-FDJTD-20230201-00011-0001      </t>
  </si>
  <si>
    <t xml:space="preserve">WHFL-FDJTD-20230202-00007-0001      </t>
  </si>
  <si>
    <t>睿晟天和(北京)传媒科技有限公司</t>
  </si>
  <si>
    <t>中国联合网络通信有限公司福建省分公司</t>
  </si>
  <si>
    <t xml:space="preserve">WHFL-FDJTD-20230202-00008-0001      </t>
  </si>
  <si>
    <t>中国联合网络通信有限公司江西省分公司</t>
  </si>
  <si>
    <t xml:space="preserve">WHFL-FDJTD-20230202-00009-0001      </t>
  </si>
  <si>
    <t>北京华思维泰克科技有限公司</t>
  </si>
  <si>
    <t xml:space="preserve">WHFL-FDJTD-20230202-00016-0001      </t>
  </si>
  <si>
    <t xml:space="preserve">WHFL-FDJTD-20230202-00012-0001      </t>
  </si>
  <si>
    <t>北京朝夕光年信息技术有限公司</t>
  </si>
  <si>
    <t xml:space="preserve">WHFL-FDJTD-20230202-00013-0001      </t>
  </si>
  <si>
    <t xml:space="preserve">WHFL-FDJTD-20230202-00014-0001      </t>
  </si>
  <si>
    <t>成都超游猫科技有限公司</t>
  </si>
  <si>
    <t xml:space="preserve">WHLS-FDJTD-20230201-00002-0001      </t>
  </si>
  <si>
    <t>四川征云网络科技有限公司</t>
  </si>
  <si>
    <t xml:space="preserve">WHLS-FDJTD-20230201-00001-0001      </t>
  </si>
  <si>
    <t xml:space="preserve">WHLS-FDJTD-BI-20230201-90013-0001   </t>
  </si>
  <si>
    <t>湖北巨量引擎科技有限公司</t>
  </si>
  <si>
    <t xml:space="preserve">XJHLW-FDJTD-20230201-00003-0001     </t>
  </si>
  <si>
    <t>武汉网贤信息技术有限公司</t>
  </si>
  <si>
    <t xml:space="preserve">XJHLW-FDJTD-20230129-00001-0001     </t>
  </si>
  <si>
    <t>深圳雷霆信息技术有限公司</t>
  </si>
  <si>
    <t xml:space="preserve">XJHLW-FDJTD-20230129-00002-0001     </t>
  </si>
  <si>
    <t>成都俊云科技有限公司</t>
  </si>
  <si>
    <t xml:space="preserve">XJHLW-FDJTD-20230201-00002-0001     </t>
  </si>
  <si>
    <t>成都犇赢互娱科技有限公司</t>
  </si>
  <si>
    <t xml:space="preserve">XJHLW-FDJTD-20230202-00005-0001     </t>
  </si>
  <si>
    <t>四川云时网络科技有限公司</t>
  </si>
  <si>
    <t xml:space="preserve">XJHLW-FDJTD-20230202-00001-0001     </t>
  </si>
  <si>
    <t>蚌埠莫尔康网络有限公司</t>
  </si>
  <si>
    <t xml:space="preserve">XJHLW-FDJTD-20230201-00004-0001     </t>
  </si>
  <si>
    <t>成都巨量引擎信息技术有限公司</t>
  </si>
  <si>
    <t xml:space="preserve">XJHLW-FDJTD-20230202-00002-0001     </t>
  </si>
  <si>
    <t xml:space="preserve">XJHLW-FDJTD-20230201-00005-0001     </t>
  </si>
  <si>
    <t xml:space="preserve">XJHLW-FDJTD-20230202-00003-0001     </t>
  </si>
  <si>
    <t xml:space="preserve">XJHLW-FDJTD-20230201-00006-0001     </t>
  </si>
  <si>
    <t xml:space="preserve">XJHLW-FDJTD-20230202-00004-0001     </t>
  </si>
  <si>
    <t xml:space="preserve">XZFL-FDJTD-20230201-00008-0001      </t>
  </si>
  <si>
    <t xml:space="preserve">XZFL-FDJTD-20230201-00003-0001      </t>
  </si>
  <si>
    <t xml:space="preserve">XJHLW-FDJTD-20230202-00006-0001     </t>
  </si>
  <si>
    <t xml:space="preserve">XZFL-FDJTD-20230201-00007-0001      </t>
  </si>
  <si>
    <t xml:space="preserve">XZFL-FDJTD-20230201-00011-0001      </t>
  </si>
  <si>
    <t xml:space="preserve">XZFL-FDJTD-20230202-00015-0001      </t>
  </si>
  <si>
    <t xml:space="preserve">XZFL-FDJTD-BI-20230201-90020-0001   </t>
  </si>
  <si>
    <t xml:space="preserve">XZFL-FDJTD-BI-20230201-90027-0001   </t>
  </si>
  <si>
    <t xml:space="preserve">XZFL-FDJTD-BI-20230201-90021-0001   </t>
  </si>
  <si>
    <t xml:space="preserve">XZFL-FDJTD-BI-20230201-90022-0001   </t>
  </si>
  <si>
    <t xml:space="preserve">XZFL-FDJTD-BI-20230201-90024-0001   </t>
  </si>
  <si>
    <t>服务订单</t>
  </si>
  <si>
    <t>ERP合单数据-服务订单</t>
  </si>
  <si>
    <t>北京金山办公软件股份有限公司</t>
  </si>
  <si>
    <t>整体持平，不同渠道每季度做活动，天猫京东都做了活动；2-3月可能没有活动</t>
  </si>
  <si>
    <t>杭州短趣网络传媒技术有限公司</t>
  </si>
  <si>
    <t>金蝶手工</t>
  </si>
  <si>
    <t>总额</t>
  </si>
  <si>
    <t>北京微算互联信息技术有限公司</t>
  </si>
  <si>
    <t>北京抖音信息服务有限公司</t>
  </si>
  <si>
    <t>北京儒意景秀网络科技有限公司</t>
  </si>
  <si>
    <t>湖南微算互联信息技术有限公司</t>
  </si>
  <si>
    <t>优视科技(中国)有限公司</t>
  </si>
  <si>
    <t xml:space="preserve">WHFL-FDJTD-20230302-00004-0001      </t>
  </si>
  <si>
    <t>广州微算互联信息技术有限公司</t>
  </si>
  <si>
    <t xml:space="preserve">WHFL-FDJTD-20230301-00030-0001      </t>
  </si>
  <si>
    <t>武汉金山办公软件有限公司</t>
  </si>
  <si>
    <t xml:space="preserve">WHFL-FDJTD-20230302-00005-0001      </t>
  </si>
  <si>
    <t>杭州交个朋友智慧科技有限公司</t>
  </si>
  <si>
    <t xml:space="preserve">WHFL-FDJTD-20230302-00001-0001      </t>
  </si>
  <si>
    <t>山东高穗信息科技有限公司</t>
  </si>
  <si>
    <t xml:space="preserve">WHFL-FDJTD-20230302-00010-0001      </t>
  </si>
  <si>
    <t xml:space="preserve">WHFL-FDJTD-20230302-00002-0001      </t>
  </si>
  <si>
    <t xml:space="preserve">WHFL-FDJTD-BI-20230301-90014-0001   </t>
  </si>
  <si>
    <t>江西傲然网络科技有限公司</t>
  </si>
  <si>
    <t xml:space="preserve">WHFL-FDJTD-BI-20230301-90012-0001   </t>
  </si>
  <si>
    <t>深圳游云网络科技有限公司</t>
  </si>
  <si>
    <t xml:space="preserve">WHFL-FDJTD-BI-20230301-90002-0001   </t>
  </si>
  <si>
    <t>武汉市鱼之星图文化传媒有限公司</t>
  </si>
  <si>
    <t xml:space="preserve">WHFL-FDJTD-BI-20230301-90010-0001   </t>
  </si>
  <si>
    <t xml:space="preserve">WHFL-FDJTD-BI-20230301-90011-0001   </t>
  </si>
  <si>
    <t>北京优酷科技有限公司</t>
  </si>
  <si>
    <t xml:space="preserve">WHLS-FDJTD-20230301-00001-0001      </t>
  </si>
  <si>
    <t>今日头条有限公司</t>
  </si>
  <si>
    <t xml:space="preserve">WHFL-FDJTD-BI-20230301-90019-0001   </t>
  </si>
  <si>
    <t>北京网易有道计算机系统有限公司</t>
  </si>
  <si>
    <t xml:space="preserve">WHFL-FDJTD-BI-20230301-90015-0001   </t>
  </si>
  <si>
    <t>河南美树网络科技有限公司</t>
  </si>
  <si>
    <t xml:space="preserve">WHFL-FDJTD-BI-20230301-90017-0001   </t>
  </si>
  <si>
    <t xml:space="preserve">WHFL-FDJTD-BI-20230301-90018-0001   </t>
  </si>
  <si>
    <t xml:space="preserve">WHSK-FDJTD-20230222-00001-0001      </t>
  </si>
  <si>
    <t xml:space="preserve">WHLS-FDJTD-BI-20230301-90013-0001   </t>
  </si>
  <si>
    <t xml:space="preserve">WHLS-FDJTD-20230301-00003-0001      </t>
  </si>
  <si>
    <t xml:space="preserve">XJHLW-FDJTD-20230301-00001-0001     </t>
  </si>
  <si>
    <t xml:space="preserve">XJHLW-FDJTD-20230213-00001-0001     </t>
  </si>
  <si>
    <t>山东都市焦点传媒有限公司</t>
  </si>
  <si>
    <t xml:space="preserve">XJHLW-FDJTD-20230302-00006-0001     </t>
  </si>
  <si>
    <t>中国联合网络通信有限公司南宁市分公司</t>
  </si>
  <si>
    <t xml:space="preserve">XJHLW-FDJTD-20230302-00001-0001     </t>
  </si>
  <si>
    <t>中国联合网络通信有限公司济宁市分公司</t>
  </si>
  <si>
    <t xml:space="preserve">XJHLW-FDJTD-20230301-00002-0001     </t>
  </si>
  <si>
    <t>周口灵时云信息技术有限公司</t>
  </si>
  <si>
    <t xml:space="preserve">XJHLW-FDJTD-20230302-00002-0001     </t>
  </si>
  <si>
    <t xml:space="preserve">XJHLW-FDJTD-20230301-00003-0001     </t>
  </si>
  <si>
    <t>上海酷屏信息技术有限公司</t>
  </si>
  <si>
    <t xml:space="preserve">XJHLW-FDJTD-20230301-00006-0001     </t>
  </si>
  <si>
    <t>杭州西典科技有限公司</t>
  </si>
  <si>
    <t xml:space="preserve">XJHLW-FDJTD-20230302-00010-0001     </t>
  </si>
  <si>
    <t>广州金逸影视传媒股份有限公司</t>
  </si>
  <si>
    <t xml:space="preserve">XJHLW-FDJTD-20230302-00007-0001     </t>
  </si>
  <si>
    <t>上海视杰光学科技有限公司</t>
  </si>
  <si>
    <t xml:space="preserve">XJHLW-FDJTD-20230302-00012-0001     </t>
  </si>
  <si>
    <t xml:space="preserve">XJHLW-FDJTD-20230302-00008-0001     </t>
  </si>
  <si>
    <t>湖北小胡鸭电子商务有限公司</t>
  </si>
  <si>
    <t xml:space="preserve">XZFL-FDJTD-20230202-00012-0001      </t>
  </si>
  <si>
    <t>博纳电影院线有限公司</t>
  </si>
  <si>
    <t xml:space="preserve">XJHLW-FDJTD-20230302-00009-0001     </t>
  </si>
  <si>
    <t>北京影龙影城管理有限公司</t>
  </si>
  <si>
    <t xml:space="preserve">XZFL-FDJTD-20230213-00001-0001      </t>
  </si>
  <si>
    <t>武汉菠菠菜数字科技有限公司</t>
  </si>
  <si>
    <t xml:space="preserve">XZFL-FDJTD-20230215-00001-0001      </t>
  </si>
  <si>
    <t>宁波良品互娱网络科技有限公司</t>
  </si>
  <si>
    <t xml:space="preserve">XZFL-FDJTD-20230301-00007-0001      </t>
  </si>
  <si>
    <t>武汉市华莱士餐饮管理有限公司</t>
  </si>
  <si>
    <t xml:space="preserve">XZFL-FDJTD-20230301-00005-0001      </t>
  </si>
  <si>
    <t>北京达济文化传媒有限公司</t>
  </si>
  <si>
    <t xml:space="preserve">XZFL-FDJTD-20230301-00012-0001      </t>
  </si>
  <si>
    <t>艾普科创（湖北）信息科技有限公司</t>
  </si>
  <si>
    <t xml:space="preserve">XZFL-FDJTD-20230301-00016-0001      </t>
  </si>
  <si>
    <t>蚌埠思旺网络科技有限公司</t>
  </si>
  <si>
    <t xml:space="preserve">XZFL-FDJTD-20230301-00013-0001      </t>
  </si>
  <si>
    <t>武汉竹子传媒有限公司</t>
  </si>
  <si>
    <t xml:space="preserve">XZFL-FDJTD-BI-20230301-90027-0001   </t>
  </si>
  <si>
    <t>中影影院投资有限公司</t>
  </si>
  <si>
    <t xml:space="preserve">XZFL-FDJTD-BI-20230301-90024-0001   </t>
  </si>
  <si>
    <t>艾普科创(湖北)信息科技有限公司</t>
  </si>
  <si>
    <t xml:space="preserve">XZFL-FDJTD-BI-20230301-90020-0001   </t>
  </si>
  <si>
    <t xml:space="preserve">XZFL-FDJTD-BI-20230301-90021-0001   </t>
  </si>
  <si>
    <t xml:space="preserve">XZFL-FDJTD-BI-20230301-90022-0001   </t>
  </si>
  <si>
    <t xml:space="preserve">KSYQW-FDJTD-20230302-00002-0001     </t>
  </si>
  <si>
    <t xml:space="preserve">WHFL-FDJTD-20230227-00001-0001      </t>
  </si>
  <si>
    <t xml:space="preserve">WHFL-FDJTD-20230201-00015-0001      </t>
  </si>
  <si>
    <t xml:space="preserve">WHFL-FDJTD-20230209-00001-0001      </t>
  </si>
  <si>
    <t xml:space="preserve">WHFL-FDJTD-20230301-00003-0001      </t>
  </si>
  <si>
    <t xml:space="preserve">WHFL-FDJTD-20230301-00010-0001      </t>
  </si>
  <si>
    <t xml:space="preserve">WHFL-FDJTD-20230301-00011-0001      </t>
  </si>
  <si>
    <t xml:space="preserve">WHFL-FDJTD-20230301-00009-0001      </t>
  </si>
  <si>
    <t xml:space="preserve">WHFL-FDJTD-20230301-00029-0001      </t>
  </si>
  <si>
    <t xml:space="preserve">WHFL-FDJTD-20230301-00028-0001      </t>
  </si>
  <si>
    <t xml:space="preserve">WHFL-FDJTD-20230301-00017-0001      </t>
  </si>
  <si>
    <t xml:space="preserve">WHFL-FDJTD-20230301-00021-0001      </t>
  </si>
  <si>
    <t xml:space="preserve">WHFL-FDJTD-20230406-00002-0001      </t>
  </si>
  <si>
    <t xml:space="preserve">WHFL-FDJTD-20230406-00007-0001      </t>
  </si>
  <si>
    <t xml:space="preserve">XJHLW-FDJTD-20230407-90001-0001     </t>
  </si>
  <si>
    <t xml:space="preserve">WHFL-FDJTD-20230403-00011-0001      </t>
  </si>
  <si>
    <t xml:space="preserve">WHFL-FDJTD-20230403-00016-0001      </t>
  </si>
  <si>
    <t xml:space="preserve">WHFL-FDJTD-20230403-00014-0001      </t>
  </si>
  <si>
    <t xml:space="preserve">WHFL-FDJTD-20230404-00001-0001      </t>
  </si>
  <si>
    <t xml:space="preserve">WHFL-FDJTD-20230404-00008-0001      </t>
  </si>
  <si>
    <t xml:space="preserve">WHFL-FDJTD-20230404-00010-0001      </t>
  </si>
  <si>
    <t xml:space="preserve">WHFL-FDJTD-BI-20230403-90014-0001   </t>
  </si>
  <si>
    <t xml:space="preserve">WHFL-FDJTD-BI-20230403-90002-0001   </t>
  </si>
  <si>
    <t xml:space="preserve">WHFL-FDJTD-BI-20230403-90010-0001   </t>
  </si>
  <si>
    <t xml:space="preserve">WHFL-FDJTD-BI-20230403-90011-0001   </t>
  </si>
  <si>
    <t xml:space="preserve">WHFL-FDJTD-BI-20230403-90012-0001   </t>
  </si>
  <si>
    <t xml:space="preserve">WHLS-FDJTD-20230403-00002-0001      </t>
  </si>
  <si>
    <t xml:space="preserve">WHFL-FDJTD-BI-20230403-90019-0001   </t>
  </si>
  <si>
    <t xml:space="preserve">WHFL-FDJTD-BI-20230403-90015-0001   </t>
  </si>
  <si>
    <t xml:space="preserve">WHFL-FDJTD-BI-20230403-90017-0001   </t>
  </si>
  <si>
    <t xml:space="preserve">WHFL-FDJTD-BI-20230403-90018-0001   </t>
  </si>
  <si>
    <t xml:space="preserve">WHLS-FDJTD-20230403-00001-0001      </t>
  </si>
  <si>
    <t xml:space="preserve">WHLS-FDJTD-BI-20230403-90013-0001   </t>
  </si>
  <si>
    <t xml:space="preserve">WHSK-FDJTD-20230403-00003-0001      </t>
  </si>
  <si>
    <t>武汉亿禄网络科技有限公司</t>
  </si>
  <si>
    <t xml:space="preserve">WHYL-FDJTD-20230403-00001-0001      </t>
  </si>
  <si>
    <t xml:space="preserve">XJHLW-FDJTD-20230404-00007-0001     </t>
  </si>
  <si>
    <t xml:space="preserve">XJHLW-FDJTD-20230313-00001-0001     </t>
  </si>
  <si>
    <t xml:space="preserve">XJHLW-FDJTD-20230404-00005-0001     </t>
  </si>
  <si>
    <t xml:space="preserve">XJHLW-FDJTD-20230404-00006-0001     </t>
  </si>
  <si>
    <t xml:space="preserve">XJHLW-FDJTD-20230404-00011-0001     </t>
  </si>
  <si>
    <t xml:space="preserve">XJHLW-FDJTD-20230404-00008-0001     </t>
  </si>
  <si>
    <t xml:space="preserve">XJHLW-FDJTD-20230404-00012-0001     </t>
  </si>
  <si>
    <t xml:space="preserve">XJHLW-FDJTD-20230404-00009-0001     </t>
  </si>
  <si>
    <t xml:space="preserve">XJHLW-FDJTD-20230404-00010-0001     </t>
  </si>
  <si>
    <t xml:space="preserve">XZFL-FDJTD-20230309-00001-0001      </t>
  </si>
  <si>
    <t xml:space="preserve">XZFL-FDJTD-20230403-00003-0001      </t>
  </si>
  <si>
    <t xml:space="preserve">XZFL-FDJTD-20230403-00007-0001      </t>
  </si>
  <si>
    <t xml:space="preserve">XZFL-FDJTD-20230403-00009-0001      </t>
  </si>
  <si>
    <t xml:space="preserve">XZFL-FDJTD-20230403-00010-0001      </t>
  </si>
  <si>
    <t xml:space="preserve">XZFL-FDJTD-20230403-00011-0001      </t>
  </si>
  <si>
    <t xml:space="preserve">XZFL-FDJTD-BI-20230403-90022-0001   </t>
  </si>
  <si>
    <t xml:space="preserve">XZFL-FDJTD-BI-20230403-90020-0001   </t>
  </si>
  <si>
    <t xml:space="preserve">XZFL-FDJTD-BI-20230403-90021-0001   </t>
  </si>
  <si>
    <t xml:space="preserve">XZFL-FDJTD-BI-20230403-90024-0001   </t>
  </si>
  <si>
    <t xml:space="preserve">XZFL-FDJTD-BI-20230403-90027-0001   </t>
  </si>
  <si>
    <t xml:space="preserve">KSYQW-FDJTD-20230403-00001-0001     </t>
  </si>
  <si>
    <t xml:space="preserve">JXFL-FDJTD-20230403-00001-0001      </t>
  </si>
  <si>
    <t xml:space="preserve">WHFL-FDJTD-20230317-00001-0001      </t>
  </si>
  <si>
    <t xml:space="preserve">WHFL-FDJTD-20230403-00010-0001      </t>
  </si>
  <si>
    <t xml:space="preserve">WHFL-FDJTD-20230403-00005-0001      </t>
  </si>
  <si>
    <t xml:space="preserve">WHFL-FDJTD-20230403-00006-0001      </t>
  </si>
  <si>
    <t xml:space="preserve">WHFL-FDJTD-20230403-00004-0001      </t>
  </si>
  <si>
    <t xml:space="preserve">WHFL-FDJTD-20230403-00009-0001      </t>
  </si>
  <si>
    <t>湖北氪金网络科技有限公司</t>
  </si>
  <si>
    <t xml:space="preserve">WHLS-FDJTD-BI-20230504-90013-0001   </t>
  </si>
  <si>
    <t>业务发展中心（杭州）</t>
  </si>
  <si>
    <t xml:space="preserve">WHLS-FDJTD-20230504-00002-0001      </t>
  </si>
  <si>
    <t xml:space="preserve">WHFL-FDJTD-BI-20230504-90019-0001   </t>
  </si>
  <si>
    <t xml:space="preserve">WHLS-FDJTD-20230504-00001-0001      </t>
  </si>
  <si>
    <t xml:space="preserve">KSYQW-FDJTD-20230504-00001-0001     </t>
  </si>
  <si>
    <t xml:space="preserve">JXFL-FDJTD-20230424-00001-0001      </t>
  </si>
  <si>
    <t xml:space="preserve">JXFL-FDJTD-20230504-00001-0001      </t>
  </si>
  <si>
    <t xml:space="preserve">JXFL-FDJTD-20230505-00001-0001      </t>
  </si>
  <si>
    <t xml:space="preserve">WHFL-FDJTD-20230426-00002-0001      </t>
  </si>
  <si>
    <t xml:space="preserve">WHFL-FDJTD-20230419-00001-0001      </t>
  </si>
  <si>
    <t xml:space="preserve">WHFL-FDJTD-20230421-00001-0001      </t>
  </si>
  <si>
    <t xml:space="preserve">WHFL-FDJTD-20230504-00005-0001      </t>
  </si>
  <si>
    <t xml:space="preserve">WHFL-FDJTD-20230504-00004-0001      </t>
  </si>
  <si>
    <t xml:space="preserve">WHFL-FDJTD-20230504-00001-0001      </t>
  </si>
  <si>
    <t xml:space="preserve">WHFL-FDJTD-20230504-00003-0001      </t>
  </si>
  <si>
    <t xml:space="preserve">WHFL-FDJTD-20230504-00014-0001      </t>
  </si>
  <si>
    <t xml:space="preserve">WHFL-FDJTD-20230504-00006-0001      </t>
  </si>
  <si>
    <t xml:space="preserve">WHFL-FDJTD-20230504-00010-0001      </t>
  </si>
  <si>
    <t xml:space="preserve">WHFL-FDJTD-20230504-00023-0001      </t>
  </si>
  <si>
    <t xml:space="preserve">WHFL-FDJTD-20230504-00019-0001      </t>
  </si>
  <si>
    <t xml:space="preserve">WHFL-FDJTD-20230504-00015-0001      </t>
  </si>
  <si>
    <t xml:space="preserve">WHFL-FDJTD-20230504-00016-0001      </t>
  </si>
  <si>
    <t xml:space="preserve">WHFL-FDJTD-20230504-00021-0001      </t>
  </si>
  <si>
    <t xml:space="preserve">WHFL-FDJTD-20230504-00017-0001      </t>
  </si>
  <si>
    <t xml:space="preserve">WHFL-FDJTD-20230504-00024-0001      </t>
  </si>
  <si>
    <t xml:space="preserve">WHFL-FDJTD-20230505-00003-0001      </t>
  </si>
  <si>
    <t xml:space="preserve">WHFL-FDJTD-BI-20230504-90018-0001   </t>
  </si>
  <si>
    <t xml:space="preserve">WHFL-FDJTD-BI-20230504-90017-0001   </t>
  </si>
  <si>
    <t xml:space="preserve">WHFL-FDJTD-BI-20230504-90011-0001   </t>
  </si>
  <si>
    <t xml:space="preserve">WHFL-FDJTD-BI-20230504-90012-0001   </t>
  </si>
  <si>
    <t xml:space="preserve">WHFL-FDJTD-BI-20230504-90002-0001   </t>
  </si>
  <si>
    <t xml:space="preserve">WHFL-FDJTD-BI-20230504-90015-0001   </t>
  </si>
  <si>
    <t xml:space="preserve">WHFL-FDJTD-BI-20230504-90010-0001   </t>
  </si>
  <si>
    <t xml:space="preserve">XJHLW-FDJTD-20230505-00003-0001     </t>
  </si>
  <si>
    <t xml:space="preserve">XJHLW-FDJTD-20230505-00002-0001     </t>
  </si>
  <si>
    <t xml:space="preserve">XJHLW-FDJTD-20230504-00001-0001     </t>
  </si>
  <si>
    <t xml:space="preserve">XJHLW-FDJTD-20230504-00004-0001     </t>
  </si>
  <si>
    <t xml:space="preserve">XJHLW-FDJTD-20230505-00001-0001     </t>
  </si>
  <si>
    <t xml:space="preserve">XJFL-FDJTD-20230505-00001-0001      </t>
  </si>
  <si>
    <t xml:space="preserve">XJHLW-FDJTD-20230505-00004-0001     </t>
  </si>
  <si>
    <t xml:space="preserve">XJHLW-FDJTD-20230505-00005-0001     </t>
  </si>
  <si>
    <t xml:space="preserve">XZFL-FDJTD-20230410-00002-0001      </t>
  </si>
  <si>
    <t xml:space="preserve">XZFL-FDJTD-20230504-00007-0001      </t>
  </si>
  <si>
    <t xml:space="preserve">XZFL-FDJTD-20230504-00005-0001      </t>
  </si>
  <si>
    <t xml:space="preserve">XZFL-FDJTD-20230504-00006-0001      </t>
  </si>
  <si>
    <t xml:space="preserve">XZFL-FDJTD-20230504-00022-0001      </t>
  </si>
  <si>
    <t xml:space="preserve">XZFL-FDJTD-20230505-00007-0001      </t>
  </si>
  <si>
    <t xml:space="preserve">XZFL-FDJTD-BI-20230504-90027-0001   </t>
  </si>
  <si>
    <t xml:space="preserve">XZFL-FDJTD-BI-20230504-90020-0001   </t>
  </si>
  <si>
    <t xml:space="preserve">XZFL-FDJTD-BI-20230504-90021-0001   </t>
  </si>
  <si>
    <t xml:space="preserve">XZFL-FDJTD-BI-20230504-90022-0001   </t>
  </si>
  <si>
    <t>海外充值平台中心</t>
  </si>
  <si>
    <t xml:space="preserve">WHSK-FDJTD-20230506-00004-0001      </t>
  </si>
  <si>
    <t xml:space="preserve">XJHLW-FDJTD-20230506-00001-0001     </t>
  </si>
  <si>
    <t xml:space="preserve">XJHLW-FDJTD-20230602-00005-0001     </t>
  </si>
  <si>
    <t xml:space="preserve">XJHLW-FDJTD-20230602-00003-0001     </t>
  </si>
  <si>
    <t xml:space="preserve">XJHLW-FDJTD-20230602-00004-0001     </t>
  </si>
  <si>
    <t xml:space="preserve">JXFL-FDJTD-20230602-00003-0001      </t>
  </si>
  <si>
    <t xml:space="preserve">WHYL-FDJTD-20230601-00001-0001      </t>
  </si>
  <si>
    <t xml:space="preserve">WHFL-FDJTD-20230508-00002-0001      </t>
  </si>
  <si>
    <t xml:space="preserve">XZFL-FDJTD-BI-20230601-90027-0001   </t>
  </si>
  <si>
    <t xml:space="preserve">XZFL-FDJTD-BI-20230601-90020-0001   </t>
  </si>
  <si>
    <t xml:space="preserve">XZFL-FDJTD-BI-20230601-90021-0001   </t>
  </si>
  <si>
    <t xml:space="preserve">XZFL-FDJTD-BI-20230601-90022-0001   </t>
  </si>
  <si>
    <t xml:space="preserve">JXFL-FDJTD-20230601-00001-0001      </t>
  </si>
  <si>
    <t xml:space="preserve">JXFL-FDJTD-20230509-00002-0001      </t>
  </si>
  <si>
    <t xml:space="preserve">KSYQW-FDJTD-20230529-00002-0001     </t>
  </si>
  <si>
    <t xml:space="preserve">JXFL-FDJTD-20230602-00001-0001      </t>
  </si>
  <si>
    <t xml:space="preserve">KSYQW-FDJTD-20230601-00002-0001     </t>
  </si>
  <si>
    <t xml:space="preserve">KSYQW-FDJTD-20230529-00001-0001     </t>
  </si>
  <si>
    <t xml:space="preserve">WHFL-FDJTD-20230512-00004-0001      </t>
  </si>
  <si>
    <t xml:space="preserve">WHFL-FDJTD-20230506-00002-0001      </t>
  </si>
  <si>
    <t xml:space="preserve">WHFL-FDJTD-20230512-00002-0001      </t>
  </si>
  <si>
    <t xml:space="preserve">WHFL-FDJTD-20230601-00005-0001      </t>
  </si>
  <si>
    <t xml:space="preserve">WHFL-FDJTD-20230601-00004-0001      </t>
  </si>
  <si>
    <t xml:space="preserve">WHFL-FDJTD-20230524-00001-0001      </t>
  </si>
  <si>
    <t xml:space="preserve">WHFL-FDJTD-20230601-00018-0001      </t>
  </si>
  <si>
    <t xml:space="preserve">WHFL-FDJTD-20230601-00014-0001      </t>
  </si>
  <si>
    <t xml:space="preserve">WHFL-FDJTD-20230601-00028-0001      </t>
  </si>
  <si>
    <t xml:space="preserve">WHFL-FDJTD-20230601-00022-0001      </t>
  </si>
  <si>
    <t xml:space="preserve">WHFL-FDJTD-20230601-00019-0001      </t>
  </si>
  <si>
    <t xml:space="preserve">WHFL-FDJTD-20230601-00020-0001      </t>
  </si>
  <si>
    <t xml:space="preserve">WHFL-FDJTD-20230601-00024-0001      </t>
  </si>
  <si>
    <t xml:space="preserve">WHFL-FDJTD-20230601-00021-0001      </t>
  </si>
  <si>
    <t xml:space="preserve">WHFL-FDJTD-20230601-00032-0001      </t>
  </si>
  <si>
    <t xml:space="preserve">WHFL-FDJTD-20230601-00029-0001      </t>
  </si>
  <si>
    <t xml:space="preserve">WHFL-FDJTD-20230601-00030-0001      </t>
  </si>
  <si>
    <t xml:space="preserve">WHFL-FDJTD-20230602-00009-0001      </t>
  </si>
  <si>
    <t xml:space="preserve">WHFL-FDJTD-BI-20230601-90017-0001   </t>
  </si>
  <si>
    <t xml:space="preserve">WHFL-FDJTD-BI-20230601-90015-0001   </t>
  </si>
  <si>
    <t xml:space="preserve">WHFL-FDJTD-BI-20230601-90011-0001   </t>
  </si>
  <si>
    <t xml:space="preserve">WHFL-FDJTD-BI-20230601-90012-0001   </t>
  </si>
  <si>
    <t xml:space="preserve">WHFL-FDJTD-BI-20230601-90002-0001   </t>
  </si>
  <si>
    <t xml:space="preserve">WHFL-FDJTD-BI-20230601-90014-0001   </t>
  </si>
  <si>
    <t xml:space="preserve">WHFL-FDJTD-BI-20230601-90010-0001   </t>
  </si>
  <si>
    <t xml:space="preserve">WHLS-FDJTD-20230601-00001-0001      </t>
  </si>
  <si>
    <t xml:space="preserve">WHFL-FDJTD-BI-20230601-90024-0001   </t>
  </si>
  <si>
    <t xml:space="preserve">WHFL-FDJTD-BI-20230601-90018-0001   </t>
  </si>
  <si>
    <t xml:space="preserve">WHFL-FDJTD-BI-20230601-90028-0001   </t>
  </si>
  <si>
    <t xml:space="preserve">WHFL-FDJTD-BI-20230601-90019-0001   </t>
  </si>
  <si>
    <t xml:space="preserve">WHFL-FDJTD-BI-20230601-90023-0001   </t>
  </si>
  <si>
    <t xml:space="preserve">WHLS-FDJTD-20230601-00007-0001      </t>
  </si>
  <si>
    <t xml:space="preserve">WHLS-FDJTD-20230601-00009-0001      </t>
  </si>
  <si>
    <t xml:space="preserve">WHLS-FDJTD-BI-20230601-90013-0001   </t>
  </si>
  <si>
    <t xml:space="preserve">WHSK-FDJTD-20230601-00001-0001      </t>
  </si>
  <si>
    <t xml:space="preserve">XJHLW-FDJTD-20230601-00001-0001     </t>
  </si>
  <si>
    <t xml:space="preserve">XJHLW-FDJTD-20230602-00001-0001     </t>
  </si>
  <si>
    <t xml:space="preserve">XJHLW-FDJTD-20230601-00002-0001     </t>
  </si>
  <si>
    <t xml:space="preserve">XJHLW-FDJTD-20230602-00002-0001     </t>
  </si>
  <si>
    <t xml:space="preserve">XZFL-FDJTD-20230515-00004-0001      </t>
  </si>
  <si>
    <t xml:space="preserve">XZFL-FDJTD-20230511-00002-0001      </t>
  </si>
  <si>
    <t xml:space="preserve">XZFL-FDJTD-20230529-00002-0001      </t>
  </si>
  <si>
    <t xml:space="preserve">XZFL-FDJTD-20230519-00002-0001      </t>
  </si>
  <si>
    <t xml:space="preserve">XZFL-FDJTD-20230601-00015-0001      </t>
  </si>
  <si>
    <t xml:space="preserve">XZFL-FDJTD-20230601-00009-0001      </t>
  </si>
  <si>
    <t xml:space="preserve">XZFL-FDJTD-20230601-00021-0001      </t>
  </si>
  <si>
    <t xml:space="preserve">XZFL-FDJTD-20230601-00019-0001      </t>
  </si>
  <si>
    <t xml:space="preserve">XZFL-FDJTD-20230602-00002-0001      </t>
  </si>
  <si>
    <t xml:space="preserve">WHYQY-FDJTD-20230621-00001-0001     </t>
  </si>
  <si>
    <t xml:space="preserve">XJHLW-FDJTD-20230704-00006-0001     </t>
  </si>
  <si>
    <t xml:space="preserve">XJHLW-FDJTD-20230704-00005-0001     </t>
  </si>
  <si>
    <t xml:space="preserve">XJHLW-FDJTD-20230629-00001-0001     </t>
  </si>
  <si>
    <t xml:space="preserve">XJHLW-FDJTD-20230703-00001-0001     </t>
  </si>
  <si>
    <t xml:space="preserve">XJHLW-FDJTD-20230704-00014-0001     </t>
  </si>
  <si>
    <t xml:space="preserve">XJHLW-FDJTD-20230704-00011-0001     </t>
  </si>
  <si>
    <t xml:space="preserve">XJHLW-FDJTD-20230704-00007-0001     </t>
  </si>
  <si>
    <t xml:space="preserve">XJHLW-FDJTD-20230704-00012-0001     </t>
  </si>
  <si>
    <t xml:space="preserve">XJHLW-FDJTD-20230704-00008-0001     </t>
  </si>
  <si>
    <t xml:space="preserve">XJHLW-FDJTD-20230704-00013-0001     </t>
  </si>
  <si>
    <t xml:space="preserve">XJHLW-FDJTD-20230704-00010-0001     </t>
  </si>
  <si>
    <t xml:space="preserve">XZFL-FDJTD-20230703-00001-0001      </t>
  </si>
  <si>
    <t xml:space="preserve">XZFL-FDJTD-20230628-00003-0001      </t>
  </si>
  <si>
    <t xml:space="preserve">XZFL-FDJTD-20230703-00012-0001      </t>
  </si>
  <si>
    <t xml:space="preserve">XZFL-FDJTD-20230703-00005-0001      </t>
  </si>
  <si>
    <t xml:space="preserve">XZFL-FDJTD-20230703-00006-0001      </t>
  </si>
  <si>
    <t xml:space="preserve">XZFL-FDJTD-20230703-00004-0001      </t>
  </si>
  <si>
    <t xml:space="preserve">XZFL-FDJTD-20230704-00011-0001      </t>
  </si>
  <si>
    <t xml:space="preserve">XZFL-FDJTD-20230704-00010-0001      </t>
  </si>
  <si>
    <t xml:space="preserve">XZFL-FDJTD-BI-20230703-90021-0001   </t>
  </si>
  <si>
    <t xml:space="preserve">JXFL-FDJTD-20230703-00003-0001      </t>
  </si>
  <si>
    <t xml:space="preserve">XZFL-FDJTD-BI-20230703-90020-0001   </t>
  </si>
  <si>
    <t xml:space="preserve">JXFL-FDJTD-20230703-00002-0001      </t>
  </si>
  <si>
    <t xml:space="preserve">JXFL-FDJTD-20230625-00001-0001      </t>
  </si>
  <si>
    <t xml:space="preserve">JXFL-FDJTD-20230630-00001-0001      </t>
  </si>
  <si>
    <t xml:space="preserve">JXFL-FDJTD-20230607-00001-0001      </t>
  </si>
  <si>
    <t xml:space="preserve">JXFL-FDJTD-20230703-00001-0001      </t>
  </si>
  <si>
    <t xml:space="preserve">JXFL-FDJTD-20230621-00001-0001      </t>
  </si>
  <si>
    <t xml:space="preserve">XZFL-FDJTD-BI-20230703-90022-0001   </t>
  </si>
  <si>
    <t xml:space="preserve">JXFL-FDJTD-20230703-00004-0001      </t>
  </si>
  <si>
    <t xml:space="preserve">XZFL-FDJTD-BI-20230703-90027-0001   </t>
  </si>
  <si>
    <t xml:space="preserve">JXFL-FDJTD-20230703-00005-0001      </t>
  </si>
  <si>
    <t xml:space="preserve">KSYQW-FDJTD-20230703-00001-0001     </t>
  </si>
  <si>
    <t xml:space="preserve">WHFL-FDJTD-20230703-00003-0001      </t>
  </si>
  <si>
    <t xml:space="preserve">WHFL-FDJTD-20230703-00002-0001      </t>
  </si>
  <si>
    <t xml:space="preserve">WHFL-FDJTD-20230703-00001-0001      </t>
  </si>
  <si>
    <t xml:space="preserve">WHFL-FDJTD-20230703-00007-0001      </t>
  </si>
  <si>
    <t xml:space="preserve">WHFL-FDJTD-20230703-00004-0001      </t>
  </si>
  <si>
    <t xml:space="preserve">WHFL-FDJTD-20230703-00005-0001      </t>
  </si>
  <si>
    <t xml:space="preserve">WHFL-FDJTD-20230703-00006-0001      </t>
  </si>
  <si>
    <t xml:space="preserve">WHFL-FDJTD-20230703-00020-0001      </t>
  </si>
  <si>
    <t xml:space="preserve">WHFL-FDJTD-20230703-00019-0001      </t>
  </si>
  <si>
    <t xml:space="preserve">WHFL-FDJTD-20230703-00016-0001      </t>
  </si>
  <si>
    <t xml:space="preserve">WHFL-FDJTD-20230703-00017-0001      </t>
  </si>
  <si>
    <t xml:space="preserve">WHFL-FDJTD-20230703-00018-0001      </t>
  </si>
  <si>
    <t xml:space="preserve">WHFL-FDJTD-20230704-00002-0001      </t>
  </si>
  <si>
    <t xml:space="preserve">WHFL-FDJTD-20230703-00022-0001      </t>
  </si>
  <si>
    <t xml:space="preserve">WHFL-FDJTD-20230704-00001-0001      </t>
  </si>
  <si>
    <t xml:space="preserve">WHFL-FDJTD-20230704-00007-0001      </t>
  </si>
  <si>
    <t xml:space="preserve">WHFL-FDJTD-20230704-00026-0001      </t>
  </si>
  <si>
    <t xml:space="preserve">WHFL-FDJTD-20230704-00027-0001      </t>
  </si>
  <si>
    <t xml:space="preserve">WHFL-FDJTD-BI-20230703-90014-0001   </t>
  </si>
  <si>
    <t xml:space="preserve">WHFL-FDJTD-BI-20230703-90012-0001   </t>
  </si>
  <si>
    <t xml:space="preserve">WHFL-FDJTD-BI-20230703-90002-0001   </t>
  </si>
  <si>
    <t xml:space="preserve">WHFL-FDJTD-BI-20230703-90010-0001   </t>
  </si>
  <si>
    <t xml:space="preserve">WHFL-FDJTD-BI-20230703-90011-0001   </t>
  </si>
  <si>
    <t xml:space="preserve">WHLS-FDJTD-20230608-00001-0001      </t>
  </si>
  <si>
    <t xml:space="preserve">WHFL-FDJTD-BI-20230703-90028-0001   </t>
  </si>
  <si>
    <t xml:space="preserve">WHFL-FDJTD-BI-20230703-90019-0001   </t>
  </si>
  <si>
    <t xml:space="preserve">WHFL-FDJTD-BI-20230703-90015-0001   </t>
  </si>
  <si>
    <t xml:space="preserve">WHFL-FDJTD-BI-20230703-90023-0001   </t>
  </si>
  <si>
    <t xml:space="preserve">WHFL-FDJTD-BI-20230703-90017-0001   </t>
  </si>
  <si>
    <t xml:space="preserve">WHFL-FDJTD-BI-20230703-90024-0001   </t>
  </si>
  <si>
    <t xml:space="preserve">WHFL-FDJTD-BI-20230703-90018-0001   </t>
  </si>
  <si>
    <t xml:space="preserve">WHLS-FDJTD-20230703-00002-0001      </t>
  </si>
  <si>
    <t xml:space="preserve">WHLS-FDJTD-20230703-00003-0001      </t>
  </si>
  <si>
    <t xml:space="preserve">WHLS-FDJTD-20230703-00001-0001      </t>
  </si>
  <si>
    <t xml:space="preserve">WHLS-FDJTD-BI-20230703-90013-0001   </t>
  </si>
  <si>
    <t xml:space="preserve">JXFL-FDJTD-20230706-00001-0001      </t>
  </si>
  <si>
    <t xml:space="preserve">JXFL-FDJTD-20230706-00002-0001      </t>
  </si>
  <si>
    <t>服务合单</t>
  </si>
  <si>
    <t xml:space="preserve">WHFL-FDJTD-20230801-00001-0001      </t>
  </si>
  <si>
    <t xml:space="preserve">WHFL-FDJTD-20230731-00001-0001      </t>
  </si>
  <si>
    <t xml:space="preserve">WHFL-FDJTD-20230801-00004-0001      </t>
  </si>
  <si>
    <t xml:space="preserve">WHFL-FDJTD-20230801-00014-0001      </t>
  </si>
  <si>
    <t xml:space="preserve">WHFL-FDJTD-20230801-00015-0001      </t>
  </si>
  <si>
    <t xml:space="preserve">WHFL-FDJTD-20230801-00012-0001      </t>
  </si>
  <si>
    <t xml:space="preserve">WHFL-FDJTD-20230801-00016-0001      </t>
  </si>
  <si>
    <t xml:space="preserve">WHFL-FDJTD-20230801-00013-0001      </t>
  </si>
  <si>
    <t xml:space="preserve">WHFL-FDJTD-20230802-00009-0001      </t>
  </si>
  <si>
    <t xml:space="preserve">WHFL-FDJTD-20230802-00006-0001      </t>
  </si>
  <si>
    <t xml:space="preserve">WHFL-FDJTD-20230802-00003-0001      </t>
  </si>
  <si>
    <t xml:space="preserve">WHFL-FDJTD-20230802-00008-0001      </t>
  </si>
  <si>
    <t xml:space="preserve">WHFL-FDJTD-20230802-00010-0001      </t>
  </si>
  <si>
    <t xml:space="preserve">WHFL-FDJTD-20230802-00012-0001      </t>
  </si>
  <si>
    <t xml:space="preserve">WHFL-FDJTD-BI-20230801-90002-0001   </t>
  </si>
  <si>
    <t xml:space="preserve">WHFL-FDJTD-BI-20230801-90023-0001   </t>
  </si>
  <si>
    <t xml:space="preserve">WHFL-FDJTD-BI-20230801-90014-0001   </t>
  </si>
  <si>
    <t xml:space="preserve">WHFL-FDJTD-BI-20230801-90010-0001   </t>
  </si>
  <si>
    <t xml:space="preserve">WHFL-FDJTD-BI-20230801-90017-0001   </t>
  </si>
  <si>
    <t xml:space="preserve">WHFL-FDJTD-BI-20230801-90011-0001   </t>
  </si>
  <si>
    <t xml:space="preserve">WHFL-FDJTD-BI-20230801-90018-0001   </t>
  </si>
  <si>
    <t xml:space="preserve">WHFL-FDJTD-BI-20230801-90012-0001   </t>
  </si>
  <si>
    <t xml:space="preserve">WHFL-FDJTD-BI-20230801-90019-0001   </t>
  </si>
  <si>
    <t xml:space="preserve">WHFL-FDJTD-BI-20230801-90024-0001   </t>
  </si>
  <si>
    <t xml:space="preserve">WHFL-FDJTD-BI-20230801-90028-0001   </t>
  </si>
  <si>
    <t xml:space="preserve">WHLS-FDJTD-20230801-00001-0001      </t>
  </si>
  <si>
    <t xml:space="preserve">WHLS-FDJTD-20230801-00002-0001      </t>
  </si>
  <si>
    <t xml:space="preserve">WHLS-FDJTD-BI-20230801-90013-0001   </t>
  </si>
  <si>
    <t xml:space="preserve">WHYQY-FDJTD-20230801-00007-0001     </t>
  </si>
  <si>
    <t xml:space="preserve">WHYL-FDJTD-20230714-00004-0001      </t>
  </si>
  <si>
    <t xml:space="preserve">WHYQY-FDJTD-20230801-00006-0001     </t>
  </si>
  <si>
    <t xml:space="preserve">XJHLW-FDJTD-20230802-00007-0001     </t>
  </si>
  <si>
    <t xml:space="preserve">XJHLW-FDJTD-20230802-00003-0001     </t>
  </si>
  <si>
    <t xml:space="preserve">XJHLW-FDJTD-20230802-00004-0001     </t>
  </si>
  <si>
    <t xml:space="preserve">XJHLW-FDJTD-20230802-00001-0001     </t>
  </si>
  <si>
    <t xml:space="preserve">XJHLW-FDJTD-20230802-00005-0001     </t>
  </si>
  <si>
    <t xml:space="preserve">XJHLW-FDJTD-20230802-00002-0001     </t>
  </si>
  <si>
    <t xml:space="preserve">XJHLW-FDJTD-20230802-00006-0001     </t>
  </si>
  <si>
    <t xml:space="preserve">XZFL-FDJTD-20230718-00001-0001      </t>
  </si>
  <si>
    <t xml:space="preserve">XZFL-FDJTD-20230801-00001-0001      </t>
  </si>
  <si>
    <t xml:space="preserve">XZFL-FDJTD-20230801-00002-0001      </t>
  </si>
  <si>
    <t xml:space="preserve">XZFL-FDJTD-20230801-00003-0001      </t>
  </si>
  <si>
    <t xml:space="preserve">XZFL-FDJTD-20230801-00011-0001      </t>
  </si>
  <si>
    <t xml:space="preserve">XZFL-FDJTD-20230801-00010-0001      </t>
  </si>
  <si>
    <t xml:space="preserve">XZFL-FDJTD-BI-20230801-90020-0001   </t>
  </si>
  <si>
    <t xml:space="preserve">XZFL-FDJTD-BI-20230801-90021-0001   </t>
  </si>
  <si>
    <t xml:space="preserve">XZFL-FDJTD-BI-20230801-90022-0001   </t>
  </si>
  <si>
    <t xml:space="preserve">XZFL-FDJTD-BI-20230801-90027-0001   </t>
  </si>
  <si>
    <t xml:space="preserve">JXFL-FDJTD-20230801-00002-0001      </t>
  </si>
  <si>
    <t xml:space="preserve">JXFL-FDJTD-20230801-00004-0001      </t>
  </si>
  <si>
    <t xml:space="preserve">JXFL-FDJTD-20230726-00002-0001      </t>
  </si>
  <si>
    <t xml:space="preserve">KSYQW-FDJTD-20230720-00001-0001     </t>
  </si>
  <si>
    <t xml:space="preserve">JXFL-FDJTD-20230801-00001-0001      </t>
  </si>
  <si>
    <t xml:space="preserve">WHFL-FDJTD-20230712-00002-0001      </t>
  </si>
  <si>
    <t xml:space="preserve">WHFL-FDJTD-20230717-00001-0001      </t>
  </si>
  <si>
    <t xml:space="preserve">WHFL-FDJTD-20230706-00001-0001      </t>
  </si>
  <si>
    <t xml:space="preserve">WHFL-FDJTD-20230717-00002-0001      </t>
  </si>
  <si>
    <t xml:space="preserve">WHFL-FDJTD-20230712-00001-0001      </t>
  </si>
  <si>
    <t xml:space="preserve">WHYQY-FDJTD-20230803-00002-0001     </t>
  </si>
  <si>
    <t xml:space="preserve">WHYQY-FDJTD-20230803-00003-0001     </t>
  </si>
  <si>
    <t xml:space="preserve">JXFL-FDJTD-20230803-00002-0001      </t>
  </si>
  <si>
    <t xml:space="preserve">JXFL-FDJTD-20230803-00001-0001      </t>
  </si>
  <si>
    <t xml:space="preserve">JXFL-FDJTD-20230726-00001-0001      </t>
  </si>
  <si>
    <t xml:space="preserve">JXFL-FDJTD-20230801-00003-0001      </t>
  </si>
  <si>
    <t xml:space="preserve">WHYQY-FDJTD-20230801-00003-0001     </t>
  </si>
  <si>
    <t xml:space="preserve">WHFL-FDJTD-BI-20230801-90015-0001   </t>
  </si>
  <si>
    <t xml:space="preserve">WHFL-FDJTD-20230802-00020-0001      </t>
  </si>
  <si>
    <t xml:space="preserve">WHFL-FDJTD-20230802-00016-0001      </t>
  </si>
  <si>
    <t xml:space="preserve">WHFL-FDJTD-20230802-00019-0001      </t>
  </si>
  <si>
    <t xml:space="preserve">XZFL-FDJTD-20230803-00004-0001      </t>
  </si>
  <si>
    <t xml:space="preserve">XJHLW-FDJTD-20230803-00001-0001     </t>
  </si>
  <si>
    <t xml:space="preserve">JXFL-FDJTD-20230829-00001-0001      </t>
  </si>
  <si>
    <t xml:space="preserve">JXFL-FDJTD-20230810-00002-0001      </t>
  </si>
  <si>
    <t xml:space="preserve">JXFL-FDJTD-20230901-00001-0001      </t>
  </si>
  <si>
    <t xml:space="preserve">WHFL-FDJTD-20230828-00009-0001      </t>
  </si>
  <si>
    <t xml:space="preserve">WHFL-FDJTD-20230828-00008-0001      </t>
  </si>
  <si>
    <t xml:space="preserve">WHFL-FDJTD-20230816-00001-0001      </t>
  </si>
  <si>
    <t xml:space="preserve">WHFL-FDJTD-20230821-00001-0001      </t>
  </si>
  <si>
    <t xml:space="preserve">WHFL-FDJTD-20230901-00001-0001      </t>
  </si>
  <si>
    <t xml:space="preserve">WHFL-FDJTD-20230901-00024-0001      </t>
  </si>
  <si>
    <t xml:space="preserve">WHFL-FDJTD-20230901-00025-0001      </t>
  </si>
  <si>
    <t xml:space="preserve">WHFL-FDJTD-BI-20230901-91014-0001   </t>
  </si>
  <si>
    <t xml:space="preserve">WHFL-FDJTD-BI-20230901-91010-0001   </t>
  </si>
  <si>
    <t xml:space="preserve">WHFL-FDJTD-BI-20230901-91002-0001   </t>
  </si>
  <si>
    <t xml:space="preserve">WHFL-FDJTD-BI-20230901-91017-0001   </t>
  </si>
  <si>
    <t xml:space="preserve">WHFL-FDJTD-BI-20230901-91019-0001   </t>
  </si>
  <si>
    <t xml:space="preserve">WHYQY-FDJTD-20230901-00001-0001     </t>
  </si>
  <si>
    <t xml:space="preserve">XJHLW-FDJTD-20230901-00002-0001     </t>
  </si>
  <si>
    <t xml:space="preserve">XJHLW-FDJTD-20230901-00001-0001     </t>
  </si>
  <si>
    <t xml:space="preserve">XJHLW-FDJTD-20230814-00001-0001     </t>
  </si>
  <si>
    <t xml:space="preserve">XJHLW-FDJTD-20230815-00001-0001     </t>
  </si>
  <si>
    <t xml:space="preserve">XZFL-FDJTD-20230809-00001-0001      </t>
  </si>
  <si>
    <t xml:space="preserve">XZFL-FDJTD-20230807-00001-0001      </t>
  </si>
  <si>
    <t xml:space="preserve">XZFL-FDJTD-20230809-00002-0001      </t>
  </si>
  <si>
    <t xml:space="preserve">XZFL-FDJTD-20230831-00002-0001      </t>
  </si>
  <si>
    <t xml:space="preserve">XZFL-FDJTD-20230831-00009-0001      </t>
  </si>
  <si>
    <t xml:space="preserve">XZFL-FDJTD-20230831-00006-0001      </t>
  </si>
  <si>
    <t xml:space="preserve">XZFL-FDJTD-20230831-00011-0001      </t>
  </si>
  <si>
    <t xml:space="preserve">XZFL-FDJTD-20230901-00003-0001      </t>
  </si>
  <si>
    <t xml:space="preserve">XJHLW-FDJTD-20230904-00004-0001     </t>
  </si>
  <si>
    <t xml:space="preserve">XJHLW-FDJTD-20230904-00001-0001     </t>
  </si>
  <si>
    <t xml:space="preserve">XJHLW-FDJTD-20230904-00005-0001     </t>
  </si>
  <si>
    <t xml:space="preserve">XJHLW-FDJTD-20230904-00002-0001     </t>
  </si>
  <si>
    <t xml:space="preserve">XZFL-FDJTD-20230831-00010-0001      </t>
  </si>
  <si>
    <t xml:space="preserve">XJHLW-FDJTD-20230904-00003-0001     </t>
  </si>
  <si>
    <t xml:space="preserve">WHYQY-FDJTD-20230904-00003-0001     </t>
  </si>
  <si>
    <t xml:space="preserve">WHYL-FDJTD-20230904-00001-0001      </t>
  </si>
  <si>
    <t xml:space="preserve">JXFL-FDJTD-20230901-00003-0001      </t>
  </si>
  <si>
    <t xml:space="preserve">JXFL-FDJTD-20230901-00002-0001      </t>
  </si>
  <si>
    <t>福禄福擎网络科技有限公司</t>
  </si>
  <si>
    <t xml:space="preserve">FLFQ-FDJTD-20230904-00001-0001      </t>
  </si>
  <si>
    <t xml:space="preserve">HNFL-FDJTD-20230901-00001-0001      </t>
  </si>
  <si>
    <t xml:space="preserve">HNFL-FDJTD-20230901-00002-0001      </t>
  </si>
  <si>
    <t xml:space="preserve">WHFL-FDJTD-20230901-00003-0001      </t>
  </si>
  <si>
    <t xml:space="preserve">WHFL-FDJTD-20230901-00002-0001      </t>
  </si>
  <si>
    <t xml:space="preserve">JXFL-FDJTD-20230901-00004-0001      </t>
  </si>
  <si>
    <t xml:space="preserve">JXFL-FDJTD-20230904-00001-0001      </t>
  </si>
  <si>
    <t xml:space="preserve">WHFL-FDJTD-20230901-00028-0001      </t>
  </si>
  <si>
    <t xml:space="preserve">WHFL-FDJTD-20230901-00004-0001      </t>
  </si>
  <si>
    <t xml:space="preserve">WHFL-FDJTD-20230901-00005-0001      </t>
  </si>
  <si>
    <t xml:space="preserve">WHFL-FDJTD-20230901-00007-0001      </t>
  </si>
  <si>
    <t xml:space="preserve">WHFL-FDJTD-20230901-00029-0001      </t>
  </si>
  <si>
    <t xml:space="preserve">WHFL-FDJTD-20230901-00030-0001      </t>
  </si>
  <si>
    <t xml:space="preserve">WHFL-FDJTD-20230901-00035-0001      </t>
  </si>
  <si>
    <t xml:space="preserve">WHFL-FDJTD-20230901-00031-0001      </t>
  </si>
  <si>
    <t xml:space="preserve">WHFL-FDJTD-BI-20230901-91018-0001   </t>
  </si>
  <si>
    <t xml:space="preserve">WHFL-FDJTD-BI-20230901-91015-0001   </t>
  </si>
  <si>
    <t xml:space="preserve">WHFL-FDJTD-20230904-00009-0001      </t>
  </si>
  <si>
    <t xml:space="preserve">WHFL-FDJTD-BI-20230901-91011-0001   </t>
  </si>
  <si>
    <t xml:space="preserve">WHFL-FDJTD-BI-20230901-91012-0001   </t>
  </si>
  <si>
    <t xml:space="preserve">WHLS-FDJTD-BI-20230901-91013-0001   </t>
  </si>
  <si>
    <t xml:space="preserve">WHLS-FDJTD-20230901-00001-0001      </t>
  </si>
  <si>
    <t xml:space="preserve">WHFL-FDJTD-BI-20230901-91023-0001   </t>
  </si>
  <si>
    <t xml:space="preserve">WHFL-FDJTD-BI-20230901-91024-0001   </t>
  </si>
  <si>
    <t xml:space="preserve">WHLS-FDJTD-20230901-00005-0001      </t>
  </si>
  <si>
    <t xml:space="preserve">WHFL-FDJTD-BI-20230901-91028-0001   </t>
  </si>
  <si>
    <t xml:space="preserve">XZFL-FDJTD-20230901-00010-0001      </t>
  </si>
  <si>
    <t xml:space="preserve">XZFL-FDJTD-20230901-00011-0001      </t>
  </si>
  <si>
    <t xml:space="preserve">XZFL-FDJTD-20230901-00012-0001      </t>
  </si>
  <si>
    <t xml:space="preserve">XZFL-FDJTD-20230901-00007-0001      </t>
  </si>
  <si>
    <t xml:space="preserve">XZFL-FDJTD-20230901-00021-0001      </t>
  </si>
  <si>
    <t xml:space="preserve">XZFL-FDJTD-20230901-00015-0001      </t>
  </si>
  <si>
    <t xml:space="preserve">XZFL-FDJTD-20230901-00022-0001      </t>
  </si>
  <si>
    <t xml:space="preserve">XZFL-FDJTD-20230901-00016-0001      </t>
  </si>
  <si>
    <t xml:space="preserve">XZFL-FDJTD-20230901-00017-0001      </t>
  </si>
  <si>
    <t xml:space="preserve">XZFL-FDJTD-BI-20230901-91021-0001   </t>
  </si>
  <si>
    <t xml:space="preserve">XZFL-FDJTD-BI-20230901-91020-0001   </t>
  </si>
  <si>
    <t xml:space="preserve">XZFL-FDJTD-BI-20230901-91022-0001   </t>
  </si>
  <si>
    <t xml:space="preserve">JXFL-FDJTD-20230904-00005-0001      </t>
  </si>
  <si>
    <t xml:space="preserve">WHFL-FDJTD-20230904-00014-0001      </t>
  </si>
  <si>
    <t xml:space="preserve">WHFL-FDJTD-20230904-00015-0001      </t>
  </si>
  <si>
    <t xml:space="preserve">WHFL-FDJTD-20230904-00011-0001      </t>
  </si>
  <si>
    <t xml:space="preserve">WHFL-FDJTD-20230904-00013-0001      </t>
  </si>
  <si>
    <t xml:space="preserve">WHFL-FDJTD-20230905-00003-0001      </t>
  </si>
  <si>
    <t>武汉福禄传媒有限公司</t>
  </si>
  <si>
    <t>FLCM-FDJTD-20231010-00001</t>
  </si>
  <si>
    <t>XJHLW-FDJTD-20231008-00004</t>
  </si>
  <si>
    <t>XJHLW-FDJTD-20231008-00003</t>
  </si>
  <si>
    <t>XJHLW-FDJTD-20231007-00001</t>
  </si>
  <si>
    <t>游戏生态直播电商中心</t>
  </si>
  <si>
    <t>WHYQY-FDJTD-20231007-00004</t>
  </si>
  <si>
    <t>XJHLW-FDJTD-20230922-00001</t>
  </si>
  <si>
    <t>WHYQY-FDJTD-20231007-00001</t>
  </si>
  <si>
    <t>WHYL-FDJTD-20231008-00001</t>
  </si>
  <si>
    <t>WHFL-FDJTD-20230927-00004</t>
  </si>
  <si>
    <t>WHFL-FDJTD-20230925-00001</t>
  </si>
  <si>
    <t>WHFL-FDJTD-20230922-00001</t>
  </si>
  <si>
    <t>WHFL-FDJTD-20230921-00004</t>
  </si>
  <si>
    <t>WHFL-FDJTD-20230921-00005</t>
  </si>
  <si>
    <t>WHFL-FDJTD-20230928-00010</t>
  </si>
  <si>
    <t>WHFL-FDJTD-20230928-00009</t>
  </si>
  <si>
    <t>WHFL-FDJTD-20230928-00004</t>
  </si>
  <si>
    <t>WHFL-FDJTD-20230928-00005</t>
  </si>
  <si>
    <t>WHFL-FDJTD-20230928-00007</t>
  </si>
  <si>
    <t>WHFL-FDJTD-20230928-00003</t>
  </si>
  <si>
    <t>WHFL-FDJTD-20231007-00008</t>
  </si>
  <si>
    <t>WHFL-FDJTD-20231007-00005</t>
  </si>
  <si>
    <t>WHFL-FDJTD-20231007-00001</t>
  </si>
  <si>
    <t>WHFL-FDJTD-20231007-00006</t>
  </si>
  <si>
    <t>WHFL-FDJTD-20231007-00002</t>
  </si>
  <si>
    <t>WHFL-FDJTD-20231007-00007</t>
  </si>
  <si>
    <t>WHFL-FDJTD-20231007-00004</t>
  </si>
  <si>
    <t>WHFL-FDJTD-20231007-00019</t>
  </si>
  <si>
    <t>WHFL-FDJTD-20231007-00018</t>
  </si>
  <si>
    <t>WHFL-FDJTD-20231007-00014</t>
  </si>
  <si>
    <t>WHFL-FDJTD-20231007-00015</t>
  </si>
  <si>
    <t>WHFL-FDJTD-20231007-00030</t>
  </si>
  <si>
    <t>WHFL-FDJTD-20231007-00029</t>
  </si>
  <si>
    <t>WHFL-FDJTD-20231007-00020</t>
  </si>
  <si>
    <t>WHFL-FDJTD-20231007-00021</t>
  </si>
  <si>
    <t>WHFL-FDJTD-20231007-00031</t>
  </si>
  <si>
    <t>WHFL-FDJTD-20231008-00006</t>
  </si>
  <si>
    <t>WHFL-FDJTD-20231008-00001</t>
  </si>
  <si>
    <t>WHFL-FDJTD-BI-20231007-91017</t>
  </si>
  <si>
    <t>WHFL-FDJTD-BI-20231007-91015</t>
  </si>
  <si>
    <t>WHFL-FDJTD-BI-20231007-91011</t>
  </si>
  <si>
    <t>WHFL-FDJTD-BI-20231007-91012</t>
  </si>
  <si>
    <t>WHFL-FDJTD-BI-20231007-91002</t>
  </si>
  <si>
    <t>WHFL-FDJTD-BI-20231007-91014</t>
  </si>
  <si>
    <t>WHFL-FDJTD-BI-20231007-91010</t>
  </si>
  <si>
    <t>WHLS-FDJTD-20231007-00002</t>
  </si>
  <si>
    <t>WHFL-FDJTD-BI-20231007-91024</t>
  </si>
  <si>
    <t>WHFL-FDJTD-BI-20231007-91018</t>
  </si>
  <si>
    <t>WHFL-FDJTD-BI-20231007-91028</t>
  </si>
  <si>
    <t>WHFL-FDJTD-BI-20231007-91019</t>
  </si>
  <si>
    <t>WHLS-FDJTD-20231007-00001</t>
  </si>
  <si>
    <t>WHFL-FDJTD-BI-20231007-91023</t>
  </si>
  <si>
    <t>WHLS-FDJTD-BI-20231007-91013</t>
  </si>
  <si>
    <t>JXFL-FDJTD-20230925-00001</t>
  </si>
  <si>
    <t>JXFL-FDJTD-20230912-00002</t>
  </si>
  <si>
    <t>FLFQ-FDJTD-20231008-00001</t>
  </si>
  <si>
    <t>HNFL-FDJTD-20231007-00002</t>
  </si>
  <si>
    <t>FLCM-FDJTD-20231008-00001</t>
  </si>
  <si>
    <t>JXFL-FDJTD-20230912-00001</t>
  </si>
  <si>
    <t>FLCM-FDJTD-20231008-00002</t>
  </si>
  <si>
    <t>JXFL-FDJTD-20231007-00009</t>
  </si>
  <si>
    <t>JXFL-FDJTD-20231007-00008</t>
  </si>
  <si>
    <t>JXFL-FDJTD-20231007-00004</t>
  </si>
  <si>
    <t>JXFL-FDJTD-20231007-00002</t>
  </si>
  <si>
    <t>JXFL-FDJTD-20231007-00007</t>
  </si>
  <si>
    <t>JXFL-FDJTD-20231007-00003</t>
  </si>
  <si>
    <t>JXFL-FDJTD-20231008-00001</t>
  </si>
  <si>
    <t>WHFL-FDJTD-20230921-00002</t>
  </si>
  <si>
    <t>WHFL-FDJTD-20230921-00001</t>
  </si>
  <si>
    <t>XJHLW-FDJTD-20231008-00008</t>
  </si>
  <si>
    <t>XJHLW-FDJTD-20231008-00005</t>
  </si>
  <si>
    <t>XJHLW-FDJTD-20231008-00009</t>
  </si>
  <si>
    <t>XJHLW-FDJTD-20231008-00006</t>
  </si>
  <si>
    <t>XJHLW-FDJTD-20231008-00010</t>
  </si>
  <si>
    <t>XJHLW-FDJTD-20231008-00007</t>
  </si>
  <si>
    <t>XZFL-FDJTD-20230928-00003</t>
  </si>
  <si>
    <t>XZFL-FDJTD-20230926-00001</t>
  </si>
  <si>
    <t>XZFL-FDJTD-20230925-00001</t>
  </si>
  <si>
    <t>XZFL-FDJTD-20231007-00006</t>
  </si>
  <si>
    <t>XZFL-FDJTD-20231007-00004</t>
  </si>
  <si>
    <t>XZFL-FDJTD-20231007-00013</t>
  </si>
  <si>
    <t>XZFL-FDJTD-20231007-00010</t>
  </si>
  <si>
    <t>XZFL-FDJTD-20231007-00011</t>
  </si>
  <si>
    <t>XZFL-FDJTD-BI-20231007-91020</t>
  </si>
  <si>
    <t>XZFL-FDJTD-BI-20231007-91021</t>
  </si>
  <si>
    <t>XZFL-FDJTD-BI-20231007-91022</t>
  </si>
  <si>
    <t>JXFL-FDJTD-20231008-00002</t>
  </si>
  <si>
    <t>JXFL-FDJTD-20231008-00003</t>
  </si>
  <si>
    <t>WHFL-FDJTD-20230927-00001</t>
  </si>
  <si>
    <t>WHFL-FDJTD-20230928-00008</t>
  </si>
  <si>
    <t>XJHLW-FDJTD-20231009-00002</t>
  </si>
  <si>
    <t>XJHLW-FDJTD-20231008-00011</t>
  </si>
  <si>
    <t>XJHLW-FDJTD-20231009-00001</t>
  </si>
  <si>
    <t xml:space="preserve">JXFL-FDJTD-20231107-00001-0001      </t>
  </si>
  <si>
    <t xml:space="preserve">XZFL-FDJTD-20231101-00005-0001      </t>
  </si>
  <si>
    <t xml:space="preserve">JXFL-FDJTD-20231101-00003-0001      </t>
  </si>
  <si>
    <t xml:space="preserve">WHFL-FDJTD-20231101-00004-0001      </t>
  </si>
  <si>
    <t xml:space="preserve">XZFL-FDJTD-BI-20231101-91021-0001   </t>
  </si>
  <si>
    <t xml:space="preserve">XZFL-FDJTD-BI-20231101-91022-0001   </t>
  </si>
  <si>
    <t xml:space="preserve">XZFL-FDJTD-BI-20231101-91020-0001   </t>
  </si>
  <si>
    <t xml:space="preserve">JXFL-FDJTD-20231019-00001-0001      </t>
  </si>
  <si>
    <t xml:space="preserve">FLCM-FDJTD-20231102-00002-0001      </t>
  </si>
  <si>
    <t xml:space="preserve">FLFQ-FDJTD-20231102-00001-0001      </t>
  </si>
  <si>
    <t xml:space="preserve">JXFL-FDJTD-20231101-00004-0001      </t>
  </si>
  <si>
    <t xml:space="preserve">JXFL-FDJTD-20231020-00001-0001      </t>
  </si>
  <si>
    <t xml:space="preserve">JXFL-FDJTD-20231101-00005-0001      </t>
  </si>
  <si>
    <t xml:space="preserve">JXFL-FDJTD-20231101-00001-0001      </t>
  </si>
  <si>
    <t xml:space="preserve">JXFL-FDJTD-20231101-00006-0001      </t>
  </si>
  <si>
    <t xml:space="preserve">JXFL-FDJTD-20231101-00002-0001      </t>
  </si>
  <si>
    <t xml:space="preserve">WHFL-FDJTD-20231007-00003-0001      </t>
  </si>
  <si>
    <t xml:space="preserve">KSYQW-FDJTD-20231102-00001-0001     </t>
  </si>
  <si>
    <t xml:space="preserve">WHFL-FDJTD-20231030-00001-0001      </t>
  </si>
  <si>
    <t xml:space="preserve">WHFL-FDJTD-20231030-00002-0001      </t>
  </si>
  <si>
    <t xml:space="preserve">WHFL-FDJTD-20231019-00001-0001      </t>
  </si>
  <si>
    <t xml:space="preserve">WHFL-FDJTD-20231031-00001-0001      </t>
  </si>
  <si>
    <t xml:space="preserve">WHFL-FDJTD-20231101-00011-0001      </t>
  </si>
  <si>
    <t xml:space="preserve">WHFL-FDJTD-20231101-00007-0001      </t>
  </si>
  <si>
    <t xml:space="preserve">WHFL-FDJTD-20231101-00016-0001      </t>
  </si>
  <si>
    <t xml:space="preserve">WHFL-FDJTD-20231101-00017-0001      </t>
  </si>
  <si>
    <t xml:space="preserve">WHFL-FDJTD-20231101-00014-0001      </t>
  </si>
  <si>
    <t xml:space="preserve">WHFL-FDJTD-20231101-00018-0001      </t>
  </si>
  <si>
    <t xml:space="preserve">WHFL-FDJTD-20231101-00015-0001      </t>
  </si>
  <si>
    <t xml:space="preserve">WHFL-FDJTD-20231102-00008-0001      </t>
  </si>
  <si>
    <t xml:space="preserve">WHFL-FDJTD-20231101-00022-0001      </t>
  </si>
  <si>
    <t xml:space="preserve">WHFL-FDJTD-20231102-00005-0001      </t>
  </si>
  <si>
    <t xml:space="preserve">WHFL-FDJTD-20231102-00007-0001      </t>
  </si>
  <si>
    <t xml:space="preserve">WHFL-FDJTD-20231102-00012-0001      </t>
  </si>
  <si>
    <t xml:space="preserve">WHFL-FDJTD-20231102-00009-0001      </t>
  </si>
  <si>
    <t xml:space="preserve">WHFL-FDJTD-20231102-00013-0001      </t>
  </si>
  <si>
    <t xml:space="preserve">WHFL-FDJTD-20231102-00010-0001      </t>
  </si>
  <si>
    <t xml:space="preserve">WHFL-FDJTD-20231102-00014-0001      </t>
  </si>
  <si>
    <t xml:space="preserve">WHFL-FDJTD-20231102-00011-0001      </t>
  </si>
  <si>
    <t xml:space="preserve">WHFL-FDJTD-20231102-00019-0001      </t>
  </si>
  <si>
    <t xml:space="preserve">WHFL-FDJTD-BI-20231101-91018-0001   </t>
  </si>
  <si>
    <t xml:space="preserve">WHFL-FDJTD-BI-20231101-91012-0001   </t>
  </si>
  <si>
    <t xml:space="preserve">WHFL-FDJTD-BI-20231101-91014-0001   </t>
  </si>
  <si>
    <t xml:space="preserve">WHFL-FDJTD-BI-20231101-91010-0001   </t>
  </si>
  <si>
    <t xml:space="preserve">WHFL-FDJTD-BI-20231101-91015-0001   </t>
  </si>
  <si>
    <t xml:space="preserve">WHFL-FDJTD-BI-20231101-91011-0001   </t>
  </si>
  <si>
    <t xml:space="preserve">WHFL-FDJTD-BI-20231101-91017-0001   </t>
  </si>
  <si>
    <t xml:space="preserve">WHLS-FDJTD-20231030-00001-0001      </t>
  </si>
  <si>
    <t xml:space="preserve">WHFL-FDJTD-BI-20231101-91028-0001   </t>
  </si>
  <si>
    <t xml:space="preserve">WHFL-FDJTD-BI-20231101-91019-0001   </t>
  </si>
  <si>
    <t xml:space="preserve">WHFL-FDJTD-BI-20231101-91023-0001   </t>
  </si>
  <si>
    <t xml:space="preserve">WHFL-FDJTD-BI-20231101-91024-0001   </t>
  </si>
  <si>
    <t xml:space="preserve">WHLS-FDJTD-20231101-00001-0001      </t>
  </si>
  <si>
    <t xml:space="preserve">WHLS-FDJTD-20231102-00001-0001      </t>
  </si>
  <si>
    <t xml:space="preserve">WHLS-FDJTD-BI-20231101-91013-0001   </t>
  </si>
  <si>
    <t xml:space="preserve">WHYQY-FDJTD-20231101-00005-0001     </t>
  </si>
  <si>
    <t xml:space="preserve">WHYQY-FDJTD-20231025-00001-0001     </t>
  </si>
  <si>
    <t xml:space="preserve">WHYL-FDJTD-20231102-00001-0001      </t>
  </si>
  <si>
    <t xml:space="preserve">WHYQY-FDJTD-20231030-00001-0001     </t>
  </si>
  <si>
    <t xml:space="preserve">WHYQY-FDJTD-20231101-00001-0001     </t>
  </si>
  <si>
    <t xml:space="preserve">XJHLW-FDJTD-20231102-00005-0001     </t>
  </si>
  <si>
    <t xml:space="preserve">XJHLW-FDJTD-20231101-00005-0001     </t>
  </si>
  <si>
    <t xml:space="preserve">XJHLW-FDJTD-20231101-00001-0001     </t>
  </si>
  <si>
    <t xml:space="preserve">XJHLW-FDJTD-20231102-00004-0001     </t>
  </si>
  <si>
    <t xml:space="preserve">XJHLW-FDJTD-20231102-00011-0001     </t>
  </si>
  <si>
    <t xml:space="preserve">XJHLW-FDJTD-20231102-00006-0001     </t>
  </si>
  <si>
    <t xml:space="preserve">XJHLW-FDJTD-20231102-00009-0001     </t>
  </si>
  <si>
    <t xml:space="preserve">XJHLW-FDJTD-20231102-00010-0001     </t>
  </si>
  <si>
    <t xml:space="preserve">XZFL-FDJTD-20231101-00006-0001      </t>
  </si>
  <si>
    <t xml:space="preserve">XZFL-FDJTD-20231101-00001-0001      </t>
  </si>
  <si>
    <t xml:space="preserve">XZFL-FDJTD-20231101-00013-0001      </t>
  </si>
  <si>
    <t xml:space="preserve">XZFL-FDJTD-20231101-00007-0001      </t>
  </si>
  <si>
    <t xml:space="preserve">XZFL-FDJTD-20231101-00014-0001      </t>
  </si>
  <si>
    <t xml:space="preserve">WHFL-FDJTD-20231102-00018-0001      </t>
  </si>
  <si>
    <t xml:space="preserve">JXFL-FDJTD-20231102-00003-0001      </t>
  </si>
  <si>
    <t xml:space="preserve">JXFL-FDJTD-20231102-00004-0001      </t>
  </si>
  <si>
    <t xml:space="preserve">WHFL-FDJTD-20231102-00017-0001      </t>
  </si>
  <si>
    <t xml:space="preserve">WHYQY-FDJTD-20231103-00002-0001     </t>
  </si>
  <si>
    <t xml:space="preserve">XJHLW-FDJTD-20231102-00007-0001     </t>
  </si>
  <si>
    <t xml:space="preserve">XJHLW-FDJTD-20231102-00008-0001     </t>
  </si>
  <si>
    <t xml:space="preserve">FLCM-FDJTD-20231108-00001-0001      </t>
  </si>
  <si>
    <t xml:space="preserve">JXFL-FDJTD-20231201-00005-0001      </t>
  </si>
  <si>
    <t xml:space="preserve">JXFL-FDJTD-20231201-00001-0001      </t>
  </si>
  <si>
    <t xml:space="preserve">JXFL-FDJTD-20231201-00006-0001      </t>
  </si>
  <si>
    <t xml:space="preserve">JXFL-FDJTD-20231201-00002-0001      </t>
  </si>
  <si>
    <t xml:space="preserve">JXFL-FDJTD-20231201-00004-0001      </t>
  </si>
  <si>
    <t xml:space="preserve">WHFL-FDJTD-20231120-00002-0001      </t>
  </si>
  <si>
    <t xml:space="preserve">WHFL-FDJTD-20231117-00001-0001      </t>
  </si>
  <si>
    <t xml:space="preserve">WHFL-FDJTD-20231201-00010-0001      </t>
  </si>
  <si>
    <t xml:space="preserve">WHFL-FDJTD-20231121-00001-0001      </t>
  </si>
  <si>
    <t xml:space="preserve">WHFL-FDJTD-20231129-00001-0001      </t>
  </si>
  <si>
    <t xml:space="preserve">WHFL-FDJTD-20231124-00001-0001      </t>
  </si>
  <si>
    <t xml:space="preserve">WHFL-FDJTD-20231201-00008-0001      </t>
  </si>
  <si>
    <t xml:space="preserve">WHFL-FDJTD-20231201-00019-0001      </t>
  </si>
  <si>
    <t xml:space="preserve">WHFL-FDJTD-20231201-00020-0001      </t>
  </si>
  <si>
    <t xml:space="preserve">WHFL-FDJTD-20231201-00021-0001      </t>
  </si>
  <si>
    <t xml:space="preserve">WHFL-FDJTD-20231201-00022-0001      </t>
  </si>
  <si>
    <t xml:space="preserve">WHFL-FDJTD-BI-20231201-91012-0001   </t>
  </si>
  <si>
    <t xml:space="preserve">WHFL-FDJTD-BI-20231201-91002-0001   </t>
  </si>
  <si>
    <t xml:space="preserve">WHFL-FDJTD-BI-20231201-91011-0001   </t>
  </si>
  <si>
    <t xml:space="preserve">WHLS-FDJTD-20231201-00002-0001      </t>
  </si>
  <si>
    <t xml:space="preserve">WHLS-FDJTD-20231201-00003-0001      </t>
  </si>
  <si>
    <t xml:space="preserve">WHLS-FDJTD-BI-20231201-91013-0001   </t>
  </si>
  <si>
    <t xml:space="preserve">WHSK-FDJTD-20231101-00001-0001      </t>
  </si>
  <si>
    <t xml:space="preserve">XJHLW-FDJTD-20231201-00001-0001     </t>
  </si>
  <si>
    <t xml:space="preserve">XJHLW-FDJTD-20231201-00002-0001     </t>
  </si>
  <si>
    <t xml:space="preserve">WHYQY-FDJTD-20231129-00001-0001     </t>
  </si>
  <si>
    <t xml:space="preserve">XJHLW-FDJTD-20231201-00003-0001     </t>
  </si>
  <si>
    <t xml:space="preserve">XJHLW-FDJTD-20231201-00004-0001     </t>
  </si>
  <si>
    <t xml:space="preserve">XZFL-FDJTD-20231101-00008-0001      </t>
  </si>
  <si>
    <t xml:space="preserve">XZFL-FDJTD-20231116-00002-0001      </t>
  </si>
  <si>
    <t xml:space="preserve">XZFL-FDJTD-20231121-00002-0001      </t>
  </si>
  <si>
    <t xml:space="preserve">XZFL-FDJTD-20231121-00003-0001      </t>
  </si>
  <si>
    <t xml:space="preserve">XZFL-FDJTD-20231122-00001-0001      </t>
  </si>
  <si>
    <t xml:space="preserve">XZFL-FDJTD-20231201-00010-0001      </t>
  </si>
  <si>
    <t xml:space="preserve">XZFL-FDJTD-20231201-00011-0001      </t>
  </si>
  <si>
    <t xml:space="preserve">XZFL-FDJTD-20231201-00023-0001      </t>
  </si>
  <si>
    <t xml:space="preserve">XZFL-FDJTD-20231201-00014-0001      </t>
  </si>
  <si>
    <t xml:space="preserve">XZFL-FDJTD-20231201-00026-0001      </t>
  </si>
  <si>
    <t xml:space="preserve">XZFL-FDJTD-BI-20231201-91020-0001   </t>
  </si>
  <si>
    <t xml:space="preserve">XZFL-FDJTD-BI-20231201-91022-0001   </t>
  </si>
  <si>
    <t xml:space="preserve">FLCM-FDJTD-20231205-00003-0001      </t>
  </si>
  <si>
    <t xml:space="preserve">FLCM-FDJTD-20231205-00001-0001      </t>
  </si>
  <si>
    <t xml:space="preserve">WHFL-FDJTD-20231204-00016-0001      </t>
  </si>
  <si>
    <t xml:space="preserve">WHFL-FDJTD-20231204-00008-0001      </t>
  </si>
  <si>
    <t xml:space="preserve">WHFL-FDJTD-20231204-00009-0001      </t>
  </si>
  <si>
    <t xml:space="preserve">WHFL-FDJTD-20231204-00007-0001      </t>
  </si>
  <si>
    <t xml:space="preserve">WHFL-FDJTD-20231204-00017-0001      </t>
  </si>
  <si>
    <t xml:space="preserve">XJHLW-FDJTD-20231204-00002-0001     </t>
  </si>
  <si>
    <t xml:space="preserve">XJHLW-FDJTD-20231204-00001-0001     </t>
  </si>
  <si>
    <t xml:space="preserve">WHYQY-FDJTD-20231204-00001-0001     </t>
  </si>
  <si>
    <t xml:space="preserve">XZFL-FDJTD-20231201-00003-0001      </t>
  </si>
  <si>
    <t xml:space="preserve">XZFL-FDJTD-20231201-00001-0001      </t>
  </si>
  <si>
    <t xml:space="preserve">XZFL-FDJTD-20231201-00002-0001      </t>
  </si>
  <si>
    <t xml:space="preserve">XZFL-FDJTD-BI-20231201-91021-0001   </t>
  </si>
  <si>
    <t xml:space="preserve">FLCM-FDJTD-20231201-00002-0001      </t>
  </si>
  <si>
    <t xml:space="preserve">FLCM-FDJTD-20231201-00001-0001      </t>
  </si>
  <si>
    <t xml:space="preserve">WHFL-FDJTD-20231201-00001-0001      </t>
  </si>
  <si>
    <t xml:space="preserve">JXFL-FDJTD-20231201-00009-0001      </t>
  </si>
  <si>
    <t xml:space="preserve">FLCM-FDJTD-20231201-00003-0001      </t>
  </si>
  <si>
    <t xml:space="preserve">JXFL-FDJTD-20231203-00001-0001      </t>
  </si>
  <si>
    <t xml:space="preserve">FLFQ-FDJTD-20231204-00001-0001      </t>
  </si>
  <si>
    <t xml:space="preserve">JXFL-FDJTD-20231204-00002-0001      </t>
  </si>
  <si>
    <t xml:space="preserve">WHFL-FDJTD-20231204-00003-0001      </t>
  </si>
  <si>
    <t xml:space="preserve">WHFL-FDJTD-20231201-00023-0001      </t>
  </si>
  <si>
    <t xml:space="preserve">WHFL-FDJTD-20231201-00002-0001      </t>
  </si>
  <si>
    <t xml:space="preserve">WHFL-FDJTD-20231204-00002-0001      </t>
  </si>
  <si>
    <t xml:space="preserve">WHFL-FDJTD-20231201-00004-0001      </t>
  </si>
  <si>
    <t xml:space="preserve">WHFL-FDJTD-20231201-00027-0001      </t>
  </si>
  <si>
    <t xml:space="preserve">WHFL-FDJTD-20231201-00014-0001      </t>
  </si>
  <si>
    <t xml:space="preserve">JXFL-FDJTD-20231204-00001-0001      </t>
  </si>
  <si>
    <t xml:space="preserve">WHFL-FDJTD-20231201-00011-0001      </t>
  </si>
  <si>
    <t xml:space="preserve">JXFL-FDJTD-20231204-00003-0001      </t>
  </si>
  <si>
    <t xml:space="preserve">WHFL-FDJTD-BI-20231201-91018-0001   </t>
  </si>
  <si>
    <t xml:space="preserve">WHFL-FDJTD-BI-20231201-91014-0001   </t>
  </si>
  <si>
    <t xml:space="preserve">WHFL-FDJTD-20231201-00028-0001      </t>
  </si>
  <si>
    <t>电商中心群</t>
  </si>
  <si>
    <t xml:space="preserve">WHFL-FDJTD-20231204-00012-0001      </t>
  </si>
  <si>
    <t xml:space="preserve">WHFL-FDJTD-20231201-00029-0001      </t>
  </si>
  <si>
    <t xml:space="preserve">WHFL-FDJTD-20231201-00030-0001      </t>
  </si>
  <si>
    <t xml:space="preserve">WHFL-FDJTD-BI-20231201-91028-0001   </t>
  </si>
  <si>
    <t xml:space="preserve">WHFL-FDJTD-BI-20231201-91019-0001   </t>
  </si>
  <si>
    <t xml:space="preserve">WHFL-FDJTD-BI-20231201-91023-0001   </t>
  </si>
  <si>
    <t xml:space="preserve">WHFL-FDJTD-BI-20231201-91024-0001   </t>
  </si>
  <si>
    <t xml:space="preserve">XJHLW-FDJTD-20231201-00007-0001     </t>
  </si>
  <si>
    <t xml:space="preserve">XJHLW-FDJTD-20231201-00005-0001     </t>
  </si>
  <si>
    <t xml:space="preserve">XJHLW-FDJTD-20231201-00006-0001     </t>
  </si>
  <si>
    <t xml:space="preserve">WHYL-FDJTD-20231204-00001-0001      </t>
  </si>
  <si>
    <t xml:space="preserve">FLCM-FDJTD-20231205-00002-0001      </t>
  </si>
  <si>
    <t xml:space="preserve">WHFL-FDJTD-20231205-00002-0001      </t>
  </si>
  <si>
    <t xml:space="preserve">HNFLDYFGS-FDJTD-20231205-00003-0001 </t>
  </si>
  <si>
    <t xml:space="preserve">WHFL-FDJTD-20231205-00001-0001      </t>
  </si>
  <si>
    <t xml:space="preserve">WHLS-FDJTD-20231205-00001-0001      </t>
  </si>
  <si>
    <t>客户发展中心群</t>
  </si>
  <si>
    <t xml:space="preserve">HBKJ-FDJTD-20231229-00002-0001      </t>
  </si>
  <si>
    <t xml:space="preserve">JXFL-FDJTD-20231215-00001-0001      </t>
  </si>
  <si>
    <t xml:space="preserve">WHFL-FDJTD-20231213-00001-0001      </t>
  </si>
  <si>
    <t xml:space="preserve">JXFL-FDJTD-20231220-00001-0001      </t>
  </si>
  <si>
    <t xml:space="preserve">WHFL-FDJTD-20231222-00003-0001      </t>
  </si>
  <si>
    <t xml:space="preserve">WHFL-FDJTD-20231213-00002-0001      </t>
  </si>
  <si>
    <t xml:space="preserve">WHFL-FDJTD-20231213-00003-0001      </t>
  </si>
  <si>
    <t xml:space="preserve">WHFL-FDJTD-20231222-00002-0001      </t>
  </si>
  <si>
    <t xml:space="preserve">WHFL-FDJTD-20240102-00001-0001      </t>
  </si>
  <si>
    <t xml:space="preserve">WHFL-FDJTD-20231225-00001-0001      </t>
  </si>
  <si>
    <t xml:space="preserve">WHFL-FDJTD-20240102-00002-0001      </t>
  </si>
  <si>
    <t xml:space="preserve">WHFL-FDJTD-20231227-00001-0001      </t>
  </si>
  <si>
    <t xml:space="preserve">WHFL-FDJTD-20240102-00003-0001      </t>
  </si>
  <si>
    <t xml:space="preserve">WHFL-FDJTD-20240102-00004-0001      </t>
  </si>
  <si>
    <t xml:space="preserve">WHYQY-FDJTD-20231229-00003-0001     </t>
  </si>
  <si>
    <t xml:space="preserve">FLCM-FDJTD-20240109-00002-0001      </t>
  </si>
  <si>
    <t xml:space="preserve">FLCM-FDJTD-20240109-00003-0001      </t>
  </si>
  <si>
    <t xml:space="preserve">FLCM-FDJTD-20240109-00004-0001      </t>
  </si>
  <si>
    <t xml:space="preserve">FLCM-FDJTD-20240109-00001-0001      </t>
  </si>
  <si>
    <t xml:space="preserve">FLCM-FDJTD-20240109-00005-0001      </t>
  </si>
  <si>
    <t xml:space="preserve">JXFL-FDJTD-20240108-00003-0001      </t>
  </si>
  <si>
    <t xml:space="preserve">WHFL-FDJTD-20240109-00004-0001      </t>
  </si>
  <si>
    <t xml:space="preserve">WHFL-FDJTD-20240108-00002-0001      </t>
  </si>
  <si>
    <t xml:space="preserve">WHFL-FDJTD-20240108-00003-0001      </t>
  </si>
  <si>
    <t xml:space="preserve">FLCM-FDJTD-20240103-00005-0001      </t>
  </si>
  <si>
    <t xml:space="preserve">WHFL-FDJTD-20240102-00006-0001      </t>
  </si>
  <si>
    <t xml:space="preserve">WHFL-FDJTD-20240103-00019-0001      </t>
  </si>
  <si>
    <t xml:space="preserve">WHFL-FDJTD-20240104-00003-0001      </t>
  </si>
  <si>
    <t xml:space="preserve">WHFL-FDJTD-BI-20240101-91010-0001   </t>
  </si>
  <si>
    <t xml:space="preserve">WHFL-FDJTD-20240104-00015-0001      </t>
  </si>
  <si>
    <t xml:space="preserve">WHFL-FDJTD-BI-20240101-91015-0001   </t>
  </si>
  <si>
    <t xml:space="preserve">XZFL-FDJTD-20240104-00002-0001      </t>
  </si>
  <si>
    <t xml:space="preserve">XZFL-FDJTD-20240104-00001-0001      </t>
  </si>
  <si>
    <t xml:space="preserve">XJHLW-FDJTD-20240103-00011-0001     </t>
  </si>
  <si>
    <t xml:space="preserve">XZFL-FDJTD-20240104-00012-0001      </t>
  </si>
  <si>
    <t xml:space="preserve">XZFL-FDJTD-20240104-00014-0001      </t>
  </si>
  <si>
    <t xml:space="preserve">WHFL-FDJTD-20240104-00020-0001      </t>
  </si>
  <si>
    <t xml:space="preserve">XZFL-FDJTD-20240104-00019-0001      </t>
  </si>
  <si>
    <t xml:space="preserve">JXFL-FDJTD-20240108-00001-0001      </t>
  </si>
  <si>
    <t xml:space="preserve">WHFL-FDJTD-20240105-00003-0001      </t>
  </si>
  <si>
    <t xml:space="preserve">WHFL-FDJTD-20240108-00001-0001      </t>
  </si>
  <si>
    <t xml:space="preserve">XZFL-FDJTD-20240108-00004-0001      </t>
  </si>
  <si>
    <t xml:space="preserve">FLCM-FDJTD-20240102-00001-0001      </t>
  </si>
  <si>
    <t xml:space="preserve">FLCM-FDJTD-20240102-00002-0001      </t>
  </si>
  <si>
    <t xml:space="preserve">JXFL-FDJTD-20240102-00003-0001      </t>
  </si>
  <si>
    <t xml:space="preserve">JXFL-FDJTD-20240102-00002-0001      </t>
  </si>
  <si>
    <t xml:space="preserve">FLCM-FDJTD-20240103-00004-0001      </t>
  </si>
  <si>
    <t xml:space="preserve">HNFLDYFGS-FDJTD-20240102-00002-0001 </t>
  </si>
  <si>
    <t xml:space="preserve">FLFQ-FDJTD-20240103-00001-0001      </t>
  </si>
  <si>
    <t xml:space="preserve">JXFL-FDJTD-20240102-00001-0001      </t>
  </si>
  <si>
    <t xml:space="preserve">JXFL-FDJTD-20240103-00001-0001      </t>
  </si>
  <si>
    <t xml:space="preserve">JXFL-FDJTD-20240102-00004-0001      </t>
  </si>
  <si>
    <t xml:space="preserve">JXFL-FDJTD-20240103-00002-0001      </t>
  </si>
  <si>
    <t xml:space="preserve">JXFL-FDJTD-20240102-00005-0001      </t>
  </si>
  <si>
    <t xml:space="preserve">JXFL-FDJTD-20240103-00003-0001      </t>
  </si>
  <si>
    <t xml:space="preserve">WHFL-FDJTD-20240102-00012-0001      </t>
  </si>
  <si>
    <t xml:space="preserve">WHFL-FDJTD-20231229-00005-0001      </t>
  </si>
  <si>
    <t xml:space="preserve">WHFL-FDJTD-20240102-00019-0001      </t>
  </si>
  <si>
    <t xml:space="preserve">WHFL-FDJTD-20240102-00018-0001      </t>
  </si>
  <si>
    <t xml:space="preserve">WHFL-FDJTD-20240103-00004-0001      </t>
  </si>
  <si>
    <t xml:space="preserve">WHFL-FDJTD-20240102-00023-0001      </t>
  </si>
  <si>
    <t xml:space="preserve">WHFL-FDJTD-20240103-00007-0001      </t>
  </si>
  <si>
    <t xml:space="preserve">WHFL-FDJTD-20240103-00008-0001      </t>
  </si>
  <si>
    <t xml:space="preserve">WHFL-FDJTD-20240103-00003-0001      </t>
  </si>
  <si>
    <t xml:space="preserve">WHFL-FDJTD-BI-20240101-91018-0001   </t>
  </si>
  <si>
    <t xml:space="preserve">WHFL-FDJTD-BI-20240101-91017-0001   </t>
  </si>
  <si>
    <t xml:space="preserve">WHFL-FDJTD-BI-20240101-91011-0001   </t>
  </si>
  <si>
    <t xml:space="preserve">WHFL-FDJTD-20240103-00014-0001      </t>
  </si>
  <si>
    <t xml:space="preserve">WHFL-FDJTD-BI-20240101-91012-0001   </t>
  </si>
  <si>
    <t xml:space="preserve">WHFL-FDJTD-20240103-00015-0001      </t>
  </si>
  <si>
    <t xml:space="preserve">WHFL-FDJTD-BI-20240101-91014-0001   </t>
  </si>
  <si>
    <t xml:space="preserve">WHFL-FDJTD-BI-20240101-91002-0001   </t>
  </si>
  <si>
    <t xml:space="preserve">WHFL-FDJTD-BI-20240101-91028-0001   </t>
  </si>
  <si>
    <t xml:space="preserve">WHFL-FDJTD-BI-20240101-91019-0001   </t>
  </si>
  <si>
    <t xml:space="preserve">WHLS-FDJTD-20240102-00001-0001      </t>
  </si>
  <si>
    <t xml:space="preserve">WHFL-FDJTD-BI-20240101-91023-0001   </t>
  </si>
  <si>
    <t xml:space="preserve">WHFL-FDJTD-BI-20240101-91024-0001   </t>
  </si>
  <si>
    <t xml:space="preserve">WHLS-FDJTD-BI-20240101-91013-0001   </t>
  </si>
  <si>
    <t xml:space="preserve">WHLS-FDJTD-20240103-00002-0001      </t>
  </si>
  <si>
    <t xml:space="preserve">XJHLW-FDJTD-20240102-00002-0001     </t>
  </si>
  <si>
    <t xml:space="preserve">XJHLW-FDJTD-20240102-00001-0001     </t>
  </si>
  <si>
    <t xml:space="preserve">WHYL-FDJTD-20240102-00001-0001      </t>
  </si>
  <si>
    <t xml:space="preserve">WHYQY-FDJTD-20240102-00006-0001     </t>
  </si>
  <si>
    <t xml:space="preserve">XJHLW-FDJTD-20240103-00008-0001     </t>
  </si>
  <si>
    <t xml:space="preserve">XJHLW-FDJTD-20240103-00007-0001     </t>
  </si>
  <si>
    <t xml:space="preserve">XJHLW-FDJTD-20240103-00004-0001     </t>
  </si>
  <si>
    <t xml:space="preserve">XJHLW-FDJTD-20240103-00001-0001     </t>
  </si>
  <si>
    <t xml:space="preserve">XJHLW-FDJTD-20240103-00005-0001     </t>
  </si>
  <si>
    <t xml:space="preserve">XJHLW-FDJTD-20240103-00002-0001     </t>
  </si>
  <si>
    <t xml:space="preserve">XJHLW-FDJTD-20240103-00006-0001     </t>
  </si>
  <si>
    <t xml:space="preserve">XJHLW-FDJTD-20240103-00003-0001     </t>
  </si>
  <si>
    <t xml:space="preserve">XJHLW-FDJTD-20240103-00009-0001     </t>
  </si>
  <si>
    <t xml:space="preserve">XJHLW-FDJTD-20240103-00010-0001     </t>
  </si>
  <si>
    <t xml:space="preserve">XZFL-FDJTD-20231228-00005-0001      </t>
  </si>
  <si>
    <t xml:space="preserve">XZFL-FDJTD-20240102-00004-0001      </t>
  </si>
  <si>
    <t xml:space="preserve">XZFL-FDJTD-20240102-00016-0001      </t>
  </si>
  <si>
    <t xml:space="preserve">XZFL-FDJTD-20240102-00009-0001      </t>
  </si>
  <si>
    <t xml:space="preserve">XZFL-FDJTD-20240102-00017-0001      </t>
  </si>
  <si>
    <t xml:space="preserve">XZFL-FDJTD-20240102-00010-0001      </t>
  </si>
  <si>
    <t xml:space="preserve">XZFL-FDJTD-20240103-00014-0001      </t>
  </si>
  <si>
    <t xml:space="preserve">XZFL-FDJTD-BI-20240101-91020-0001   </t>
  </si>
  <si>
    <t xml:space="preserve">XZFL-FDJTD-BI-20240101-91021-0001   </t>
  </si>
  <si>
    <t xml:space="preserve">XZFL-FDJTD-BI-20240101-91022-0001   </t>
  </si>
  <si>
    <t>1221.09.02</t>
  </si>
  <si>
    <t>其他应收款_待抵扣税金_待抵扣税金-6%</t>
  </si>
  <si>
    <t>年初余额</t>
  </si>
  <si>
    <t>借</t>
  </si>
  <si>
    <t>记</t>
  </si>
  <si>
    <t>调整微信立减金202301月待抵扣税金调成本202302031534000479413&amp;调整成本+财付通支付科技有限公司+业务发展中心+6%</t>
  </si>
  <si>
    <t>调整微信立减金202302月待抵扣税金调成本202303031502000500973&amp;调整成本+财付通支付科技有限公司+业务发展中心+6%</t>
  </si>
  <si>
    <t>调整确认财付通微信立减金残值收入202304011319000479362&amp;调整成本+财付通支付科技有限公司+9957087+6%</t>
  </si>
  <si>
    <t>贷</t>
  </si>
  <si>
    <t>调整微信立减金202303月待抵扣税金调成本202304051330000233882&amp;调整成本+财付通支付科技有限公司+业务发展中心+6%</t>
  </si>
  <si>
    <t>调整微信立减金202304月待抵扣税金调成本202305052044000090968&amp;调整成本+财付通支付科技有限公司+业务发展中心+6%</t>
  </si>
  <si>
    <t>调整确认税损#FL-YWRZTZD-20230602-00006(推单金额科目有误）&amp;调整成本+财付通支付科技有限公司+业务发展中心+6%</t>
  </si>
  <si>
    <t>FL-YWRZTZD-20230705-00004+调整税损+非平台业务数据调整</t>
  </si>
  <si>
    <t>FL-YWRZTZD-20230706-00007+调整税损+非平台业务数据调整</t>
  </si>
  <si>
    <t>FL-YWRZTZD-20230706-00007+调整税损+非平台业务数据调整（确认财付通渠道清理税损）</t>
  </si>
  <si>
    <t>FL-YWRZTZD-20230802-00005+调整税损+非平台业务数据调整</t>
  </si>
  <si>
    <t>FL-YWRZTZD-20230904-00004+调整税损+非平台业务数据调整</t>
  </si>
  <si>
    <t>FL-YWRZTZD-20231009-00010+调整税损+非平台业务数据调整</t>
  </si>
  <si>
    <t>FL-YWRZTZD-20231010-00001+调整税损+非平台业务数据调整（税损）</t>
  </si>
  <si>
    <t>FL-YWRZTZD-20231010-00001+调整成本+非平台业务数据调整</t>
  </si>
  <si>
    <t>调整支付宝立减金202301月待抵扣税金调成本202302031534000479413&amp;调整成本+支付宝(中国)网络技术有限公司+业务发展中心+6%</t>
  </si>
  <si>
    <t>调整支付宝立减金202302月待抵扣税金调成本202303031502000500973&amp;调整成本+支付宝(中国)网络技术有限公司+业务发展中心+6%</t>
  </si>
  <si>
    <t>调整支付宝立减金202303月待抵扣税金调成本202304051330000233882&amp;调整成本+支付宝(中国)网络技术有限公司+业务发展中心+6%</t>
  </si>
  <si>
    <t>调整支付宝立减金202304月待抵扣税金调成本202305052044000090968&amp;调整成本+支付宝(中国)网络技术有限公司+业务发展中心+6%</t>
  </si>
  <si>
    <t>调整确认税损#FL-YWRZTZD-20230602-00006(推单金额科目有误）&amp;调整成本+支付宝(中国)网络技术有限公司+业务发展中心+6%</t>
  </si>
  <si>
    <t>确认2301月微信立减金税损（审批编号：202302031534000479413）&amp;调整成本+财付通支付科技有限公司+8431490</t>
  </si>
  <si>
    <t>确认2302月微信立减金税损（审批编号：202303031502000500973）&amp;调整成本+财付通支付科技有限公司+8431490</t>
  </si>
  <si>
    <t>补确认2303月微信立减金税损&amp;调整成本+财付通支付科技有限公司+8431490</t>
  </si>
  <si>
    <t>确认2301月支付宝立减金税损（审批编号：202302031534000479413）&amp;调整成本+支付宝(中国)网络技术有限公司+8431490</t>
  </si>
  <si>
    <t>确认2302月支付宝立减金税损（审批编号：202303031502000500973）&amp;调整成本+支付宝(中国)网络技术有限公司+8431490</t>
  </si>
  <si>
    <t>补确认2303月支付宝立减金税损&amp;调整成本+支付宝(中国)网络技术有限公司+8431490</t>
  </si>
  <si>
    <t>FL-YWRZTZD-20231103-00002+调整税损+非平台业务数据调整</t>
  </si>
  <si>
    <t>FL-YWRZTZD-20231205-00011+调整税损+非平台业务数据调整</t>
  </si>
  <si>
    <t>FL-YWRZTZD-20240105-00006+调整税损+非平台业务数据调整</t>
  </si>
  <si>
    <t>FL-YWRZTZD-20240109-00002+调整税损+非平台业务数据调整</t>
  </si>
  <si>
    <t>平</t>
  </si>
  <si>
    <t>公司主体</t>
  </si>
  <si>
    <t>收入组成项</t>
  </si>
  <si>
    <t>求和项:合计</t>
  </si>
  <si>
    <t>求和项:游戏</t>
  </si>
  <si>
    <t>求和项:通信</t>
  </si>
  <si>
    <t>求和项:网娱</t>
  </si>
  <si>
    <t>求和项:生活服务</t>
  </si>
  <si>
    <t>寄售销售额</t>
  </si>
  <si>
    <t>购销成本</t>
  </si>
  <si>
    <t>订单毛利</t>
  </si>
  <si>
    <t>购销成本（抵消）</t>
  </si>
  <si>
    <t>购销收入</t>
  </si>
  <si>
    <t>推广收入毛利</t>
  </si>
  <si>
    <t>购销收入（抵消）</t>
  </si>
  <si>
    <t>寄售成本额</t>
  </si>
  <si>
    <t>平台服务收入</t>
  </si>
  <si>
    <t>平台服务收入（抵消）</t>
  </si>
  <si>
    <t>佣金服务收入</t>
  </si>
  <si>
    <t>佣金服务收入（抵消）</t>
  </si>
  <si>
    <t>推广服务收入</t>
  </si>
  <si>
    <t>逾期权益收入</t>
  </si>
  <si>
    <t>武汉搜卡</t>
  </si>
  <si>
    <t>推广服务收入（抵消）</t>
  </si>
  <si>
    <t>武汉天识</t>
  </si>
  <si>
    <t>武汉立硕</t>
  </si>
  <si>
    <t>西藏福禄</t>
  </si>
  <si>
    <t>一起玩</t>
  </si>
  <si>
    <t>一起游</t>
  </si>
  <si>
    <t>湖北氪金</t>
  </si>
  <si>
    <t>新疆福禄</t>
  </si>
  <si>
    <t>武汉亿禄</t>
  </si>
  <si>
    <t>新疆葫芦娃</t>
  </si>
  <si>
    <t>西藏葫芦娃</t>
  </si>
  <si>
    <t>集团汇总</t>
  </si>
  <si>
    <t>游戏联运收入</t>
  </si>
  <si>
    <t>游戏开发</t>
  </si>
  <si>
    <t>经纪服务收入</t>
  </si>
  <si>
    <t>游戏联运收入（抵消）</t>
  </si>
  <si>
    <t>其他业务收入_推广服务</t>
  </si>
  <si>
    <t>武汉福禄集团</t>
  </si>
  <si>
    <t>推广服务</t>
  </si>
  <si>
    <t>推广服务费</t>
  </si>
  <si>
    <t>推广毛利</t>
  </si>
  <si>
    <t>推广毛利（含税）</t>
  </si>
  <si>
    <t>推广GMV（含税）</t>
  </si>
  <si>
    <t>其他业务成本_推广服务</t>
  </si>
  <si>
    <t>代运营服务收入</t>
  </si>
  <si>
    <t>推广收入GMV</t>
  </si>
  <si>
    <t>推广服务费（抵消）</t>
  </si>
  <si>
    <t>福禄(香港)</t>
  </si>
  <si>
    <t>海南福禄</t>
  </si>
  <si>
    <t>计数项:通信</t>
  </si>
  <si>
    <t>经纪服务费</t>
  </si>
  <si>
    <t>游戏收入</t>
  </si>
  <si>
    <t>信息服务收入</t>
  </si>
  <si>
    <t>游戏开发服务费</t>
  </si>
  <si>
    <t>游戏开发服务费（抵消）</t>
  </si>
  <si>
    <t>游戏开发收入</t>
  </si>
  <si>
    <t>游戏开发收入（抵消）</t>
  </si>
  <si>
    <t>平台服务费（抵消）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</si>
</sst>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/d;@"/>
    <numFmt numFmtId="178" formatCode="0.0%"/>
    <numFmt numFmtId="179" formatCode="_ * #,##0_ ;_ * \-#,##0_ ;_ * &quot;-&quot;??_ ;_ @_ "/>
    <numFmt numFmtId="180" formatCode="0_ "/>
    <numFmt numFmtId="181" formatCode="#,##0_ "/>
    <numFmt numFmtId="182" formatCode="_ * #,##0.000_ ;_ * \-#,##0.000_ ;_ * &quot;-&quot;??.000_ ;_ @_ "/>
    <numFmt numFmtId="183" formatCode="_ * #,##0.00000_ ;_ * \-#,##0.00000_ ;_ * &quot;-&quot;??.000_ ;_ @_ "/>
    <numFmt numFmtId="184" formatCode="#,##0.0_ "/>
    <numFmt numFmtId="185" formatCode="#,##0.0"/>
    <numFmt numFmtId="186" formatCode="#,##0.000_ "/>
    <numFmt numFmtId="187" formatCode="yyyy&quot;年&quot;m&quot;月&quot;;@"/>
  </numFmts>
  <fonts count="7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indexed="8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indexed="8"/>
      <name val="宋体"/>
      <charset val="1"/>
    </font>
    <font>
      <sz val="9"/>
      <color theme="1"/>
      <name val="宋体"/>
      <charset val="134"/>
    </font>
    <font>
      <sz val="8"/>
      <color theme="1"/>
      <name val="宋体"/>
      <charset val="134"/>
    </font>
    <font>
      <sz val="10"/>
      <color rgb="FF333333"/>
      <name val="宋体"/>
      <charset val="134"/>
    </font>
    <font>
      <sz val="11"/>
      <color indexed="8"/>
      <name val="宋体"/>
      <charset val="134"/>
      <scheme val="minor"/>
    </font>
    <font>
      <b/>
      <sz val="12"/>
      <color rgb="FF000000"/>
      <name val="华文仿宋"/>
      <charset val="134"/>
    </font>
    <font>
      <sz val="12"/>
      <color rgb="FF000000"/>
      <name val="华文仿宋"/>
      <charset val="134"/>
    </font>
    <font>
      <sz val="11.25"/>
      <color theme="1"/>
      <name val="Tahoma"/>
      <charset val="134"/>
    </font>
    <font>
      <sz val="11"/>
      <color theme="0"/>
      <name val="微软雅黑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name val="微软雅黑"/>
      <charset val="134"/>
    </font>
    <font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name val="宋体"/>
      <charset val="134"/>
      <scheme val="minor"/>
    </font>
    <font>
      <sz val="9"/>
      <name val="宋体"/>
      <charset val="134"/>
      <scheme val="minor"/>
    </font>
    <font>
      <sz val="9"/>
      <color rgb="FF000000"/>
      <name val="Dialog.plain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  <scheme val="minor"/>
    </font>
    <font>
      <sz val="8"/>
      <color rgb="FF000000"/>
      <name val="Dialog.plain"/>
      <charset val="134"/>
    </font>
    <font>
      <sz val="8"/>
      <color rgb="FF000000"/>
      <name val="宋体"/>
      <charset val="134"/>
    </font>
    <font>
      <sz val="9"/>
      <color indexed="8"/>
      <name val="等线"/>
      <charset val="1"/>
    </font>
    <font>
      <sz val="9"/>
      <color theme="1"/>
      <name val="等线"/>
      <charset val="134"/>
    </font>
    <font>
      <sz val="8"/>
      <color rgb="FF000000"/>
      <name val="微软雅黑"/>
      <charset val="134"/>
    </font>
    <font>
      <sz val="9"/>
      <color rgb="FF000000"/>
      <name val="等线"/>
      <charset val="134"/>
    </font>
    <font>
      <sz val="8"/>
      <color rgb="FF000000"/>
      <name val="宋体"/>
      <charset val="134"/>
      <scheme val="minor"/>
    </font>
    <font>
      <sz val="8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8"/>
      <color rgb="FF000000"/>
      <name val="Arial"/>
      <charset val="134"/>
    </font>
    <font>
      <sz val="9"/>
      <color rgb="FF000000"/>
      <name val="MS Sans Serif"/>
      <charset val="134"/>
    </font>
    <font>
      <sz val="9"/>
      <name val="宋体"/>
      <charset val="134"/>
    </font>
    <font>
      <sz val="9"/>
      <color theme="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EF0"/>
        <bgColor rgb="FFC9DEF0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8"/>
        <bgColor rgb="FFE8E4CB"/>
      </patternFill>
    </fill>
    <fill>
      <patternFill patternType="solid">
        <fgColor theme="8" tint="0.8"/>
        <bgColor rgb="FFE8E4CB"/>
      </patternFill>
    </fill>
    <fill>
      <patternFill patternType="solid">
        <fgColor theme="7" tint="0.8"/>
        <bgColor rgb="FFE8E4C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33" borderId="28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34" borderId="31" applyNumberFormat="0" applyAlignment="0" applyProtection="0">
      <alignment vertical="center"/>
    </xf>
    <xf numFmtId="0" fontId="56" fillId="35" borderId="32" applyNumberFormat="0" applyAlignment="0" applyProtection="0">
      <alignment vertical="center"/>
    </xf>
    <xf numFmtId="0" fontId="57" fillId="35" borderId="31" applyNumberFormat="0" applyAlignment="0" applyProtection="0">
      <alignment vertical="center"/>
    </xf>
    <xf numFmtId="0" fontId="58" fillId="36" borderId="33" applyNumberFormat="0" applyAlignment="0" applyProtection="0">
      <alignment vertical="center"/>
    </xf>
    <xf numFmtId="0" fontId="59" fillId="0" borderId="34" applyNumberFormat="0" applyFill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5" fillId="57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4" fillId="5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6" fillId="0" borderId="0"/>
    <xf numFmtId="0" fontId="67" fillId="0" borderId="0">
      <alignment vertical="center"/>
    </xf>
  </cellStyleXfs>
  <cellXfs count="752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43" fontId="2" fillId="0" borderId="0" xfId="1" applyFont="1">
      <alignment vertical="center"/>
    </xf>
    <xf numFmtId="0" fontId="0" fillId="0" borderId="0" xfId="0" applyAlignment="1">
      <alignment horizontal="left" vertical="center"/>
    </xf>
    <xf numFmtId="43" fontId="0" fillId="0" borderId="0" xfId="1">
      <alignment vertical="center"/>
    </xf>
    <xf numFmtId="43" fontId="1" fillId="2" borderId="0" xfId="1" applyFont="1" applyFill="1" applyAlignment="1">
      <alignment horizontal="center" vertical="center"/>
    </xf>
    <xf numFmtId="176" fontId="1" fillId="2" borderId="0" xfId="1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vertical="center"/>
    </xf>
    <xf numFmtId="43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4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1" fillId="0" borderId="0" xfId="0" applyNumberFormat="1" applyFont="1" applyAlignment="1">
      <alignment horizontal="right" vertical="center"/>
    </xf>
    <xf numFmtId="176" fontId="1" fillId="0" borderId="0" xfId="0" applyNumberFormat="1" applyFont="1" applyFill="1">
      <alignment vertical="center"/>
    </xf>
    <xf numFmtId="176" fontId="5" fillId="0" borderId="0" xfId="0" applyNumberFormat="1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4" fontId="1" fillId="0" borderId="0" xfId="0" applyNumberFormat="1" applyFont="1">
      <alignment vertical="center"/>
    </xf>
    <xf numFmtId="43" fontId="4" fillId="0" borderId="0" xfId="1" applyFont="1">
      <alignment vertical="center"/>
    </xf>
    <xf numFmtId="0" fontId="4" fillId="0" borderId="0" xfId="0" applyFont="1">
      <alignment vertical="center"/>
    </xf>
    <xf numFmtId="4" fontId="0" fillId="0" borderId="0" xfId="0" applyNumberFormat="1">
      <alignment vertical="center"/>
    </xf>
    <xf numFmtId="176" fontId="1" fillId="3" borderId="0" xfId="0" applyNumberFormat="1" applyFont="1" applyFill="1">
      <alignment vertical="center"/>
    </xf>
    <xf numFmtId="14" fontId="4" fillId="0" borderId="0" xfId="0" applyNumberFormat="1" applyFont="1" applyAlignment="1">
      <alignment horizontal="left" vertical="center"/>
    </xf>
    <xf numFmtId="4" fontId="4" fillId="0" borderId="0" xfId="0" applyNumberFormat="1" applyFo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77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76" fontId="7" fillId="0" borderId="0" xfId="1" applyNumberFormat="1" applyFont="1" applyAlignment="1">
      <alignment horizontal="right" vertical="center"/>
    </xf>
    <xf numFmtId="43" fontId="7" fillId="0" borderId="0" xfId="1" applyFont="1" applyAlignment="1">
      <alignment vertical="center"/>
    </xf>
    <xf numFmtId="176" fontId="7" fillId="0" borderId="0" xfId="0" applyNumberFormat="1" applyFont="1" applyFill="1" applyAlignment="1">
      <alignment vertical="center"/>
    </xf>
    <xf numFmtId="176" fontId="7" fillId="0" borderId="0" xfId="0" applyNumberFormat="1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177" fontId="8" fillId="4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177" fontId="8" fillId="0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/>
    </xf>
    <xf numFmtId="177" fontId="8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0" fillId="5" borderId="0" xfId="0" applyFont="1" applyFill="1" applyBorder="1" applyAlignment="1" applyProtection="1">
      <alignment horizontal="left" vertical="center"/>
    </xf>
    <xf numFmtId="0" fontId="8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Border="1" applyAlignment="1" applyProtection="1">
      <alignment horizontal="left" vertical="center"/>
    </xf>
    <xf numFmtId="176" fontId="8" fillId="4" borderId="0" xfId="0" applyNumberFormat="1" applyFont="1" applyFill="1" applyAlignment="1">
      <alignment horizontal="right" vertical="center"/>
    </xf>
    <xf numFmtId="176" fontId="8" fillId="0" borderId="0" xfId="0" applyNumberFormat="1" applyFont="1" applyFill="1" applyAlignment="1">
      <alignment horizontal="right" vertical="center"/>
    </xf>
    <xf numFmtId="176" fontId="9" fillId="0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176" fontId="9" fillId="5" borderId="0" xfId="1" applyNumberFormat="1" applyFont="1" applyFill="1" applyAlignment="1">
      <alignment horizontal="right" vertical="center"/>
    </xf>
    <xf numFmtId="176" fontId="8" fillId="5" borderId="0" xfId="1" applyNumberFormat="1" applyFont="1" applyFill="1" applyAlignment="1">
      <alignment horizontal="right" vertical="center"/>
    </xf>
    <xf numFmtId="0" fontId="9" fillId="0" borderId="0" xfId="0" applyFont="1" applyFill="1" applyAlignment="1">
      <alignment horizontal="left" vertical="center"/>
    </xf>
    <xf numFmtId="176" fontId="8" fillId="0" borderId="0" xfId="1" applyNumberFormat="1" applyFont="1" applyFill="1" applyAlignment="1">
      <alignment horizontal="right" vertical="center"/>
    </xf>
    <xf numFmtId="0" fontId="8" fillId="0" borderId="0" xfId="0" applyNumberFormat="1" applyFont="1" applyFill="1" applyAlignment="1">
      <alignment horizontal="left" vertical="center"/>
    </xf>
    <xf numFmtId="176" fontId="10" fillId="0" borderId="0" xfId="1" applyNumberFormat="1" applyFont="1" applyFill="1" applyBorder="1" applyAlignment="1" applyProtection="1">
      <alignment horizontal="right" vertical="center"/>
    </xf>
    <xf numFmtId="176" fontId="10" fillId="0" borderId="0" xfId="1" applyNumberFormat="1" applyFont="1" applyFill="1" applyAlignment="1" applyProtection="1">
      <alignment horizontal="right"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3" borderId="0" xfId="0" applyFont="1" applyFill="1" applyAlignment="1">
      <alignment vertical="center"/>
    </xf>
    <xf numFmtId="176" fontId="7" fillId="3" borderId="0" xfId="0" applyNumberFormat="1" applyFont="1" applyFill="1" applyAlignment="1">
      <alignment vertical="center"/>
    </xf>
    <xf numFmtId="0" fontId="7" fillId="6" borderId="0" xfId="0" applyFont="1" applyFill="1" applyAlignment="1">
      <alignment vertical="center"/>
    </xf>
    <xf numFmtId="176" fontId="7" fillId="6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176" fontId="7" fillId="2" borderId="0" xfId="0" applyNumberFormat="1" applyFont="1" applyFill="1" applyAlignment="1">
      <alignment vertical="center"/>
    </xf>
    <xf numFmtId="0" fontId="7" fillId="7" borderId="0" xfId="0" applyFont="1" applyFill="1" applyAlignment="1">
      <alignment vertical="center"/>
    </xf>
    <xf numFmtId="176" fontId="7" fillId="7" borderId="0" xfId="0" applyNumberFormat="1" applyFont="1" applyFill="1" applyAlignment="1">
      <alignment vertical="center"/>
    </xf>
    <xf numFmtId="176" fontId="2" fillId="0" borderId="0" xfId="3" applyNumberFormat="1" applyFont="1">
      <alignment vertical="center"/>
    </xf>
    <xf numFmtId="0" fontId="7" fillId="8" borderId="0" xfId="0" applyFont="1" applyFill="1" applyAlignment="1">
      <alignment vertical="center"/>
    </xf>
    <xf numFmtId="176" fontId="7" fillId="8" borderId="0" xfId="0" applyNumberFormat="1" applyFont="1" applyFill="1" applyAlignment="1">
      <alignment vertical="center"/>
    </xf>
    <xf numFmtId="176" fontId="11" fillId="0" borderId="0" xfId="0" applyNumberFormat="1" applyFont="1">
      <alignment vertical="center"/>
    </xf>
    <xf numFmtId="176" fontId="7" fillId="5" borderId="0" xfId="0" applyNumberFormat="1" applyFont="1" applyFill="1" applyAlignment="1">
      <alignment vertical="center"/>
    </xf>
    <xf numFmtId="176" fontId="12" fillId="0" borderId="0" xfId="0" applyNumberFormat="1" applyFont="1">
      <alignment vertical="center"/>
    </xf>
    <xf numFmtId="0" fontId="7" fillId="9" borderId="0" xfId="0" applyFont="1" applyFill="1" applyAlignment="1">
      <alignment vertical="center"/>
    </xf>
    <xf numFmtId="176" fontId="7" fillId="9" borderId="0" xfId="0" applyNumberFormat="1" applyFont="1" applyFill="1" applyAlignment="1">
      <alignment vertical="center"/>
    </xf>
    <xf numFmtId="0" fontId="7" fillId="10" borderId="0" xfId="0" applyFont="1" applyFill="1" applyAlignment="1">
      <alignment vertical="center"/>
    </xf>
    <xf numFmtId="176" fontId="7" fillId="10" borderId="0" xfId="0" applyNumberFormat="1" applyFont="1" applyFill="1" applyAlignment="1">
      <alignment vertical="center"/>
    </xf>
    <xf numFmtId="0" fontId="7" fillId="11" borderId="0" xfId="0" applyFont="1" applyFill="1" applyAlignment="1">
      <alignment vertical="center"/>
    </xf>
    <xf numFmtId="176" fontId="7" fillId="11" borderId="0" xfId="0" applyNumberFormat="1" applyFont="1" applyFill="1" applyAlignment="1">
      <alignment vertical="center"/>
    </xf>
    <xf numFmtId="0" fontId="7" fillId="12" borderId="0" xfId="0" applyFont="1" applyFill="1" applyAlignment="1">
      <alignment vertical="center"/>
    </xf>
    <xf numFmtId="176" fontId="7" fillId="12" borderId="0" xfId="0" applyNumberFormat="1" applyFont="1" applyFill="1" applyAlignment="1">
      <alignment vertical="center"/>
    </xf>
    <xf numFmtId="0" fontId="7" fillId="13" borderId="0" xfId="0" applyFont="1" applyFill="1" applyAlignment="1">
      <alignment vertical="center"/>
    </xf>
    <xf numFmtId="176" fontId="7" fillId="13" borderId="0" xfId="0" applyNumberFormat="1" applyFont="1" applyFill="1" applyAlignment="1">
      <alignment vertical="center"/>
    </xf>
    <xf numFmtId="14" fontId="7" fillId="0" borderId="0" xfId="0" applyNumberFormat="1" applyFont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6" fontId="7" fillId="0" borderId="0" xfId="3" applyNumberFormat="1" applyFont="1" applyAlignment="1">
      <alignment vertical="center"/>
    </xf>
    <xf numFmtId="177" fontId="9" fillId="0" borderId="0" xfId="0" applyNumberFormat="1" applyFont="1" applyFill="1" applyAlignment="1">
      <alignment horizontal="left" vertical="center"/>
    </xf>
    <xf numFmtId="0" fontId="8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0" xfId="0" applyFont="1" applyFill="1" applyAlignment="1">
      <alignment horizontal="left" vertical="center"/>
    </xf>
    <xf numFmtId="176" fontId="7" fillId="5" borderId="0" xfId="0" applyNumberFormat="1" applyFont="1" applyFill="1" applyAlignment="1">
      <alignment horizontal="right" vertical="center"/>
    </xf>
    <xf numFmtId="43" fontId="7" fillId="0" borderId="0" xfId="1" applyFont="1" applyFill="1" applyAlignment="1">
      <alignment vertical="center"/>
    </xf>
    <xf numFmtId="0" fontId="9" fillId="5" borderId="1" xfId="0" applyFont="1" applyFill="1" applyBorder="1" applyAlignment="1">
      <alignment vertical="center"/>
    </xf>
    <xf numFmtId="177" fontId="7" fillId="5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176" fontId="7" fillId="5" borderId="0" xfId="1" applyNumberFormat="1" applyFont="1" applyFill="1" applyAlignment="1">
      <alignment horizontal="right" vertical="center"/>
    </xf>
    <xf numFmtId="177" fontId="10" fillId="0" borderId="0" xfId="0" applyNumberFormat="1" applyFont="1" applyFill="1" applyBorder="1" applyAlignment="1" applyProtection="1">
      <alignment horizontal="left" vertical="center"/>
    </xf>
    <xf numFmtId="176" fontId="10" fillId="0" borderId="0" xfId="0" applyNumberFormat="1" applyFont="1" applyFill="1" applyBorder="1" applyAlignment="1" applyProtection="1">
      <alignment horizontal="right" vertical="center"/>
    </xf>
    <xf numFmtId="176" fontId="7" fillId="0" borderId="0" xfId="1" applyNumberFormat="1" applyFont="1" applyAlignment="1">
      <alignment vertical="center"/>
    </xf>
    <xf numFmtId="177" fontId="10" fillId="5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176" fontId="9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3" applyNumberFormat="1" applyFont="1">
      <alignment vertical="center"/>
    </xf>
    <xf numFmtId="10" fontId="7" fillId="0" borderId="0" xfId="3" applyNumberFormat="1" applyFont="1" applyAlignment="1">
      <alignment horizontal="left" vertical="center"/>
    </xf>
    <xf numFmtId="176" fontId="9" fillId="0" borderId="0" xfId="3" applyNumberFormat="1" applyFont="1">
      <alignment vertical="center"/>
    </xf>
    <xf numFmtId="0" fontId="7" fillId="14" borderId="0" xfId="0" applyFont="1" applyFill="1">
      <alignment vertical="center"/>
    </xf>
    <xf numFmtId="176" fontId="7" fillId="14" borderId="0" xfId="0" applyNumberFormat="1" applyFont="1" applyFill="1">
      <alignment vertical="center"/>
    </xf>
    <xf numFmtId="10" fontId="9" fillId="0" borderId="0" xfId="3" applyNumberFormat="1" applyFont="1" applyAlignment="1">
      <alignment horizontal="left" vertical="center"/>
    </xf>
    <xf numFmtId="0" fontId="7" fillId="3" borderId="0" xfId="0" applyFont="1" applyFill="1">
      <alignment vertical="center"/>
    </xf>
    <xf numFmtId="176" fontId="7" fillId="3" borderId="0" xfId="0" applyNumberFormat="1" applyFont="1" applyFill="1">
      <alignment vertical="center"/>
    </xf>
    <xf numFmtId="0" fontId="7" fillId="15" borderId="0" xfId="0" applyFont="1" applyFill="1">
      <alignment vertical="center"/>
    </xf>
    <xf numFmtId="176" fontId="7" fillId="15" borderId="0" xfId="0" applyNumberFormat="1" applyFont="1" applyFill="1">
      <alignment vertical="center"/>
    </xf>
    <xf numFmtId="176" fontId="9" fillId="0" borderId="0" xfId="0" applyNumberFormat="1" applyFont="1">
      <alignment vertical="center"/>
    </xf>
    <xf numFmtId="177" fontId="7" fillId="0" borderId="0" xfId="0" applyNumberFormat="1" applyFont="1" applyAlignment="1">
      <alignment horizontal="center" vertical="center"/>
    </xf>
    <xf numFmtId="0" fontId="7" fillId="16" borderId="0" xfId="0" applyFont="1" applyFill="1">
      <alignment vertical="center"/>
    </xf>
    <xf numFmtId="176" fontId="7" fillId="16" borderId="0" xfId="0" applyNumberFormat="1" applyFont="1" applyFill="1">
      <alignment vertical="center"/>
    </xf>
    <xf numFmtId="177" fontId="7" fillId="0" borderId="0" xfId="0" applyNumberFormat="1" applyFont="1">
      <alignment vertical="center"/>
    </xf>
    <xf numFmtId="14" fontId="2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right" vertical="center"/>
    </xf>
    <xf numFmtId="177" fontId="4" fillId="0" borderId="0" xfId="0" applyNumberFormat="1" applyFont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43" fontId="1" fillId="0" borderId="0" xfId="1" applyFont="1">
      <alignment vertical="center"/>
    </xf>
    <xf numFmtId="14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43" fontId="3" fillId="0" borderId="0" xfId="1" applyFont="1">
      <alignment vertical="center"/>
    </xf>
    <xf numFmtId="177" fontId="6" fillId="0" borderId="0" xfId="0" applyNumberFormat="1" applyFont="1" applyFill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176" fontId="6" fillId="0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3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176" fontId="3" fillId="0" borderId="0" xfId="1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76" fontId="3" fillId="0" borderId="0" xfId="1" applyNumberFormat="1" applyFont="1" applyFill="1" applyAlignment="1">
      <alignment horizontal="right" vertical="center"/>
    </xf>
    <xf numFmtId="178" fontId="3" fillId="0" borderId="0" xfId="3" applyNumberFormat="1" applyFont="1" applyFill="1" applyAlignment="1">
      <alignment horizontal="center" vertical="center" wrapText="1"/>
    </xf>
    <xf numFmtId="178" fontId="1" fillId="0" borderId="0" xfId="3" applyNumberFormat="1" applyFont="1">
      <alignment vertical="center"/>
    </xf>
    <xf numFmtId="9" fontId="1" fillId="0" borderId="0" xfId="3" applyFont="1" applyFill="1" applyAlignment="1">
      <alignment horizontal="center" vertical="center"/>
    </xf>
    <xf numFmtId="178" fontId="6" fillId="0" borderId="0" xfId="3" applyNumberFormat="1" applyFont="1" applyFill="1" applyAlignment="1">
      <alignment horizontal="center" vertical="center" wrapText="1"/>
    </xf>
    <xf numFmtId="178" fontId="6" fillId="0" borderId="0" xfId="3" applyNumberFormat="1" applyFont="1" applyAlignment="1">
      <alignment horizontal="center" vertical="center"/>
    </xf>
    <xf numFmtId="178" fontId="6" fillId="0" borderId="0" xfId="3" applyNumberFormat="1" applyFont="1" applyFill="1" applyAlignment="1">
      <alignment horizontal="center" vertical="center"/>
    </xf>
    <xf numFmtId="10" fontId="2" fillId="0" borderId="0" xfId="3" applyNumberFormat="1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10" fontId="3" fillId="0" borderId="0" xfId="3" applyNumberFormat="1" applyFont="1" applyFill="1">
      <alignment vertical="center"/>
    </xf>
    <xf numFmtId="178" fontId="3" fillId="0" borderId="0" xfId="3" applyNumberFormat="1" applyFont="1" applyAlignment="1">
      <alignment horizontal="center" vertical="center"/>
    </xf>
    <xf numFmtId="179" fontId="2" fillId="0" borderId="0" xfId="1" applyNumberFormat="1" applyFont="1">
      <alignment vertical="center"/>
    </xf>
    <xf numFmtId="49" fontId="1" fillId="17" borderId="0" xfId="1" applyNumberFormat="1" applyFont="1" applyFill="1">
      <alignment vertical="center"/>
    </xf>
    <xf numFmtId="179" fontId="4" fillId="0" borderId="0" xfId="1" applyNumberFormat="1" applyFont="1">
      <alignment vertical="center"/>
    </xf>
    <xf numFmtId="0" fontId="1" fillId="11" borderId="0" xfId="1" applyNumberFormat="1" applyFont="1" applyFill="1" applyAlignment="1">
      <alignment horizontal="left" vertical="center"/>
    </xf>
    <xf numFmtId="176" fontId="3" fillId="0" borderId="0" xfId="1" applyNumberFormat="1" applyFont="1" applyFill="1">
      <alignment vertical="center"/>
    </xf>
    <xf numFmtId="178" fontId="3" fillId="0" borderId="0" xfId="3" applyNumberFormat="1" applyFont="1" applyFill="1" applyAlignment="1">
      <alignment horizontal="center" vertical="center"/>
    </xf>
    <xf numFmtId="10" fontId="3" fillId="0" borderId="0" xfId="3" applyNumberFormat="1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9" fontId="14" fillId="0" borderId="0" xfId="3" applyFont="1">
      <alignment vertical="center"/>
    </xf>
    <xf numFmtId="0" fontId="15" fillId="18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justify" vertical="center" wrapText="1"/>
    </xf>
    <xf numFmtId="0" fontId="14" fillId="0" borderId="0" xfId="0" applyFont="1" applyFill="1" applyAlignment="1">
      <alignment horizontal="center" vertical="center"/>
    </xf>
    <xf numFmtId="0" fontId="17" fillId="0" borderId="0" xfId="0" applyFont="1">
      <alignment vertical="center"/>
    </xf>
    <xf numFmtId="178" fontId="14" fillId="0" borderId="0" xfId="3" applyNumberFormat="1" applyFont="1" applyFill="1" applyAlignment="1">
      <alignment vertical="center"/>
    </xf>
    <xf numFmtId="9" fontId="14" fillId="0" borderId="0" xfId="3" applyFont="1" applyFill="1" applyAlignment="1">
      <alignment vertical="center"/>
    </xf>
    <xf numFmtId="0" fontId="0" fillId="0" borderId="0" xfId="0" applyFill="1">
      <alignment vertical="center"/>
    </xf>
    <xf numFmtId="0" fontId="18" fillId="19" borderId="4" xfId="0" applyFont="1" applyFill="1" applyBorder="1" applyAlignment="1">
      <alignment vertical="center" wrapText="1"/>
    </xf>
    <xf numFmtId="16" fontId="18" fillId="19" borderId="4" xfId="0" applyNumberFormat="1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9" fontId="2" fillId="0" borderId="0" xfId="3" applyFont="1" applyAlignment="1">
      <alignment horizontal="center" vertical="center"/>
    </xf>
    <xf numFmtId="0" fontId="19" fillId="20" borderId="4" xfId="0" applyFont="1" applyFill="1" applyBorder="1" applyAlignment="1">
      <alignment vertical="center" wrapText="1"/>
    </xf>
    <xf numFmtId="179" fontId="20" fillId="20" borderId="4" xfId="1" applyNumberFormat="1" applyFont="1" applyFill="1" applyBorder="1" applyAlignment="1">
      <alignment horizontal="right" vertical="center" wrapText="1"/>
    </xf>
    <xf numFmtId="179" fontId="19" fillId="20" borderId="4" xfId="1" applyNumberFormat="1" applyFont="1" applyFill="1" applyBorder="1" applyAlignment="1">
      <alignment horizontal="right" vertical="center" wrapText="1"/>
    </xf>
    <xf numFmtId="179" fontId="20" fillId="20" borderId="0" xfId="1" applyNumberFormat="1" applyFont="1" applyFill="1" applyAlignment="1">
      <alignment horizontal="right" vertical="center"/>
    </xf>
    <xf numFmtId="179" fontId="2" fillId="20" borderId="0" xfId="1" applyNumberFormat="1" applyFont="1" applyFill="1" applyAlignment="1">
      <alignment horizontal="right" vertical="center"/>
    </xf>
    <xf numFmtId="180" fontId="2" fillId="0" borderId="0" xfId="0" applyNumberFormat="1" applyFont="1">
      <alignment vertical="center"/>
    </xf>
    <xf numFmtId="0" fontId="21" fillId="0" borderId="0" xfId="0" applyFont="1" applyFill="1" applyAlignment="1">
      <alignment horizontal="center" vertical="center" wrapText="1"/>
    </xf>
    <xf numFmtId="0" fontId="18" fillId="0" borderId="0" xfId="0" applyFont="1" applyFill="1">
      <alignment vertical="center"/>
    </xf>
    <xf numFmtId="176" fontId="2" fillId="0" borderId="0" xfId="0" applyNumberFormat="1" applyFont="1" applyAlignment="1">
      <alignment horizontal="center" vertical="center"/>
    </xf>
    <xf numFmtId="179" fontId="2" fillId="0" borderId="0" xfId="1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3" fontId="2" fillId="0" borderId="0" xfId="1" applyFont="1" applyFill="1" applyAlignment="1">
      <alignment horizontal="center" vertical="center"/>
    </xf>
    <xf numFmtId="43" fontId="2" fillId="0" borderId="0" xfId="1" applyFont="1" applyFill="1">
      <alignment vertical="center"/>
    </xf>
    <xf numFmtId="43" fontId="22" fillId="0" borderId="0" xfId="1" applyFont="1">
      <alignment vertical="center"/>
    </xf>
    <xf numFmtId="0" fontId="22" fillId="0" borderId="0" xfId="0" applyFont="1" applyFill="1" applyBorder="1" applyAlignment="1">
      <alignment vertical="center"/>
    </xf>
    <xf numFmtId="179" fontId="2" fillId="0" borderId="0" xfId="1" applyNumberFormat="1" applyFont="1" applyFill="1">
      <alignment vertical="center"/>
    </xf>
    <xf numFmtId="0" fontId="2" fillId="0" borderId="0" xfId="0" applyFont="1" applyFill="1">
      <alignment vertical="center"/>
    </xf>
    <xf numFmtId="0" fontId="14" fillId="0" borderId="0" xfId="0" applyFont="1" applyFill="1" applyBorder="1" applyAlignment="1">
      <alignment vertical="center"/>
    </xf>
    <xf numFmtId="179" fontId="2" fillId="0" borderId="0" xfId="0" applyNumberFormat="1" applyFont="1" applyFill="1">
      <alignment vertical="center"/>
    </xf>
    <xf numFmtId="176" fontId="2" fillId="0" borderId="0" xfId="0" applyNumberFormat="1" applyFont="1" applyFill="1">
      <alignment vertical="center"/>
    </xf>
    <xf numFmtId="0" fontId="5" fillId="0" borderId="0" xfId="0" applyFont="1" applyFill="1" applyBorder="1" applyAlignment="1">
      <alignment vertical="center"/>
    </xf>
    <xf numFmtId="43" fontId="5" fillId="0" borderId="0" xfId="1" applyFont="1" applyFill="1">
      <alignment vertical="center"/>
    </xf>
    <xf numFmtId="0" fontId="22" fillId="0" borderId="0" xfId="0" applyFont="1" applyFill="1" applyAlignment="1">
      <alignment vertical="center"/>
    </xf>
    <xf numFmtId="0" fontId="6" fillId="21" borderId="0" xfId="0" applyFont="1" applyFill="1" applyBorder="1" applyAlignment="1">
      <alignment vertical="center"/>
    </xf>
    <xf numFmtId="43" fontId="2" fillId="21" borderId="0" xfId="1" applyFont="1" applyFill="1" applyAlignment="1">
      <alignment horizontal="center" vertical="center"/>
    </xf>
    <xf numFmtId="176" fontId="2" fillId="21" borderId="0" xfId="0" applyNumberFormat="1" applyFont="1" applyFill="1">
      <alignment vertical="center"/>
    </xf>
    <xf numFmtId="43" fontId="22" fillId="21" borderId="0" xfId="1" applyFont="1" applyFill="1">
      <alignment vertical="center"/>
    </xf>
    <xf numFmtId="43" fontId="4" fillId="0" borderId="0" xfId="1" applyFont="1" applyFill="1">
      <alignment vertical="center"/>
    </xf>
    <xf numFmtId="0" fontId="5" fillId="21" borderId="0" xfId="0" applyFont="1" applyFill="1" applyAlignment="1">
      <alignment vertical="center"/>
    </xf>
    <xf numFmtId="43" fontId="5" fillId="21" borderId="0" xfId="1" applyFont="1" applyFill="1">
      <alignment vertical="center"/>
    </xf>
    <xf numFmtId="43" fontId="6" fillId="21" borderId="0" xfId="1" applyFont="1" applyFill="1" applyAlignment="1">
      <alignment vertical="center"/>
    </xf>
    <xf numFmtId="43" fontId="6" fillId="21" borderId="0" xfId="1" applyFont="1" applyFill="1">
      <alignment vertical="center"/>
    </xf>
    <xf numFmtId="0" fontId="0" fillId="11" borderId="0" xfId="0" applyFill="1">
      <alignment vertical="center"/>
    </xf>
    <xf numFmtId="176" fontId="2" fillId="11" borderId="0" xfId="0" applyNumberFormat="1" applyFont="1" applyFill="1">
      <alignment vertical="center"/>
    </xf>
    <xf numFmtId="181" fontId="2" fillId="0" borderId="0" xfId="3" applyNumberFormat="1" applyFont="1">
      <alignment vertical="center"/>
    </xf>
    <xf numFmtId="43" fontId="0" fillId="0" borderId="0" xfId="1" applyFill="1">
      <alignment vertical="center"/>
    </xf>
    <xf numFmtId="178" fontId="2" fillId="0" borderId="0" xfId="3" applyNumberFormat="1" applyFont="1">
      <alignment vertical="center"/>
    </xf>
    <xf numFmtId="43" fontId="2" fillId="0" borderId="0" xfId="0" applyNumberFormat="1" applyFont="1">
      <alignment vertical="center"/>
    </xf>
    <xf numFmtId="43" fontId="2" fillId="21" borderId="0" xfId="1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176" fontId="1" fillId="0" borderId="0" xfId="1" applyNumberFormat="1" applyFont="1">
      <alignment vertical="center"/>
    </xf>
    <xf numFmtId="176" fontId="3" fillId="0" borderId="0" xfId="1" applyNumberFormat="1" applyFont="1">
      <alignment vertical="center"/>
    </xf>
    <xf numFmtId="178" fontId="1" fillId="0" borderId="0" xfId="3" applyNumberFormat="1" applyFont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3" fontId="5" fillId="0" borderId="0" xfId="1" applyFont="1" applyFill="1" applyBorder="1">
      <alignment vertical="center"/>
    </xf>
    <xf numFmtId="43" fontId="6" fillId="0" borderId="0" xfId="1" applyFont="1" applyFill="1" applyAlignment="1">
      <alignment horizontal="center" vertical="center"/>
    </xf>
    <xf numFmtId="178" fontId="5" fillId="0" borderId="0" xfId="3" applyNumberFormat="1" applyFont="1" applyFill="1">
      <alignment vertical="center"/>
    </xf>
    <xf numFmtId="0" fontId="5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181" fontId="1" fillId="0" borderId="0" xfId="0" applyNumberFormat="1" applyFont="1">
      <alignment vertical="center"/>
    </xf>
    <xf numFmtId="9" fontId="1" fillId="0" borderId="0" xfId="3" applyFont="1">
      <alignment vertical="center"/>
    </xf>
    <xf numFmtId="10" fontId="1" fillId="0" borderId="0" xfId="3" applyNumberFormat="1" applyFont="1">
      <alignment vertical="center"/>
    </xf>
    <xf numFmtId="176" fontId="1" fillId="0" borderId="0" xfId="0" applyNumberFormat="1" applyFont="1" applyFill="1" applyBorder="1">
      <alignment vertical="center"/>
    </xf>
    <xf numFmtId="176" fontId="1" fillId="0" borderId="0" xfId="0" applyNumberFormat="1" applyFont="1" applyBorder="1">
      <alignment vertical="center"/>
    </xf>
    <xf numFmtId="10" fontId="1" fillId="0" borderId="0" xfId="0" applyNumberFormat="1" applyFont="1">
      <alignment vertical="center"/>
    </xf>
    <xf numFmtId="176" fontId="1" fillId="0" borderId="0" xfId="3" applyNumberFormat="1" applyFont="1">
      <alignment vertical="center"/>
    </xf>
    <xf numFmtId="10" fontId="1" fillId="0" borderId="0" xfId="1" applyNumberFormat="1" applyFont="1">
      <alignment vertical="center"/>
    </xf>
    <xf numFmtId="0" fontId="3" fillId="5" borderId="0" xfId="0" applyFont="1" applyFill="1" applyBorder="1" applyAlignment="1">
      <alignment vertical="center"/>
    </xf>
    <xf numFmtId="43" fontId="3" fillId="5" borderId="0" xfId="1" applyFont="1" applyFill="1">
      <alignment vertical="center"/>
    </xf>
    <xf numFmtId="0" fontId="5" fillId="7" borderId="0" xfId="0" applyFont="1" applyFill="1" applyBorder="1" applyAlignment="1">
      <alignment vertical="center"/>
    </xf>
    <xf numFmtId="43" fontId="5" fillId="7" borderId="0" xfId="1" applyFont="1" applyFill="1" applyBorder="1">
      <alignment vertical="center"/>
    </xf>
    <xf numFmtId="43" fontId="5" fillId="7" borderId="0" xfId="1" applyFont="1" applyFill="1">
      <alignment vertical="center"/>
    </xf>
    <xf numFmtId="0" fontId="6" fillId="7" borderId="0" xfId="0" applyFont="1" applyFill="1" applyAlignment="1">
      <alignment vertical="center"/>
    </xf>
    <xf numFmtId="176" fontId="6" fillId="7" borderId="0" xfId="0" applyNumberFormat="1" applyFont="1" applyFill="1" applyAlignment="1">
      <alignment vertical="center"/>
    </xf>
    <xf numFmtId="179" fontId="1" fillId="0" borderId="0" xfId="1" applyNumberFormat="1" applyFont="1">
      <alignment vertical="center"/>
    </xf>
    <xf numFmtId="0" fontId="5" fillId="0" borderId="0" xfId="0" applyFont="1" applyFill="1" applyAlignment="1">
      <alignment horizontal="center" vertical="center"/>
    </xf>
    <xf numFmtId="43" fontId="3" fillId="0" borderId="0" xfId="1" applyFont="1" applyFill="1" applyBorder="1">
      <alignment vertical="center"/>
    </xf>
    <xf numFmtId="10" fontId="3" fillId="0" borderId="0" xfId="3" applyNumberFormat="1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vertical="center" wrapText="1"/>
    </xf>
    <xf numFmtId="176" fontId="6" fillId="0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vertical="center"/>
    </xf>
    <xf numFmtId="176" fontId="6" fillId="5" borderId="0" xfId="0" applyNumberFormat="1" applyFont="1" applyFill="1" applyAlignment="1">
      <alignment vertical="center"/>
    </xf>
    <xf numFmtId="176" fontId="6" fillId="5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 wrapText="1"/>
    </xf>
    <xf numFmtId="178" fontId="6" fillId="0" borderId="0" xfId="3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181" fontId="1" fillId="0" borderId="0" xfId="1" applyNumberFormat="1" applyFont="1">
      <alignment vertical="center"/>
    </xf>
    <xf numFmtId="0" fontId="20" fillId="0" borderId="0" xfId="0" applyFont="1">
      <alignment vertical="center"/>
    </xf>
    <xf numFmtId="17" fontId="1" fillId="0" borderId="0" xfId="0" applyNumberFormat="1" applyFont="1">
      <alignment vertical="center"/>
    </xf>
    <xf numFmtId="181" fontId="1" fillId="0" borderId="0" xfId="1" applyNumberFormat="1" applyFont="1" applyFill="1">
      <alignment vertical="center"/>
    </xf>
    <xf numFmtId="10" fontId="0" fillId="0" borderId="0" xfId="3" applyNumberFormat="1">
      <alignment vertical="center"/>
    </xf>
    <xf numFmtId="179" fontId="1" fillId="0" borderId="0" xfId="1" applyNumberFormat="1" applyFont="1" applyAlignment="1">
      <alignment horizontal="center" vertical="center"/>
    </xf>
    <xf numFmtId="49" fontId="1" fillId="0" borderId="0" xfId="1" applyNumberFormat="1" applyFont="1">
      <alignment vertical="center"/>
    </xf>
    <xf numFmtId="57" fontId="7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  <xf numFmtId="181" fontId="20" fillId="0" borderId="0" xfId="1" applyNumberFormat="1" applyFont="1">
      <alignment vertical="center"/>
    </xf>
    <xf numFmtId="177" fontId="1" fillId="0" borderId="0" xfId="1" applyNumberFormat="1" applyFont="1" applyAlignment="1">
      <alignment horizontal="left" vertical="center"/>
    </xf>
    <xf numFmtId="176" fontId="1" fillId="17" borderId="0" xfId="1" applyNumberFormat="1" applyFont="1" applyFill="1">
      <alignment vertical="center"/>
    </xf>
    <xf numFmtId="43" fontId="1" fillId="0" borderId="0" xfId="1" applyFont="1" applyAlignment="1">
      <alignment horizontal="left" vertical="center"/>
    </xf>
    <xf numFmtId="0" fontId="23" fillId="0" borderId="0" xfId="1" applyNumberFormat="1" applyFont="1">
      <alignment vertical="center"/>
    </xf>
    <xf numFmtId="181" fontId="24" fillId="0" borderId="0" xfId="1" applyNumberFormat="1" applyFont="1">
      <alignment vertical="center"/>
    </xf>
    <xf numFmtId="0" fontId="24" fillId="0" borderId="0" xfId="0" applyFont="1">
      <alignment vertical="center"/>
    </xf>
    <xf numFmtId="181" fontId="25" fillId="0" borderId="0" xfId="1" applyNumberFormat="1" applyFont="1">
      <alignment vertical="center"/>
    </xf>
    <xf numFmtId="181" fontId="25" fillId="0" borderId="0" xfId="1" applyNumberFormat="1" applyFont="1" applyFill="1">
      <alignment vertical="center"/>
    </xf>
    <xf numFmtId="181" fontId="1" fillId="7" borderId="0" xfId="1" applyNumberFormat="1" applyFont="1" applyFill="1">
      <alignment vertical="center"/>
    </xf>
    <xf numFmtId="181" fontId="25" fillId="7" borderId="0" xfId="1" applyNumberFormat="1" applyFont="1" applyFill="1">
      <alignment vertical="center"/>
    </xf>
    <xf numFmtId="43" fontId="4" fillId="0" borderId="0" xfId="0" applyNumberFormat="1" applyFont="1">
      <alignment vertical="center"/>
    </xf>
    <xf numFmtId="176" fontId="0" fillId="0" borderId="0" xfId="1" applyNumberFormat="1">
      <alignment vertical="center"/>
    </xf>
    <xf numFmtId="43" fontId="3" fillId="0" borderId="0" xfId="1" applyFont="1" applyFill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1" applyNumberFormat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NumberFormat="1" applyFont="1" applyAlignment="1">
      <alignment horizontal="center" vertical="center"/>
    </xf>
    <xf numFmtId="181" fontId="4" fillId="0" borderId="0" xfId="1" applyNumberFormat="1" applyFont="1">
      <alignment vertical="center"/>
    </xf>
    <xf numFmtId="176" fontId="1" fillId="0" borderId="0" xfId="1" applyNumberFormat="1" applyFont="1" applyAlignment="1">
      <alignment vertical="center"/>
    </xf>
    <xf numFmtId="181" fontId="2" fillId="0" borderId="0" xfId="0" applyNumberFormat="1" applyFont="1">
      <alignment vertical="center"/>
    </xf>
    <xf numFmtId="10" fontId="4" fillId="0" borderId="0" xfId="3" applyNumberFormat="1" applyFont="1" applyFill="1">
      <alignment vertical="center"/>
    </xf>
    <xf numFmtId="17" fontId="1" fillId="8" borderId="0" xfId="0" applyNumberFormat="1" applyFont="1" applyFill="1">
      <alignment vertical="center"/>
    </xf>
    <xf numFmtId="17" fontId="1" fillId="7" borderId="0" xfId="0" applyNumberFormat="1" applyFont="1" applyFill="1">
      <alignment vertical="center"/>
    </xf>
    <xf numFmtId="17" fontId="1" fillId="17" borderId="0" xfId="0" applyNumberFormat="1" applyFont="1" applyFill="1">
      <alignment vertical="center"/>
    </xf>
    <xf numFmtId="17" fontId="1" fillId="11" borderId="0" xfId="0" applyNumberFormat="1" applyFont="1" applyFill="1">
      <alignment vertical="center"/>
    </xf>
    <xf numFmtId="17" fontId="1" fillId="0" borderId="0" xfId="0" applyNumberFormat="1" applyFont="1" applyFill="1">
      <alignment vertical="center"/>
    </xf>
    <xf numFmtId="17" fontId="1" fillId="5" borderId="0" xfId="0" applyNumberFormat="1" applyFont="1" applyFill="1">
      <alignment vertical="center"/>
    </xf>
    <xf numFmtId="0" fontId="1" fillId="22" borderId="0" xfId="0" applyFont="1" applyFill="1">
      <alignment vertical="center"/>
    </xf>
    <xf numFmtId="0" fontId="4" fillId="0" borderId="0" xfId="0" applyFont="1" applyFill="1">
      <alignment vertical="center"/>
    </xf>
    <xf numFmtId="10" fontId="4" fillId="0" borderId="0" xfId="3" applyNumberFormat="1" applyFont="1">
      <alignment vertical="center"/>
    </xf>
    <xf numFmtId="4" fontId="1" fillId="0" borderId="0" xfId="0" applyNumberFormat="1" applyFont="1">
      <alignment vertical="center"/>
    </xf>
    <xf numFmtId="14" fontId="1" fillId="0" borderId="0" xfId="3" applyNumberFormat="1" applyFont="1">
      <alignment vertical="center"/>
    </xf>
    <xf numFmtId="182" fontId="4" fillId="0" borderId="0" xfId="1" applyNumberFormat="1" applyFont="1" applyFill="1">
      <alignment vertical="center"/>
    </xf>
    <xf numFmtId="178" fontId="4" fillId="0" borderId="0" xfId="3" applyNumberFormat="1" applyFont="1" applyFill="1">
      <alignment vertical="center"/>
    </xf>
    <xf numFmtId="183" fontId="4" fillId="0" borderId="0" xfId="1" applyNumberFormat="1" applyFont="1" applyFill="1">
      <alignment vertical="center"/>
    </xf>
    <xf numFmtId="0" fontId="0" fillId="0" borderId="0" xfId="0" applyAlignment="1">
      <alignment vertical="center" wrapText="1"/>
    </xf>
    <xf numFmtId="43" fontId="1" fillId="0" borderId="0" xfId="1" applyFont="1" applyFill="1">
      <alignment vertical="center"/>
    </xf>
    <xf numFmtId="181" fontId="4" fillId="0" borderId="0" xfId="1" applyNumberFormat="1" applyFont="1" applyFill="1">
      <alignment vertical="center"/>
    </xf>
    <xf numFmtId="179" fontId="0" fillId="0" borderId="0" xfId="1" applyNumberFormat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43" fontId="1" fillId="0" borderId="0" xfId="1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17" fontId="1" fillId="9" borderId="0" xfId="0" applyNumberFormat="1" applyFont="1" applyFill="1">
      <alignment vertical="center"/>
    </xf>
    <xf numFmtId="179" fontId="1" fillId="9" borderId="0" xfId="1" applyNumberFormat="1" applyFont="1" applyFill="1">
      <alignment vertical="center"/>
    </xf>
    <xf numFmtId="179" fontId="1" fillId="11" borderId="0" xfId="1" applyNumberFormat="1" applyFont="1" applyFill="1">
      <alignment vertical="center"/>
    </xf>
    <xf numFmtId="179" fontId="1" fillId="5" borderId="0" xfId="1" applyNumberFormat="1" applyFont="1" applyFill="1">
      <alignment vertical="center"/>
    </xf>
    <xf numFmtId="179" fontId="1" fillId="17" borderId="0" xfId="1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179" fontId="25" fillId="11" borderId="0" xfId="1" applyNumberFormat="1" applyFont="1" applyFill="1">
      <alignment vertical="center"/>
    </xf>
    <xf numFmtId="43" fontId="1" fillId="0" borderId="0" xfId="0" applyNumberFormat="1" applyFont="1" applyFill="1">
      <alignment vertical="center"/>
    </xf>
    <xf numFmtId="0" fontId="1" fillId="0" borderId="0" xfId="0" applyFont="1" applyAlignment="1">
      <alignment horizontal="left" vertical="center" wrapText="1"/>
    </xf>
    <xf numFmtId="17" fontId="1" fillId="9" borderId="0" xfId="0" applyNumberFormat="1" applyFont="1" applyFill="1" applyAlignment="1">
      <alignment horizontal="left" vertical="center"/>
    </xf>
    <xf numFmtId="43" fontId="1" fillId="9" borderId="0" xfId="1" applyFont="1" applyFill="1">
      <alignment vertical="center"/>
    </xf>
    <xf numFmtId="0" fontId="1" fillId="9" borderId="0" xfId="0" applyFont="1" applyFill="1">
      <alignment vertical="center"/>
    </xf>
    <xf numFmtId="17" fontId="1" fillId="11" borderId="0" xfId="0" applyNumberFormat="1" applyFont="1" applyFill="1" applyAlignment="1">
      <alignment horizontal="left" vertical="center"/>
    </xf>
    <xf numFmtId="43" fontId="1" fillId="11" borderId="0" xfId="1" applyFont="1" applyFill="1">
      <alignment vertical="center"/>
    </xf>
    <xf numFmtId="0" fontId="1" fillId="11" borderId="0" xfId="0" applyFont="1" applyFill="1">
      <alignment vertical="center"/>
    </xf>
    <xf numFmtId="17" fontId="1" fillId="5" borderId="0" xfId="0" applyNumberFormat="1" applyFont="1" applyFill="1" applyAlignment="1">
      <alignment horizontal="left" vertical="center"/>
    </xf>
    <xf numFmtId="179" fontId="1" fillId="5" borderId="0" xfId="0" applyNumberFormat="1" applyFont="1" applyFill="1">
      <alignment vertical="center"/>
    </xf>
    <xf numFmtId="17" fontId="1" fillId="17" borderId="0" xfId="0" applyNumberFormat="1" applyFont="1" applyFill="1" applyAlignment="1">
      <alignment horizontal="left" vertical="center"/>
    </xf>
    <xf numFmtId="179" fontId="1" fillId="17" borderId="0" xfId="0" applyNumberFormat="1" applyFont="1" applyFill="1">
      <alignment vertical="center"/>
    </xf>
    <xf numFmtId="179" fontId="24" fillId="11" borderId="0" xfId="1" applyNumberFormat="1" applyFont="1" applyFill="1">
      <alignment vertical="center"/>
    </xf>
    <xf numFmtId="43" fontId="1" fillId="22" borderId="0" xfId="1" applyFont="1" applyFill="1">
      <alignment vertical="center"/>
    </xf>
    <xf numFmtId="43" fontId="1" fillId="0" borderId="0" xfId="1" applyFont="1" applyFill="1" applyAlignment="1">
      <alignment vertical="center" wrapText="1"/>
    </xf>
    <xf numFmtId="0" fontId="4" fillId="22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81" fontId="4" fillId="0" borderId="0" xfId="1" applyNumberFormat="1" applyFont="1" applyFill="1" applyAlignment="1">
      <alignment vertical="center" wrapText="1"/>
    </xf>
    <xf numFmtId="0" fontId="4" fillId="11" borderId="0" xfId="0" applyFont="1" applyFill="1">
      <alignment vertical="center"/>
    </xf>
    <xf numFmtId="181" fontId="4" fillId="11" borderId="0" xfId="1" applyNumberFormat="1" applyFont="1" applyFill="1">
      <alignment vertical="center"/>
    </xf>
    <xf numFmtId="43" fontId="1" fillId="5" borderId="0" xfId="1" applyFont="1" applyFill="1">
      <alignment vertical="center"/>
    </xf>
    <xf numFmtId="0" fontId="26" fillId="5" borderId="0" xfId="0" applyFont="1" applyFill="1">
      <alignment vertical="center"/>
    </xf>
    <xf numFmtId="181" fontId="26" fillId="5" borderId="0" xfId="1" applyNumberFormat="1" applyFont="1" applyFill="1">
      <alignment vertical="center"/>
    </xf>
    <xf numFmtId="43" fontId="1" fillId="17" borderId="0" xfId="1" applyFont="1" applyFill="1">
      <alignment vertical="center"/>
    </xf>
    <xf numFmtId="0" fontId="4" fillId="17" borderId="0" xfId="0" applyFont="1" applyFill="1">
      <alignment vertical="center"/>
    </xf>
    <xf numFmtId="181" fontId="4" fillId="17" borderId="0" xfId="1" applyNumberFormat="1" applyFont="1" applyFill="1">
      <alignment vertical="center"/>
    </xf>
    <xf numFmtId="0" fontId="4" fillId="5" borderId="0" xfId="0" applyFont="1" applyFill="1">
      <alignment vertical="center"/>
    </xf>
    <xf numFmtId="181" fontId="4" fillId="5" borderId="0" xfId="1" applyNumberFormat="1" applyFont="1" applyFill="1">
      <alignment vertical="center"/>
    </xf>
    <xf numFmtId="43" fontId="4" fillId="0" borderId="0" xfId="1" applyFont="1" applyFill="1" applyAlignment="1">
      <alignment vertical="center" wrapText="1"/>
    </xf>
    <xf numFmtId="43" fontId="26" fillId="0" borderId="0" xfId="1" applyFont="1" applyFill="1">
      <alignment vertical="center"/>
    </xf>
    <xf numFmtId="10" fontId="26" fillId="5" borderId="0" xfId="3" applyNumberFormat="1" applyFont="1" applyFill="1">
      <alignment vertical="center"/>
    </xf>
    <xf numFmtId="10" fontId="4" fillId="5" borderId="0" xfId="3" applyNumberFormat="1" applyFont="1" applyFill="1">
      <alignment vertical="center"/>
    </xf>
    <xf numFmtId="10" fontId="4" fillId="17" borderId="0" xfId="3" applyNumberFormat="1" applyFont="1" applyFill="1">
      <alignment vertical="center"/>
    </xf>
    <xf numFmtId="10" fontId="4" fillId="11" borderId="0" xfId="3" applyNumberFormat="1" applyFont="1" applyFill="1">
      <alignment vertical="center"/>
    </xf>
    <xf numFmtId="178" fontId="4" fillId="5" borderId="0" xfId="3" applyNumberFormat="1" applyFont="1" applyFill="1">
      <alignment vertical="center"/>
    </xf>
    <xf numFmtId="0" fontId="4" fillId="0" borderId="0" xfId="0" applyFont="1" applyAlignment="1">
      <alignment vertical="center" wrapText="1"/>
    </xf>
    <xf numFmtId="179" fontId="4" fillId="0" borderId="0" xfId="1" applyNumberFormat="1" applyFont="1" applyAlignment="1">
      <alignment vertical="center" wrapText="1"/>
    </xf>
    <xf numFmtId="179" fontId="4" fillId="0" borderId="0" xfId="1" applyNumberFormat="1" applyFont="1" applyFill="1">
      <alignment vertical="center"/>
    </xf>
    <xf numFmtId="179" fontId="0" fillId="0" borderId="0" xfId="0" applyNumberFormat="1" applyAlignment="1">
      <alignment vertical="center" wrapText="1"/>
    </xf>
    <xf numFmtId="179" fontId="0" fillId="0" borderId="0" xfId="0" applyNumberFormat="1" applyFill="1">
      <alignment vertical="center"/>
    </xf>
    <xf numFmtId="10" fontId="0" fillId="0" borderId="0" xfId="3" applyNumberFormat="1" applyFill="1">
      <alignment vertical="center"/>
    </xf>
    <xf numFmtId="10" fontId="1" fillId="0" borderId="0" xfId="3" applyNumberFormat="1" applyFont="1" applyFill="1">
      <alignment vertical="center"/>
    </xf>
    <xf numFmtId="178" fontId="1" fillId="0" borderId="0" xfId="3" applyNumberFormat="1" applyFont="1" applyFill="1" applyAlignment="1">
      <alignment horizontal="left" vertical="center"/>
    </xf>
    <xf numFmtId="178" fontId="1" fillId="0" borderId="0" xfId="3" applyNumberFormat="1" applyFont="1" applyFill="1">
      <alignment vertical="center"/>
    </xf>
    <xf numFmtId="181" fontId="1" fillId="0" borderId="0" xfId="3" applyNumberFormat="1" applyFont="1">
      <alignment vertical="center"/>
    </xf>
    <xf numFmtId="43" fontId="1" fillId="0" borderId="0" xfId="1" applyFont="1" applyAlignment="1">
      <alignment horizontal="center" vertical="center"/>
    </xf>
    <xf numFmtId="43" fontId="1" fillId="11" borderId="0" xfId="1" applyFont="1" applyFill="1" applyAlignment="1">
      <alignment horizontal="center" vertical="center"/>
    </xf>
    <xf numFmtId="49" fontId="1" fillId="5" borderId="0" xfId="1" applyNumberFormat="1" applyFont="1" applyFill="1">
      <alignment vertical="center"/>
    </xf>
    <xf numFmtId="43" fontId="1" fillId="0" borderId="0" xfId="1" applyFont="1" applyAlignment="1">
      <alignment horizontal="center" vertical="center" wrapText="1"/>
    </xf>
    <xf numFmtId="0" fontId="1" fillId="17" borderId="0" xfId="1" applyNumberFormat="1" applyFont="1" applyFill="1" applyAlignment="1">
      <alignment horizontal="left" vertical="center"/>
    </xf>
    <xf numFmtId="49" fontId="1" fillId="11" borderId="0" xfId="1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176" fontId="1" fillId="0" borderId="0" xfId="1" applyNumberFormat="1" applyFont="1" applyFill="1">
      <alignment vertical="center"/>
    </xf>
    <xf numFmtId="176" fontId="2" fillId="0" borderId="0" xfId="1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left" vertical="center"/>
    </xf>
    <xf numFmtId="0" fontId="28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39" fontId="27" fillId="0" borderId="0" xfId="0" applyNumberFormat="1" applyFont="1" applyFill="1" applyAlignment="1">
      <alignment horizontal="left" vertical="center"/>
    </xf>
    <xf numFmtId="39" fontId="27" fillId="0" borderId="0" xfId="0" applyNumberFormat="1" applyFont="1" applyFill="1" applyAlignment="1">
      <alignment horizontal="right" vertical="center"/>
    </xf>
    <xf numFmtId="43" fontId="1" fillId="0" borderId="0" xfId="1" applyFont="1" applyFill="1" applyAlignment="1">
      <alignment horizontal="left" vertical="center"/>
    </xf>
    <xf numFmtId="43" fontId="1" fillId="0" borderId="0" xfId="1" applyFont="1" applyFill="1" applyAlignment="1">
      <alignment horizontal="center" vertical="center"/>
    </xf>
    <xf numFmtId="176" fontId="4" fillId="0" borderId="0" xfId="3" applyNumberFormat="1" applyFont="1" applyFill="1">
      <alignment vertical="center"/>
    </xf>
    <xf numFmtId="176" fontId="4" fillId="0" borderId="0" xfId="1" applyNumberFormat="1" applyFont="1" applyFill="1">
      <alignment vertical="center"/>
    </xf>
    <xf numFmtId="176" fontId="4" fillId="0" borderId="0" xfId="3" applyNumberFormat="1" applyFont="1" applyFill="1" applyAlignment="1">
      <alignment horizontal="right" vertical="center"/>
    </xf>
    <xf numFmtId="10" fontId="29" fillId="0" borderId="0" xfId="3" applyNumberFormat="1" applyFont="1" applyFill="1" applyAlignment="1">
      <alignment horizontal="right" vertical="center"/>
    </xf>
    <xf numFmtId="181" fontId="29" fillId="0" borderId="0" xfId="1" applyNumberFormat="1" applyFont="1" applyFill="1">
      <alignment vertical="center"/>
    </xf>
    <xf numFmtId="181" fontId="4" fillId="0" borderId="0" xfId="3" applyNumberFormat="1" applyFont="1" applyFill="1">
      <alignment vertical="center"/>
    </xf>
    <xf numFmtId="181" fontId="1" fillId="0" borderId="0" xfId="0" applyNumberFormat="1" applyFont="1" applyFill="1">
      <alignment vertical="center"/>
    </xf>
    <xf numFmtId="43" fontId="1" fillId="0" borderId="0" xfId="1" applyNumberFormat="1" applyFont="1">
      <alignment vertical="center"/>
    </xf>
    <xf numFmtId="0" fontId="27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4" fontId="30" fillId="23" borderId="0" xfId="0" applyNumberFormat="1" applyFont="1" applyFill="1" applyAlignment="1">
      <alignment horizontal="left" vertical="center"/>
    </xf>
    <xf numFmtId="0" fontId="31" fillId="23" borderId="0" xfId="0" applyFont="1" applyFill="1" applyAlignment="1">
      <alignment horizontal="left" vertical="center"/>
    </xf>
    <xf numFmtId="39" fontId="30" fillId="23" borderId="0" xfId="0" applyNumberFormat="1" applyFont="1" applyFill="1" applyAlignment="1">
      <alignment horizontal="right" vertical="center"/>
    </xf>
    <xf numFmtId="43" fontId="1" fillId="9" borderId="0" xfId="0" applyNumberFormat="1" applyFont="1" applyFill="1">
      <alignment vertical="center"/>
    </xf>
    <xf numFmtId="14" fontId="30" fillId="24" borderId="0" xfId="0" applyNumberFormat="1" applyFont="1" applyFill="1" applyAlignment="1">
      <alignment horizontal="left" vertical="center"/>
    </xf>
    <xf numFmtId="0" fontId="31" fillId="24" borderId="0" xfId="0" applyFont="1" applyFill="1" applyAlignment="1">
      <alignment horizontal="left" vertical="center"/>
    </xf>
    <xf numFmtId="39" fontId="30" fillId="24" borderId="0" xfId="0" applyNumberFormat="1" applyFont="1" applyFill="1" applyAlignment="1">
      <alignment horizontal="right" vertical="center"/>
    </xf>
    <xf numFmtId="43" fontId="1" fillId="11" borderId="0" xfId="0" applyNumberFormat="1" applyFont="1" applyFill="1">
      <alignment vertical="center"/>
    </xf>
    <xf numFmtId="0" fontId="30" fillId="25" borderId="0" xfId="0" applyFont="1" applyFill="1" applyAlignment="1">
      <alignment horizontal="left" vertical="center"/>
    </xf>
    <xf numFmtId="0" fontId="31" fillId="25" borderId="0" xfId="0" applyFont="1" applyFill="1" applyAlignment="1">
      <alignment horizontal="left" vertical="center"/>
    </xf>
    <xf numFmtId="39" fontId="30" fillId="25" borderId="0" xfId="0" applyNumberFormat="1" applyFont="1" applyFill="1" applyAlignment="1">
      <alignment horizontal="right" vertical="center"/>
    </xf>
    <xf numFmtId="43" fontId="1" fillId="5" borderId="0" xfId="0" applyNumberFormat="1" applyFont="1" applyFill="1">
      <alignment vertical="center"/>
    </xf>
    <xf numFmtId="14" fontId="32" fillId="0" borderId="0" xfId="0" applyNumberFormat="1" applyFont="1" applyFill="1" applyBorder="1" applyAlignment="1" applyProtection="1">
      <alignment horizontal="left" vertical="center"/>
    </xf>
    <xf numFmtId="177" fontId="33" fillId="0" borderId="0" xfId="0" applyNumberFormat="1" applyFont="1" applyAlignment="1">
      <alignment horizontal="left" vertical="center"/>
    </xf>
    <xf numFmtId="43" fontId="32" fillId="0" borderId="0" xfId="1" applyFont="1" applyFill="1" applyAlignment="1" applyProtection="1">
      <alignment horizontal="center" vertical="center"/>
    </xf>
    <xf numFmtId="0" fontId="32" fillId="0" borderId="0" xfId="0" applyFont="1" applyFill="1" applyBorder="1" applyAlignment="1" applyProtection="1">
      <alignment horizontal="center" vertical="center"/>
    </xf>
    <xf numFmtId="43" fontId="32" fillId="0" borderId="0" xfId="1" applyFont="1" applyFill="1" applyAlignment="1" applyProtection="1">
      <alignment horizontal="left" vertical="center"/>
    </xf>
    <xf numFmtId="0" fontId="32" fillId="0" borderId="0" xfId="0" applyFont="1" applyFill="1" applyBorder="1" applyAlignment="1" applyProtection="1">
      <alignment horizontal="left" vertical="center"/>
    </xf>
    <xf numFmtId="43" fontId="33" fillId="0" borderId="0" xfId="1" applyFont="1" applyFill="1">
      <alignment vertical="center"/>
    </xf>
    <xf numFmtId="0" fontId="33" fillId="0" borderId="0" xfId="0" applyFont="1" applyFill="1">
      <alignment vertical="center"/>
    </xf>
    <xf numFmtId="4" fontId="1" fillId="0" borderId="0" xfId="0" applyNumberFormat="1" applyFont="1" applyFill="1">
      <alignment vertical="center"/>
    </xf>
    <xf numFmtId="0" fontId="34" fillId="0" borderId="0" xfId="0" applyFont="1" applyFill="1" applyAlignment="1">
      <alignment vertical="center"/>
    </xf>
    <xf numFmtId="177" fontId="4" fillId="0" borderId="0" xfId="0" applyNumberFormat="1" applyFont="1">
      <alignment vertical="center"/>
    </xf>
    <xf numFmtId="14" fontId="1" fillId="0" borderId="0" xfId="0" applyNumberFormat="1" applyFont="1" applyFill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43" fontId="35" fillId="0" borderId="0" xfId="1" applyFont="1" applyFill="1" applyAlignment="1">
      <alignment horizontal="left" vertical="center"/>
    </xf>
    <xf numFmtId="0" fontId="35" fillId="0" borderId="0" xfId="0" applyFont="1" applyFill="1" applyAlignment="1">
      <alignment horizontal="left" vertical="center"/>
    </xf>
    <xf numFmtId="176" fontId="2" fillId="0" borderId="0" xfId="1" applyNumberFormat="1" applyFont="1">
      <alignment vertical="center"/>
    </xf>
    <xf numFmtId="43" fontId="4" fillId="3" borderId="0" xfId="1" applyFont="1" applyFill="1">
      <alignment vertical="center"/>
    </xf>
    <xf numFmtId="177" fontId="4" fillId="0" borderId="0" xfId="1" applyNumberFormat="1" applyFont="1" applyAlignment="1">
      <alignment horizontal="left" vertical="center"/>
    </xf>
    <xf numFmtId="184" fontId="1" fillId="0" borderId="0" xfId="0" applyNumberFormat="1" applyFont="1">
      <alignment vertical="center"/>
    </xf>
    <xf numFmtId="43" fontId="4" fillId="0" borderId="0" xfId="1" applyFont="1" applyAlignment="1">
      <alignment horizontal="center" vertical="center"/>
    </xf>
    <xf numFmtId="181" fontId="4" fillId="0" borderId="0" xfId="0" applyNumberFormat="1" applyFont="1">
      <alignment vertical="center"/>
    </xf>
    <xf numFmtId="9" fontId="4" fillId="0" borderId="0" xfId="3" applyFont="1">
      <alignment vertical="center"/>
    </xf>
    <xf numFmtId="0" fontId="2" fillId="3" borderId="0" xfId="0" applyFont="1" applyFill="1" applyAlignment="1">
      <alignment horizontal="left" vertical="center"/>
    </xf>
    <xf numFmtId="17" fontId="1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76" fontId="1" fillId="0" borderId="0" xfId="1" applyNumberFormat="1" applyFont="1" applyAlignment="1">
      <alignment horizontal="left" vertical="center"/>
    </xf>
    <xf numFmtId="181" fontId="1" fillId="0" borderId="0" xfId="1" applyNumberFormat="1" applyFont="1" applyAlignment="1">
      <alignment horizontal="left" vertical="center"/>
    </xf>
    <xf numFmtId="181" fontId="1" fillId="9" borderId="0" xfId="1" applyNumberFormat="1" applyFont="1" applyFill="1">
      <alignment vertical="center"/>
    </xf>
    <xf numFmtId="181" fontId="1" fillId="11" borderId="0" xfId="1" applyNumberFormat="1" applyFont="1" applyFill="1">
      <alignment vertical="center"/>
    </xf>
    <xf numFmtId="181" fontId="1" fillId="5" borderId="0" xfId="1" applyNumberFormat="1" applyFont="1" applyFill="1">
      <alignment vertical="center"/>
    </xf>
    <xf numFmtId="17" fontId="1" fillId="16" borderId="0" xfId="0" applyNumberFormat="1" applyFont="1" applyFill="1">
      <alignment vertical="center"/>
    </xf>
    <xf numFmtId="179" fontId="1" fillId="16" borderId="0" xfId="1" applyNumberFormat="1" applyFont="1" applyFill="1">
      <alignment vertical="center"/>
    </xf>
    <xf numFmtId="181" fontId="1" fillId="16" borderId="0" xfId="1" applyNumberFormat="1" applyFont="1" applyFill="1">
      <alignment vertical="center"/>
    </xf>
    <xf numFmtId="181" fontId="1" fillId="11" borderId="0" xfId="0" applyNumberFormat="1" applyFont="1" applyFill="1">
      <alignment vertical="center"/>
    </xf>
    <xf numFmtId="43" fontId="2" fillId="22" borderId="0" xfId="1" applyFont="1" applyFill="1">
      <alignment vertical="center"/>
    </xf>
    <xf numFmtId="9" fontId="29" fillId="0" borderId="0" xfId="3" applyNumberFormat="1" applyFont="1">
      <alignment vertical="center"/>
    </xf>
    <xf numFmtId="10" fontId="2" fillId="0" borderId="0" xfId="0" applyNumberFormat="1" applyFont="1" applyFill="1" applyAlignment="1">
      <alignment vertical="center"/>
    </xf>
    <xf numFmtId="43" fontId="1" fillId="0" borderId="0" xfId="1" applyFont="1" applyFill="1" applyAlignment="1">
      <alignment vertical="center"/>
    </xf>
    <xf numFmtId="0" fontId="1" fillId="26" borderId="5" xfId="0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181" fontId="36" fillId="0" borderId="0" xfId="0" applyNumberFormat="1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181" fontId="1" fillId="7" borderId="6" xfId="1" applyNumberFormat="1" applyFont="1" applyFill="1" applyBorder="1">
      <alignment vertical="center"/>
    </xf>
    <xf numFmtId="176" fontId="4" fillId="0" borderId="0" xfId="0" applyNumberFormat="1" applyFont="1" applyFill="1" applyAlignment="1">
      <alignment vertical="center"/>
    </xf>
    <xf numFmtId="0" fontId="1" fillId="11" borderId="7" xfId="0" applyFont="1" applyFill="1" applyBorder="1" applyAlignment="1">
      <alignment vertical="center"/>
    </xf>
    <xf numFmtId="181" fontId="36" fillId="11" borderId="0" xfId="0" applyNumberFormat="1" applyFont="1" applyFill="1" applyBorder="1" applyAlignment="1">
      <alignment vertical="center"/>
    </xf>
    <xf numFmtId="10" fontId="1" fillId="26" borderId="8" xfId="0" applyNumberFormat="1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vertical="center"/>
    </xf>
    <xf numFmtId="178" fontId="4" fillId="0" borderId="0" xfId="3" applyNumberFormat="1" applyFont="1" applyFill="1" applyAlignment="1">
      <alignment horizontal="left" vertical="center"/>
    </xf>
    <xf numFmtId="178" fontId="2" fillId="0" borderId="0" xfId="0" applyNumberFormat="1" applyFont="1" applyFill="1" applyAlignment="1">
      <alignment vertical="center"/>
    </xf>
    <xf numFmtId="178" fontId="2" fillId="0" borderId="0" xfId="3" applyNumberFormat="1" applyFont="1" applyFill="1" applyAlignment="1">
      <alignment horizontal="left" vertical="center"/>
    </xf>
    <xf numFmtId="178" fontId="2" fillId="0" borderId="0" xfId="0" applyNumberFormat="1" applyFont="1" applyFill="1" applyAlignment="1">
      <alignment horizontal="left" vertical="center"/>
    </xf>
    <xf numFmtId="178" fontId="1" fillId="7" borderId="8" xfId="0" applyNumberFormat="1" applyFont="1" applyFill="1" applyBorder="1" applyAlignment="1">
      <alignment vertical="center"/>
    </xf>
    <xf numFmtId="176" fontId="2" fillId="0" borderId="0" xfId="0" applyNumberFormat="1" applyFont="1" applyFill="1" applyAlignment="1">
      <alignment horizontal="left" vertical="center"/>
    </xf>
    <xf numFmtId="181" fontId="2" fillId="0" borderId="0" xfId="0" applyNumberFormat="1" applyFont="1" applyFill="1" applyAlignment="1">
      <alignment vertical="center"/>
    </xf>
    <xf numFmtId="43" fontId="2" fillId="0" borderId="0" xfId="1" applyFont="1" applyFill="1" applyAlignment="1">
      <alignment vertical="center"/>
    </xf>
    <xf numFmtId="176" fontId="2" fillId="0" borderId="0" xfId="3" applyNumberFormat="1" applyFont="1" applyFill="1" applyAlignment="1">
      <alignment vertical="center"/>
    </xf>
    <xf numFmtId="178" fontId="1" fillId="11" borderId="9" xfId="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43" fontId="37" fillId="0" borderId="0" xfId="1" applyFont="1" applyFill="1" applyAlignment="1">
      <alignment vertical="center"/>
    </xf>
    <xf numFmtId="43" fontId="12" fillId="0" borderId="0" xfId="1" applyFont="1" applyFill="1" applyAlignment="1">
      <alignment vertical="center"/>
    </xf>
    <xf numFmtId="0" fontId="31" fillId="0" borderId="0" xfId="0" applyFont="1" applyFill="1" applyAlignment="1">
      <alignment vertical="center" wrapText="1"/>
    </xf>
    <xf numFmtId="178" fontId="31" fillId="0" borderId="0" xfId="3" applyNumberFormat="1" applyFont="1" applyFill="1" applyAlignment="1">
      <alignment vertical="center" wrapText="1"/>
    </xf>
    <xf numFmtId="178" fontId="37" fillId="0" borderId="0" xfId="3" applyNumberFormat="1" applyFont="1" applyFill="1" applyAlignment="1">
      <alignment vertical="center"/>
    </xf>
    <xf numFmtId="10" fontId="1" fillId="0" borderId="0" xfId="3" applyNumberFormat="1" applyFont="1" applyFill="1" applyAlignment="1">
      <alignment vertical="center"/>
    </xf>
    <xf numFmtId="10" fontId="12" fillId="0" borderId="0" xfId="3" applyNumberFormat="1" applyFont="1" applyFill="1" applyAlignment="1">
      <alignment vertical="center"/>
    </xf>
    <xf numFmtId="178" fontId="2" fillId="0" borderId="0" xfId="3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181" fontId="1" fillId="5" borderId="0" xfId="0" applyNumberFormat="1" applyFont="1" applyFill="1" applyAlignment="1">
      <alignment vertical="center"/>
    </xf>
    <xf numFmtId="181" fontId="37" fillId="5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9" fontId="1" fillId="0" borderId="0" xfId="1" applyNumberFormat="1" applyFont="1" applyFill="1" applyAlignment="1">
      <alignment horizontal="center" vertical="center"/>
    </xf>
    <xf numFmtId="179" fontId="2" fillId="0" borderId="0" xfId="1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181" fontId="1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vertical="center"/>
    </xf>
    <xf numFmtId="0" fontId="37" fillId="0" borderId="0" xfId="0" applyFont="1" applyFill="1" applyAlignment="1">
      <alignment vertical="center"/>
    </xf>
    <xf numFmtId="179" fontId="38" fillId="0" borderId="0" xfId="1" applyNumberFormat="1" applyFont="1" applyFill="1" applyAlignment="1">
      <alignment vertical="center"/>
    </xf>
    <xf numFmtId="179" fontId="37" fillId="0" borderId="0" xfId="1" applyNumberFormat="1" applyFont="1" applyFill="1" applyAlignment="1">
      <alignment vertical="center"/>
    </xf>
    <xf numFmtId="179" fontId="1" fillId="0" borderId="0" xfId="1" applyNumberFormat="1" applyFont="1" applyFill="1" applyAlignment="1">
      <alignment vertical="center"/>
    </xf>
    <xf numFmtId="178" fontId="1" fillId="0" borderId="0" xfId="3" applyNumberFormat="1" applyFont="1" applyFill="1" applyAlignment="1">
      <alignment vertical="center"/>
    </xf>
    <xf numFmtId="9" fontId="1" fillId="0" borderId="0" xfId="3" applyFont="1" applyFill="1" applyAlignment="1">
      <alignment vertical="center"/>
    </xf>
    <xf numFmtId="178" fontId="2" fillId="0" borderId="0" xfId="3" applyNumberFormat="1" applyFont="1" applyFill="1" applyAlignment="1">
      <alignment horizontal="center" vertical="center"/>
    </xf>
    <xf numFmtId="178" fontId="4" fillId="0" borderId="0" xfId="3" applyNumberFormat="1" applyFont="1" applyFill="1" applyAlignment="1">
      <alignment horizontal="center" vertical="center"/>
    </xf>
    <xf numFmtId="178" fontId="1" fillId="0" borderId="0" xfId="3" applyNumberFormat="1" applyFont="1" applyFill="1" applyAlignment="1">
      <alignment horizontal="center" vertical="center"/>
    </xf>
    <xf numFmtId="0" fontId="39" fillId="0" borderId="0" xfId="0" applyFont="1" applyFill="1" applyAlignment="1">
      <alignment vertical="center" wrapText="1"/>
    </xf>
    <xf numFmtId="43" fontId="2" fillId="0" borderId="0" xfId="0" applyNumberFormat="1" applyFont="1" applyFill="1" applyAlignment="1">
      <alignment horizontal="right" vertical="center"/>
    </xf>
    <xf numFmtId="43" fontId="38" fillId="0" borderId="0" xfId="1" applyNumberFormat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9" fontId="2" fillId="0" borderId="0" xfId="0" applyNumberFormat="1" applyFont="1" applyFill="1" applyAlignment="1">
      <alignment vertical="center"/>
    </xf>
    <xf numFmtId="9" fontId="4" fillId="0" borderId="0" xfId="3" applyFont="1" applyFill="1" applyAlignment="1">
      <alignment horizontal="center" vertical="center"/>
    </xf>
    <xf numFmtId="9" fontId="2" fillId="0" borderId="0" xfId="3" applyFont="1" applyFill="1" applyAlignment="1">
      <alignment horizontal="center" vertical="center"/>
    </xf>
    <xf numFmtId="0" fontId="1" fillId="15" borderId="5" xfId="0" applyFont="1" applyFill="1" applyBorder="1" applyAlignment="1">
      <alignment vertical="center"/>
    </xf>
    <xf numFmtId="181" fontId="1" fillId="15" borderId="6" xfId="1" applyNumberFormat="1" applyFont="1" applyFill="1" applyBorder="1">
      <alignment vertical="center"/>
    </xf>
    <xf numFmtId="176" fontId="1" fillId="0" borderId="0" xfId="1" applyNumberFormat="1" applyFont="1" applyFill="1" applyAlignment="1">
      <alignment vertical="center"/>
    </xf>
    <xf numFmtId="10" fontId="1" fillId="0" borderId="9" xfId="0" applyNumberFormat="1" applyFont="1" applyFill="1" applyBorder="1" applyAlignment="1">
      <alignment vertical="center"/>
    </xf>
    <xf numFmtId="10" fontId="1" fillId="11" borderId="9" xfId="0" applyNumberFormat="1" applyFont="1" applyFill="1" applyBorder="1" applyAlignment="1">
      <alignment vertical="center"/>
    </xf>
    <xf numFmtId="10" fontId="1" fillId="7" borderId="8" xfId="0" applyNumberFormat="1" applyFont="1" applyFill="1" applyBorder="1" applyAlignment="1">
      <alignment vertical="center"/>
    </xf>
    <xf numFmtId="10" fontId="1" fillId="15" borderId="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4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28" fillId="26" borderId="10" xfId="0" applyFont="1" applyFill="1" applyBorder="1" applyAlignment="1">
      <alignment horizontal="center" vertical="center" wrapText="1"/>
    </xf>
    <xf numFmtId="43" fontId="40" fillId="26" borderId="10" xfId="1" applyFont="1" applyFill="1" applyBorder="1" applyAlignment="1">
      <alignment horizontal="center" vertical="center" wrapText="1"/>
    </xf>
    <xf numFmtId="43" fontId="28" fillId="26" borderId="10" xfId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43" fontId="28" fillId="0" borderId="0" xfId="1" applyFont="1" applyFill="1" applyBorder="1" applyAlignment="1">
      <alignment vertical="center"/>
    </xf>
    <xf numFmtId="43" fontId="28" fillId="0" borderId="0" xfId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43" fontId="41" fillId="0" borderId="0" xfId="1" applyFont="1" applyFill="1" applyBorder="1" applyAlignment="1">
      <alignment vertical="center"/>
    </xf>
    <xf numFmtId="43" fontId="41" fillId="0" borderId="0" xfId="1" applyFont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43" fontId="11" fillId="0" borderId="0" xfId="1" applyFont="1" applyBorder="1" applyAlignment="1">
      <alignment vertical="center"/>
    </xf>
    <xf numFmtId="0" fontId="28" fillId="26" borderId="10" xfId="0" applyFont="1" applyFill="1" applyBorder="1" applyAlignment="1">
      <alignment horizontal="center" vertical="center"/>
    </xf>
    <xf numFmtId="43" fontId="40" fillId="26" borderId="10" xfId="1" applyFont="1" applyFill="1" applyBorder="1" applyAlignment="1">
      <alignment horizontal="center" vertical="center"/>
    </xf>
    <xf numFmtId="43" fontId="28" fillId="26" borderId="10" xfId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" fillId="26" borderId="11" xfId="0" applyFont="1" applyFill="1" applyBorder="1" applyAlignment="1">
      <alignment horizontal="center" vertical="center" wrapText="1"/>
    </xf>
    <xf numFmtId="4" fontId="4" fillId="26" borderId="12" xfId="0" applyNumberFormat="1" applyFont="1" applyFill="1" applyBorder="1" applyAlignment="1">
      <alignment horizontal="center" vertical="center" wrapText="1"/>
    </xf>
    <xf numFmtId="10" fontId="4" fillId="26" borderId="13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vertical="center" wrapText="1"/>
    </xf>
    <xf numFmtId="0" fontId="4" fillId="0" borderId="14" xfId="0" applyFont="1" applyBorder="1" applyAlignment="1">
      <alignment horizontal="center" vertical="center"/>
    </xf>
    <xf numFmtId="185" fontId="4" fillId="0" borderId="15" xfId="0" applyNumberFormat="1" applyFont="1" applyBorder="1" applyAlignment="1">
      <alignment vertical="center"/>
    </xf>
    <xf numFmtId="9" fontId="4" fillId="0" borderId="16" xfId="0" applyNumberFormat="1" applyFont="1" applyBorder="1" applyAlignment="1">
      <alignment vertical="center"/>
    </xf>
    <xf numFmtId="0" fontId="26" fillId="0" borderId="17" xfId="0" applyFont="1" applyBorder="1" applyAlignment="1">
      <alignment horizontal="center" vertical="center"/>
    </xf>
    <xf numFmtId="185" fontId="26" fillId="0" borderId="0" xfId="0" applyNumberFormat="1" applyFont="1" applyBorder="1" applyAlignment="1">
      <alignment vertical="center"/>
    </xf>
    <xf numFmtId="9" fontId="26" fillId="0" borderId="18" xfId="0" applyNumberFormat="1" applyFont="1" applyBorder="1" applyAlignment="1">
      <alignment vertical="center"/>
    </xf>
    <xf numFmtId="185" fontId="26" fillId="0" borderId="0" xfId="0" applyNumberFormat="1" applyFont="1" applyFill="1" applyBorder="1" applyAlignment="1">
      <alignment vertical="center"/>
    </xf>
    <xf numFmtId="185" fontId="4" fillId="0" borderId="0" xfId="0" applyNumberFormat="1" applyFont="1" applyFill="1" applyBorder="1" applyAlignment="1">
      <alignment vertical="center"/>
    </xf>
    <xf numFmtId="185" fontId="42" fillId="0" borderId="0" xfId="0" applyNumberFormat="1" applyFont="1" applyBorder="1" applyAlignment="1">
      <alignment vertical="center"/>
    </xf>
    <xf numFmtId="176" fontId="4" fillId="0" borderId="0" xfId="0" applyNumberFormat="1" applyFont="1" applyAlignment="1">
      <alignment horizontal="right" vertical="center"/>
    </xf>
    <xf numFmtId="10" fontId="4" fillId="0" borderId="0" xfId="3" applyNumberFormat="1" applyFont="1" applyAlignment="1">
      <alignment vertical="center"/>
    </xf>
    <xf numFmtId="0" fontId="26" fillId="27" borderId="19" xfId="0" applyFont="1" applyFill="1" applyBorder="1" applyAlignment="1">
      <alignment horizontal="center" vertical="center"/>
    </xf>
    <xf numFmtId="185" fontId="26" fillId="27" borderId="20" xfId="0" applyNumberFormat="1" applyFont="1" applyFill="1" applyBorder="1" applyAlignment="1">
      <alignment vertical="center"/>
    </xf>
    <xf numFmtId="178" fontId="26" fillId="27" borderId="21" xfId="0" applyNumberFormat="1" applyFont="1" applyFill="1" applyBorder="1" applyAlignment="1">
      <alignment vertical="center"/>
    </xf>
    <xf numFmtId="178" fontId="4" fillId="0" borderId="0" xfId="3" applyNumberFormat="1" applyFont="1" applyAlignment="1">
      <alignment vertical="center"/>
    </xf>
    <xf numFmtId="0" fontId="29" fillId="0" borderId="0" xfId="0" applyFont="1" applyAlignment="1">
      <alignment vertical="center"/>
    </xf>
    <xf numFmtId="4" fontId="4" fillId="28" borderId="19" xfId="0" applyNumberFormat="1" applyFont="1" applyFill="1" applyBorder="1" applyAlignment="1">
      <alignment horizontal="center" vertical="center"/>
    </xf>
    <xf numFmtId="57" fontId="4" fillId="28" borderId="21" xfId="0" applyNumberFormat="1" applyFont="1" applyFill="1" applyBorder="1" applyAlignment="1">
      <alignment horizontal="center" vertical="center"/>
    </xf>
    <xf numFmtId="49" fontId="4" fillId="28" borderId="20" xfId="0" applyNumberFormat="1" applyFont="1" applyFill="1" applyBorder="1" applyAlignment="1">
      <alignment horizontal="center" vertical="center"/>
    </xf>
    <xf numFmtId="0" fontId="4" fillId="28" borderId="21" xfId="0" applyFont="1" applyFill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 vertical="center"/>
    </xf>
    <xf numFmtId="181" fontId="4" fillId="0" borderId="0" xfId="0" applyNumberFormat="1" applyFont="1" applyAlignment="1">
      <alignment vertical="center"/>
    </xf>
    <xf numFmtId="9" fontId="4" fillId="0" borderId="18" xfId="0" applyNumberFormat="1" applyFont="1" applyBorder="1" applyAlignment="1">
      <alignment vertical="center"/>
    </xf>
    <xf numFmtId="179" fontId="4" fillId="0" borderId="0" xfId="1" applyNumberFormat="1" applyFont="1" applyAlignment="1">
      <alignment vertical="center"/>
    </xf>
    <xf numFmtId="181" fontId="4" fillId="0" borderId="0" xfId="0" applyNumberFormat="1" applyFont="1" applyBorder="1" applyAlignment="1">
      <alignment vertical="center"/>
    </xf>
    <xf numFmtId="9" fontId="4" fillId="0" borderId="0" xfId="3" applyFont="1" applyAlignment="1">
      <alignment vertical="center"/>
    </xf>
    <xf numFmtId="4" fontId="4" fillId="27" borderId="19" xfId="0" applyNumberFormat="1" applyFont="1" applyFill="1" applyBorder="1" applyAlignment="1">
      <alignment horizontal="center" vertical="center"/>
    </xf>
    <xf numFmtId="181" fontId="4" fillId="27" borderId="20" xfId="0" applyNumberFormat="1" applyFont="1" applyFill="1" applyBorder="1" applyAlignment="1">
      <alignment vertical="center"/>
    </xf>
    <xf numFmtId="9" fontId="4" fillId="27" borderId="21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0" fontId="4" fillId="0" borderId="0" xfId="3" applyNumberFormat="1" applyFont="1" applyFill="1" applyBorder="1" applyAlignment="1">
      <alignment vertical="center"/>
    </xf>
    <xf numFmtId="10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4" fontId="4" fillId="0" borderId="0" xfId="0" applyNumberFormat="1" applyFont="1" applyFill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176" fontId="4" fillId="0" borderId="0" xfId="3" applyNumberFormat="1" applyFont="1" applyFill="1" applyBorder="1" applyAlignment="1">
      <alignment vertical="center"/>
    </xf>
    <xf numFmtId="178" fontId="4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4" fontId="28" fillId="0" borderId="0" xfId="0" applyNumberFormat="1" applyFont="1" applyBorder="1" applyAlignment="1">
      <alignment vertical="center"/>
    </xf>
    <xf numFmtId="4" fontId="4" fillId="0" borderId="0" xfId="0" applyNumberFormat="1" applyFont="1" applyFill="1" applyBorder="1" applyAlignment="1">
      <alignment vertical="center"/>
    </xf>
    <xf numFmtId="178" fontId="4" fillId="0" borderId="0" xfId="3" applyNumberFormat="1" applyFont="1" applyFill="1" applyBorder="1" applyAlignment="1">
      <alignment vertical="center"/>
    </xf>
    <xf numFmtId="57" fontId="4" fillId="0" borderId="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1" fillId="26" borderId="22" xfId="0" applyFont="1" applyFill="1" applyBorder="1" applyAlignment="1">
      <alignment horizontal="center" vertical="center"/>
    </xf>
    <xf numFmtId="43" fontId="1" fillId="26" borderId="15" xfId="1" applyFont="1" applyFill="1" applyBorder="1" applyAlignment="1">
      <alignment horizontal="center" vertical="center"/>
    </xf>
    <xf numFmtId="43" fontId="1" fillId="26" borderId="23" xfId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3" fontId="1" fillId="0" borderId="15" xfId="1" applyFont="1" applyBorder="1" applyAlignment="1">
      <alignment horizontal="center" vertical="center"/>
    </xf>
    <xf numFmtId="43" fontId="1" fillId="0" borderId="23" xfId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43" fontId="1" fillId="0" borderId="9" xfId="1" applyFont="1" applyBorder="1" applyAlignment="1">
      <alignment horizontal="center" vertical="center"/>
    </xf>
    <xf numFmtId="0" fontId="1" fillId="29" borderId="24" xfId="0" applyFont="1" applyFill="1" applyBorder="1" applyAlignment="1">
      <alignment horizontal="center" vertical="center"/>
    </xf>
    <xf numFmtId="43" fontId="1" fillId="29" borderId="25" xfId="1" applyFont="1" applyFill="1" applyBorder="1" applyAlignment="1">
      <alignment horizontal="center" vertical="center"/>
    </xf>
    <xf numFmtId="43" fontId="1" fillId="29" borderId="26" xfId="1" applyFont="1" applyFill="1" applyBorder="1" applyAlignment="1">
      <alignment horizontal="center" vertical="center"/>
    </xf>
    <xf numFmtId="0" fontId="1" fillId="27" borderId="7" xfId="0" applyFont="1" applyFill="1" applyBorder="1" applyAlignment="1">
      <alignment horizontal="center" vertical="center"/>
    </xf>
    <xf numFmtId="43" fontId="1" fillId="27" borderId="0" xfId="1" applyFont="1" applyFill="1" applyAlignment="1">
      <alignment horizontal="right" vertical="center"/>
    </xf>
    <xf numFmtId="43" fontId="1" fillId="27" borderId="9" xfId="1" applyFont="1" applyFill="1" applyBorder="1" applyAlignment="1">
      <alignment horizontal="right" vertical="center"/>
    </xf>
    <xf numFmtId="0" fontId="1" fillId="30" borderId="24" xfId="0" applyFont="1" applyFill="1" applyBorder="1" applyAlignment="1">
      <alignment horizontal="center" vertical="center"/>
    </xf>
    <xf numFmtId="43" fontId="1" fillId="30" borderId="25" xfId="1" applyFont="1" applyFill="1" applyBorder="1" applyAlignment="1">
      <alignment horizontal="right" vertical="center"/>
    </xf>
    <xf numFmtId="43" fontId="1" fillId="30" borderId="26" xfId="1" applyFont="1" applyFill="1" applyBorder="1" applyAlignment="1">
      <alignment horizontal="right" vertical="center"/>
    </xf>
    <xf numFmtId="43" fontId="40" fillId="26" borderId="10" xfId="1" applyFont="1" applyFill="1" applyBorder="1" applyAlignment="1">
      <alignment vertical="center" wrapText="1"/>
    </xf>
    <xf numFmtId="43" fontId="40" fillId="26" borderId="10" xfId="1" applyFont="1" applyFill="1" applyBorder="1" applyAlignment="1">
      <alignment horizontal="left" vertical="center" wrapText="1"/>
    </xf>
    <xf numFmtId="43" fontId="28" fillId="26" borderId="10" xfId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3" fillId="0" borderId="0" xfId="0" applyFont="1">
      <alignment vertical="center"/>
    </xf>
    <xf numFmtId="0" fontId="43" fillId="2" borderId="10" xfId="0" applyFont="1" applyFill="1" applyBorder="1" applyAlignment="1">
      <alignment vertical="center" wrapText="1"/>
    </xf>
    <xf numFmtId="0" fontId="43" fillId="0" borderId="10" xfId="0" applyFont="1" applyBorder="1" applyAlignment="1">
      <alignment horizontal="center" vertical="center" wrapText="1"/>
    </xf>
    <xf numFmtId="179" fontId="43" fillId="0" borderId="10" xfId="1" applyNumberFormat="1" applyFont="1" applyBorder="1" applyAlignment="1">
      <alignment horizontal="center" vertical="center" wrapText="1"/>
    </xf>
    <xf numFmtId="179" fontId="2" fillId="0" borderId="10" xfId="1" applyNumberFormat="1" applyFont="1" applyBorder="1" applyAlignment="1">
      <alignment vertical="center" wrapText="1"/>
    </xf>
    <xf numFmtId="0" fontId="2" fillId="0" borderId="10" xfId="0" applyFont="1" applyBorder="1">
      <alignment vertical="center"/>
    </xf>
    <xf numFmtId="0" fontId="43" fillId="0" borderId="10" xfId="0" applyFont="1" applyBorder="1">
      <alignment vertical="center"/>
    </xf>
    <xf numFmtId="181" fontId="43" fillId="0" borderId="10" xfId="1" applyNumberFormat="1" applyFont="1" applyBorder="1">
      <alignment vertical="center"/>
    </xf>
    <xf numFmtId="179" fontId="43" fillId="0" borderId="10" xfId="1" applyNumberFormat="1" applyFont="1" applyBorder="1">
      <alignment vertical="center"/>
    </xf>
    <xf numFmtId="179" fontId="2" fillId="0" borderId="10" xfId="1" applyNumberFormat="1" applyFont="1" applyBorder="1">
      <alignment vertical="center"/>
    </xf>
    <xf numFmtId="4" fontId="2" fillId="0" borderId="10" xfId="0" applyNumberFormat="1" applyFont="1" applyBorder="1">
      <alignment vertical="center"/>
    </xf>
    <xf numFmtId="0" fontId="2" fillId="0" borderId="10" xfId="0" applyFont="1" applyBorder="1" applyAlignment="1">
      <alignment vertical="center"/>
    </xf>
    <xf numFmtId="176" fontId="43" fillId="0" borderId="10" xfId="0" applyNumberFormat="1" applyFont="1" applyBorder="1">
      <alignment vertical="center"/>
    </xf>
    <xf numFmtId="0" fontId="43" fillId="7" borderId="10" xfId="0" applyFont="1" applyFill="1" applyBorder="1">
      <alignment vertical="center"/>
    </xf>
    <xf numFmtId="176" fontId="43" fillId="0" borderId="10" xfId="0" applyNumberFormat="1" applyFont="1" applyFill="1" applyBorder="1">
      <alignment vertical="center"/>
    </xf>
    <xf numFmtId="179" fontId="43" fillId="0" borderId="10" xfId="1" applyNumberFormat="1" applyFont="1" applyFill="1" applyBorder="1">
      <alignment vertical="center"/>
    </xf>
    <xf numFmtId="179" fontId="2" fillId="0" borderId="10" xfId="1" applyNumberFormat="1" applyFont="1" applyFill="1" applyBorder="1">
      <alignment vertical="center"/>
    </xf>
    <xf numFmtId="43" fontId="43" fillId="0" borderId="0" xfId="1" applyFont="1">
      <alignment vertical="center"/>
    </xf>
    <xf numFmtId="179" fontId="43" fillId="0" borderId="0" xfId="1" applyNumberFormat="1" applyFont="1">
      <alignment vertical="center"/>
    </xf>
    <xf numFmtId="0" fontId="20" fillId="0" borderId="0" xfId="0" applyFont="1" applyAlignment="1">
      <alignment horizontal="left" vertical="center"/>
    </xf>
    <xf numFmtId="176" fontId="25" fillId="0" borderId="0" xfId="0" applyNumberFormat="1" applyFont="1" applyFill="1">
      <alignment vertical="center"/>
    </xf>
    <xf numFmtId="0" fontId="25" fillId="0" borderId="0" xfId="0" applyFont="1" applyFill="1" applyAlignment="1">
      <alignment vertical="center"/>
    </xf>
    <xf numFmtId="0" fontId="1" fillId="31" borderId="0" xfId="0" applyFont="1" applyFill="1">
      <alignment vertical="center"/>
    </xf>
    <xf numFmtId="176" fontId="2" fillId="0" borderId="10" xfId="1" applyNumberFormat="1" applyFont="1" applyBorder="1" applyAlignment="1">
      <alignment vertical="center" wrapText="1"/>
    </xf>
    <xf numFmtId="43" fontId="2" fillId="0" borderId="0" xfId="1" applyFont="1" applyAlignment="1">
      <alignment vertical="center" wrapText="1"/>
    </xf>
    <xf numFmtId="176" fontId="2" fillId="0" borderId="10" xfId="1" applyNumberFormat="1" applyFont="1" applyBorder="1">
      <alignment vertical="center"/>
    </xf>
    <xf numFmtId="181" fontId="2" fillId="0" borderId="10" xfId="1" applyNumberFormat="1" applyFont="1" applyBorder="1">
      <alignment vertical="center"/>
    </xf>
    <xf numFmtId="179" fontId="2" fillId="0" borderId="0" xfId="0" applyNumberFormat="1" applyFont="1">
      <alignment vertical="center"/>
    </xf>
    <xf numFmtId="181" fontId="2" fillId="0" borderId="10" xfId="1" applyNumberFormat="1" applyFont="1" applyFill="1" applyBorder="1">
      <alignment vertical="center"/>
    </xf>
    <xf numFmtId="181" fontId="2" fillId="0" borderId="0" xfId="1" applyNumberFormat="1" applyFont="1">
      <alignment vertical="center"/>
    </xf>
    <xf numFmtId="181" fontId="43" fillId="0" borderId="0" xfId="1" applyNumberFormat="1" applyFont="1">
      <alignment vertical="center"/>
    </xf>
    <xf numFmtId="176" fontId="2" fillId="0" borderId="10" xfId="1" applyNumberFormat="1" applyFont="1" applyFill="1" applyBorder="1">
      <alignment vertical="center"/>
    </xf>
    <xf numFmtId="43" fontId="43" fillId="0" borderId="0" xfId="0" applyNumberFormat="1" applyFont="1">
      <alignment vertical="center"/>
    </xf>
    <xf numFmtId="47" fontId="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78" fontId="1" fillId="0" borderId="0" xfId="0" applyNumberFormat="1" applyFont="1">
      <alignment vertical="center"/>
    </xf>
    <xf numFmtId="178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81" fontId="1" fillId="0" borderId="0" xfId="1" applyNumberFormat="1" applyFont="1" applyAlignment="1">
      <alignment vertical="center" wrapText="1"/>
    </xf>
    <xf numFmtId="181" fontId="4" fillId="0" borderId="0" xfId="0" applyNumberFormat="1" applyFont="1" applyAlignment="1">
      <alignment vertical="center" wrapText="1"/>
    </xf>
    <xf numFmtId="181" fontId="1" fillId="2" borderId="0" xfId="1" applyNumberFormat="1" applyFont="1" applyFill="1" applyAlignment="1">
      <alignment horizontal="center" vertical="center" wrapText="1"/>
    </xf>
    <xf numFmtId="43" fontId="1" fillId="2" borderId="0" xfId="1" applyFont="1" applyFill="1" applyAlignment="1">
      <alignment vertical="center" wrapText="1"/>
    </xf>
    <xf numFmtId="17" fontId="1" fillId="9" borderId="0" xfId="0" applyNumberFormat="1" applyFont="1" applyFill="1" applyAlignment="1">
      <alignment horizontal="center" vertical="center"/>
    </xf>
    <xf numFmtId="17" fontId="1" fillId="11" borderId="0" xfId="0" applyNumberFormat="1" applyFont="1" applyFill="1" applyAlignment="1">
      <alignment horizontal="center" vertical="center"/>
    </xf>
    <xf numFmtId="17" fontId="1" fillId="5" borderId="0" xfId="0" applyNumberFormat="1" applyFont="1" applyFill="1" applyAlignment="1">
      <alignment horizontal="center" vertical="center"/>
    </xf>
    <xf numFmtId="181" fontId="31" fillId="0" borderId="0" xfId="0" applyNumberFormat="1" applyFont="1" applyFill="1" applyAlignment="1">
      <alignment vertical="center"/>
    </xf>
    <xf numFmtId="17" fontId="1" fillId="17" borderId="0" xfId="0" applyNumberFormat="1" applyFont="1" applyFill="1" applyAlignment="1">
      <alignment horizontal="center" vertical="center"/>
    </xf>
    <xf numFmtId="179" fontId="1" fillId="0" borderId="0" xfId="1" applyNumberFormat="1" applyFont="1" applyFill="1">
      <alignment vertical="center"/>
    </xf>
    <xf numFmtId="181" fontId="1" fillId="0" borderId="0" xfId="1" applyNumberFormat="1" applyFont="1" applyAlignment="1">
      <alignment horizontal="center" vertical="center" wrapText="1"/>
    </xf>
    <xf numFmtId="181" fontId="24" fillId="0" borderId="0" xfId="1" applyNumberFormat="1" applyFont="1" applyFill="1">
      <alignment vertical="center"/>
    </xf>
    <xf numFmtId="179" fontId="24" fillId="0" borderId="0" xfId="1" applyNumberFormat="1" applyFont="1" applyFill="1">
      <alignment vertical="center"/>
    </xf>
    <xf numFmtId="178" fontId="1" fillId="0" borderId="0" xfId="3" applyNumberFormat="1" applyFont="1" applyAlignment="1">
      <alignment horizontal="center" vertical="center" wrapText="1"/>
    </xf>
    <xf numFmtId="9" fontId="1" fillId="0" borderId="0" xfId="3" applyNumberFormat="1" applyFont="1">
      <alignment vertical="center"/>
    </xf>
    <xf numFmtId="178" fontId="2" fillId="0" borderId="0" xfId="0" applyNumberFormat="1" applyFont="1">
      <alignment vertical="center"/>
    </xf>
    <xf numFmtId="178" fontId="4" fillId="0" borderId="0" xfId="3" applyNumberFormat="1" applyFont="1">
      <alignment vertical="center"/>
    </xf>
    <xf numFmtId="178" fontId="1" fillId="0" borderId="0" xfId="1" applyNumberFormat="1" applyFont="1" applyAlignment="1">
      <alignment horizontal="center" vertical="center" wrapText="1"/>
    </xf>
    <xf numFmtId="178" fontId="4" fillId="0" borderId="0" xfId="3" applyNumberFormat="1" applyFont="1" applyAlignment="1">
      <alignment horizontal="center" vertical="center" wrapText="1"/>
    </xf>
    <xf numFmtId="17" fontId="1" fillId="0" borderId="0" xfId="0" applyNumberFormat="1" applyFont="1" applyFill="1" applyAlignment="1">
      <alignment horizontal="center" vertical="center"/>
    </xf>
    <xf numFmtId="181" fontId="4" fillId="0" borderId="0" xfId="0" applyNumberFormat="1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31" fillId="17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176" fontId="1" fillId="17" borderId="0" xfId="0" applyNumberFormat="1" applyFont="1" applyFill="1" applyAlignment="1">
      <alignment horizontal="center" vertical="center"/>
    </xf>
    <xf numFmtId="181" fontId="4" fillId="17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horizontal="center" vertical="center"/>
    </xf>
    <xf numFmtId="177" fontId="2" fillId="6" borderId="0" xfId="0" applyNumberFormat="1" applyFont="1" applyFill="1" applyAlignment="1">
      <alignment horizontal="center" vertical="center"/>
    </xf>
    <xf numFmtId="181" fontId="8" fillId="6" borderId="0" xfId="0" applyNumberFormat="1" applyFont="1" applyFill="1" applyAlignment="1">
      <alignment horizontal="right" vertical="center"/>
    </xf>
    <xf numFmtId="181" fontId="2" fillId="6" borderId="0" xfId="0" applyNumberFormat="1" applyFont="1" applyFill="1" applyAlignment="1">
      <alignment horizontal="right" vertical="center"/>
    </xf>
    <xf numFmtId="177" fontId="2" fillId="2" borderId="0" xfId="0" applyNumberFormat="1" applyFont="1" applyFill="1" applyAlignment="1">
      <alignment horizontal="left" vertical="center"/>
    </xf>
    <xf numFmtId="181" fontId="8" fillId="2" borderId="0" xfId="0" applyNumberFormat="1" applyFont="1" applyFill="1" applyAlignment="1">
      <alignment horizontal="right" vertical="center"/>
    </xf>
    <xf numFmtId="181" fontId="4" fillId="6" borderId="0" xfId="0" applyNumberFormat="1" applyFont="1" applyFill="1" applyAlignment="1">
      <alignment horizontal="right" vertical="center"/>
    </xf>
    <xf numFmtId="180" fontId="8" fillId="6" borderId="0" xfId="0" applyNumberFormat="1" applyFont="1" applyFill="1" applyAlignment="1">
      <alignment horizontal="right" vertical="center"/>
    </xf>
    <xf numFmtId="180" fontId="2" fillId="6" borderId="0" xfId="0" applyNumberFormat="1" applyFont="1" applyFill="1" applyAlignment="1">
      <alignment horizontal="right" vertical="center"/>
    </xf>
    <xf numFmtId="180" fontId="8" fillId="2" borderId="0" xfId="0" applyNumberFormat="1" applyFont="1" applyFill="1" applyAlignment="1">
      <alignment horizontal="right" vertical="center"/>
    </xf>
    <xf numFmtId="181" fontId="2" fillId="6" borderId="0" xfId="1" applyNumberFormat="1" applyFont="1" applyFill="1">
      <alignment vertical="center"/>
    </xf>
    <xf numFmtId="181" fontId="4" fillId="6" borderId="0" xfId="0" applyNumberFormat="1" applyFont="1" applyFill="1">
      <alignment vertical="center"/>
    </xf>
    <xf numFmtId="181" fontId="2" fillId="2" borderId="0" xfId="1" applyNumberFormat="1" applyFont="1" applyFill="1">
      <alignment vertical="center"/>
    </xf>
    <xf numFmtId="181" fontId="8" fillId="6" borderId="0" xfId="0" applyNumberFormat="1" applyFont="1" applyFill="1" applyAlignment="1">
      <alignment vertical="center"/>
    </xf>
    <xf numFmtId="181" fontId="8" fillId="2" borderId="0" xfId="0" applyNumberFormat="1" applyFont="1" applyFill="1" applyAlignment="1">
      <alignment vertical="center"/>
    </xf>
    <xf numFmtId="177" fontId="2" fillId="5" borderId="0" xfId="0" applyNumberFormat="1" applyFont="1" applyFill="1" applyAlignment="1">
      <alignment horizontal="left" vertical="center"/>
    </xf>
    <xf numFmtId="181" fontId="2" fillId="5" borderId="0" xfId="1" applyNumberFormat="1" applyFont="1" applyFill="1">
      <alignment vertical="center"/>
    </xf>
    <xf numFmtId="181" fontId="4" fillId="5" borderId="0" xfId="0" applyNumberFormat="1" applyFont="1" applyFill="1">
      <alignment vertical="center"/>
    </xf>
    <xf numFmtId="181" fontId="2" fillId="5" borderId="0" xfId="0" applyNumberFormat="1" applyFont="1" applyFill="1">
      <alignment vertical="center"/>
    </xf>
    <xf numFmtId="181" fontId="2" fillId="0" borderId="0" xfId="0" applyNumberFormat="1" applyFont="1" applyAlignment="1">
      <alignment horizontal="center" vertical="center"/>
    </xf>
    <xf numFmtId="181" fontId="4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2" fillId="11" borderId="0" xfId="0" applyNumberFormat="1" applyFont="1" applyFill="1" applyAlignment="1">
      <alignment horizontal="left" vertical="center"/>
    </xf>
    <xf numFmtId="181" fontId="4" fillId="11" borderId="0" xfId="0" applyNumberFormat="1" applyFont="1" applyFill="1">
      <alignment vertical="center"/>
    </xf>
    <xf numFmtId="179" fontId="1" fillId="2" borderId="0" xfId="1" applyNumberFormat="1" applyFont="1" applyFill="1">
      <alignment vertical="center"/>
    </xf>
    <xf numFmtId="177" fontId="2" fillId="17" borderId="0" xfId="0" applyNumberFormat="1" applyFont="1" applyFill="1" applyAlignment="1">
      <alignment horizontal="left" vertical="center"/>
    </xf>
    <xf numFmtId="181" fontId="1" fillId="17" borderId="0" xfId="1" applyNumberFormat="1" applyFont="1" applyFill="1">
      <alignment vertical="center"/>
    </xf>
    <xf numFmtId="181" fontId="4" fillId="17" borderId="0" xfId="0" applyNumberFormat="1" applyFont="1" applyFill="1">
      <alignment vertical="center"/>
    </xf>
    <xf numFmtId="43" fontId="1" fillId="2" borderId="0" xfId="1" applyFont="1" applyFill="1">
      <alignment vertical="center"/>
    </xf>
    <xf numFmtId="0" fontId="28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81" fontId="2" fillId="2" borderId="0" xfId="0" applyNumberFormat="1" applyFont="1" applyFill="1" applyAlignment="1">
      <alignment horizontal="right" vertical="center"/>
    </xf>
    <xf numFmtId="181" fontId="4" fillId="2" borderId="0" xfId="0" applyNumberFormat="1" applyFont="1" applyFill="1" applyAlignment="1">
      <alignment horizontal="right" vertical="center"/>
    </xf>
    <xf numFmtId="181" fontId="1" fillId="0" borderId="0" xfId="0" applyNumberFormat="1" applyFont="1" applyAlignment="1">
      <alignment horizontal="center" vertical="center"/>
    </xf>
    <xf numFmtId="180" fontId="2" fillId="2" borderId="0" xfId="0" applyNumberFormat="1" applyFont="1" applyFill="1" applyAlignment="1">
      <alignment horizontal="right" vertical="center"/>
    </xf>
    <xf numFmtId="181" fontId="4" fillId="2" borderId="0" xfId="0" applyNumberFormat="1" applyFont="1" applyFill="1">
      <alignment vertical="center"/>
    </xf>
    <xf numFmtId="181" fontId="2" fillId="2" borderId="0" xfId="0" applyNumberFormat="1" applyFont="1" applyFill="1">
      <alignment vertical="center"/>
    </xf>
    <xf numFmtId="179" fontId="1" fillId="0" borderId="0" xfId="1" applyNumberFormat="1" applyFont="1" applyAlignment="1">
      <alignment horizontal="left" vertical="center"/>
    </xf>
    <xf numFmtId="181" fontId="1" fillId="2" borderId="0" xfId="1" applyNumberFormat="1" applyFont="1" applyFill="1">
      <alignment vertical="center"/>
    </xf>
    <xf numFmtId="181" fontId="25" fillId="2" borderId="0" xfId="1" applyNumberFormat="1" applyFont="1" applyFill="1">
      <alignment vertical="center"/>
    </xf>
    <xf numFmtId="179" fontId="4" fillId="0" borderId="0" xfId="0" applyNumberFormat="1" applyFont="1">
      <alignment vertical="center"/>
    </xf>
    <xf numFmtId="184" fontId="1" fillId="0" borderId="0" xfId="1" applyNumberFormat="1" applyFont="1">
      <alignment vertical="center"/>
    </xf>
    <xf numFmtId="186" fontId="1" fillId="0" borderId="0" xfId="1" applyNumberFormat="1" applyFont="1">
      <alignment vertical="center"/>
    </xf>
    <xf numFmtId="9" fontId="4" fillId="0" borderId="0" xfId="3" applyFont="1" applyFill="1">
      <alignment vertical="center"/>
    </xf>
    <xf numFmtId="178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43" fontId="1" fillId="0" borderId="0" xfId="1" applyFont="1" applyBorder="1">
      <alignment vertical="center"/>
    </xf>
    <xf numFmtId="176" fontId="31" fillId="0" borderId="0" xfId="0" applyNumberFormat="1" applyFont="1" applyFill="1" applyBorder="1" applyAlignment="1">
      <alignment horizontal="right" vertical="center"/>
    </xf>
    <xf numFmtId="178" fontId="31" fillId="0" borderId="0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76" fontId="12" fillId="0" borderId="0" xfId="0" applyNumberFormat="1" applyFont="1" applyFill="1" applyBorder="1" applyAlignment="1">
      <alignment vertical="center"/>
    </xf>
    <xf numFmtId="178" fontId="12" fillId="0" borderId="0" xfId="0" applyNumberFormat="1" applyFont="1" applyFill="1" applyBorder="1" applyAlignment="1">
      <alignment vertical="center"/>
    </xf>
    <xf numFmtId="178" fontId="1" fillId="0" borderId="0" xfId="0" applyNumberFormat="1" applyFont="1" applyBorder="1">
      <alignment vertical="center"/>
    </xf>
    <xf numFmtId="177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Alignment="1">
      <alignment vertical="center" wrapText="1"/>
    </xf>
    <xf numFmtId="176" fontId="44" fillId="32" borderId="0" xfId="0" applyNumberFormat="1" applyFont="1" applyFill="1" applyAlignment="1">
      <alignment horizontal="center" vertical="center" wrapText="1"/>
    </xf>
    <xf numFmtId="176" fontId="44" fillId="0" borderId="0" xfId="0" applyNumberFormat="1" applyFont="1" applyFill="1" applyAlignment="1">
      <alignment vertical="center" wrapText="1"/>
    </xf>
    <xf numFmtId="0" fontId="4" fillId="32" borderId="0" xfId="0" applyFont="1" applyFill="1" applyAlignment="1">
      <alignment horizontal="right" vertical="center" wrapText="1"/>
    </xf>
    <xf numFmtId="0" fontId="45" fillId="11" borderId="10" xfId="0" applyFont="1" applyFill="1" applyBorder="1" applyAlignment="1">
      <alignment horizontal="center" vertical="center" wrapText="1"/>
    </xf>
    <xf numFmtId="187" fontId="46" fillId="11" borderId="21" xfId="0" applyNumberFormat="1" applyFont="1" applyFill="1" applyBorder="1" applyAlignment="1">
      <alignment horizontal="center" vertical="center" wrapText="1"/>
    </xf>
    <xf numFmtId="187" fontId="46" fillId="11" borderId="12" xfId="0" applyNumberFormat="1" applyFont="1" applyFill="1" applyBorder="1" applyAlignment="1">
      <alignment horizontal="center" vertical="center" wrapText="1"/>
    </xf>
    <xf numFmtId="176" fontId="46" fillId="11" borderId="19" xfId="0" applyNumberFormat="1" applyFont="1" applyFill="1" applyBorder="1" applyAlignment="1">
      <alignment horizontal="center" vertical="center" wrapText="1"/>
    </xf>
    <xf numFmtId="176" fontId="46" fillId="11" borderId="21" xfId="0" applyNumberFormat="1" applyFont="1" applyFill="1" applyBorder="1" applyAlignment="1">
      <alignment horizontal="center" vertical="center" wrapText="1"/>
    </xf>
    <xf numFmtId="187" fontId="46" fillId="11" borderId="0" xfId="0" applyNumberFormat="1" applyFont="1" applyFill="1" applyAlignment="1">
      <alignment horizontal="center" vertical="center" wrapText="1"/>
    </xf>
    <xf numFmtId="176" fontId="46" fillId="11" borderId="17" xfId="0" applyNumberFormat="1" applyFont="1" applyFill="1" applyBorder="1" applyAlignment="1">
      <alignment horizontal="center" vertical="center" wrapText="1"/>
    </xf>
    <xf numFmtId="0" fontId="46" fillId="11" borderId="27" xfId="0" applyFont="1" applyFill="1" applyBorder="1" applyAlignment="1">
      <alignment horizontal="center" vertical="center" wrapText="1"/>
    </xf>
    <xf numFmtId="0" fontId="45" fillId="0" borderId="10" xfId="0" applyFont="1" applyFill="1" applyBorder="1" applyAlignment="1">
      <alignment horizontal="center" vertical="center" wrapText="1"/>
    </xf>
    <xf numFmtId="176" fontId="45" fillId="0" borderId="10" xfId="0" applyNumberFormat="1" applyFont="1" applyFill="1" applyBorder="1" applyAlignment="1">
      <alignment horizontal="right" vertical="center" wrapText="1"/>
    </xf>
    <xf numFmtId="176" fontId="45" fillId="0" borderId="19" xfId="0" applyNumberFormat="1" applyFont="1" applyFill="1" applyBorder="1" applyAlignment="1">
      <alignment horizontal="right" vertical="center" wrapText="1"/>
    </xf>
    <xf numFmtId="176" fontId="45" fillId="0" borderId="19" xfId="0" applyNumberFormat="1" applyFont="1" applyFill="1" applyBorder="1" applyAlignment="1">
      <alignment vertical="center" wrapText="1"/>
    </xf>
    <xf numFmtId="10" fontId="45" fillId="0" borderId="10" xfId="3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78" fontId="2" fillId="5" borderId="0" xfId="3" applyNumberFormat="1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8" fontId="2" fillId="0" borderId="0" xfId="3" applyNumberFormat="1" applyFont="1" applyAlignment="1">
      <alignment vertical="center" wrapText="1"/>
    </xf>
    <xf numFmtId="176" fontId="2" fillId="0" borderId="0" xfId="0" applyNumberFormat="1" applyFont="1" applyBorder="1" applyAlignment="1">
      <alignment vertical="center" wrapText="1"/>
    </xf>
    <xf numFmtId="10" fontId="2" fillId="0" borderId="0" xfId="3" applyNumberFormat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16" borderId="10" xfId="0" applyFont="1" applyFill="1" applyBorder="1" applyAlignment="1">
      <alignment horizontal="center" vertical="center"/>
    </xf>
    <xf numFmtId="57" fontId="2" fillId="7" borderId="10" xfId="0" applyNumberFormat="1" applyFont="1" applyFill="1" applyBorder="1" applyAlignment="1">
      <alignment horizontal="center" vertical="center"/>
    </xf>
    <xf numFmtId="181" fontId="2" fillId="0" borderId="10" xfId="0" applyNumberFormat="1" applyFont="1" applyBorder="1">
      <alignment vertical="center"/>
    </xf>
    <xf numFmtId="0" fontId="2" fillId="7" borderId="10" xfId="0" applyFont="1" applyFill="1" applyBorder="1" applyAlignment="1">
      <alignment horizontal="center" vertical="center"/>
    </xf>
    <xf numFmtId="10" fontId="2" fillId="0" borderId="10" xfId="3" applyNumberFormat="1" applyFont="1" applyBorder="1">
      <alignment vertical="center"/>
    </xf>
    <xf numFmtId="17" fontId="0" fillId="0" borderId="0" xfId="0" applyNumberFormat="1">
      <alignment vertical="center"/>
    </xf>
    <xf numFmtId="57" fontId="2" fillId="7" borderId="10" xfId="0" applyNumberFormat="1" applyFont="1" applyFill="1" applyBorder="1" applyAlignment="1" quotePrefix="1">
      <alignment horizontal="center" vertical="center"/>
    </xf>
    <xf numFmtId="57" fontId="4" fillId="28" borderId="21" xfId="0" applyNumberFormat="1" applyFont="1" applyFill="1" applyBorder="1" applyAlignment="1" quotePrefix="1">
      <alignment horizontal="center" vertical="center"/>
    </xf>
    <xf numFmtId="0" fontId="30" fillId="25" borderId="0" xfId="0" applyFont="1" applyFill="1" applyAlignment="1" quotePrefix="1">
      <alignment horizontal="left" vertical="center"/>
    </xf>
    <xf numFmtId="177" fontId="6" fillId="0" borderId="0" xfId="0" applyNumberFormat="1" applyFont="1" applyFill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10" xfId="50"/>
    <cellStyle name="常规 3" xfId="51"/>
    <cellStyle name="常规 2" xfId="52"/>
  </cellStyles>
  <dxfs count="528">
    <dxf>
      <font>
        <sz val="10"/>
      </font>
    </dxf>
    <dxf>
      <font>
        <sz val="9"/>
      </font>
    </dxf>
    <dxf>
      <font>
        <sz val="10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0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0"/>
      </font>
    </dxf>
    <dxf>
      <font>
        <sz val="9"/>
      </font>
    </dxf>
    <dxf>
      <numFmt numFmtId="176" formatCode="#,##0.00_ "/>
    </dxf>
    <dxf>
      <numFmt numFmtId="176" formatCode="#,##0.00_ "/>
    </dxf>
    <dxf>
      <numFmt numFmtId="176" formatCode="#,##0.00_ 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宋体"/>
        <scheme val="none"/>
      </font>
    </dxf>
    <dxf>
      <font>
        <name val="Dubai Light"/>
        <scheme val="none"/>
      </font>
    </dxf>
    <dxf>
      <font>
        <name val="Calibri"/>
        <scheme val="none"/>
      </font>
    </dxf>
    <dxf>
      <font>
        <sz val="9"/>
      </font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font>
        <sz val="9"/>
      </font>
    </dxf>
    <dxf>
      <font>
        <sz val="9"/>
      </font>
    </dxf>
    <dxf>
      <font>
        <name val="宋体"/>
        <scheme val="none"/>
      </font>
    </dxf>
    <dxf>
      <font>
        <sz val="8"/>
      </font>
    </dxf>
    <dxf>
      <font>
        <sz val="9"/>
      </font>
    </dxf>
    <dxf>
      <font>
        <name val="宋体"/>
        <scheme val="none"/>
      </font>
    </dxf>
    <dxf>
      <font>
        <sz val="9"/>
      </font>
    </dxf>
    <dxf>
      <font>
        <name val="宋体"/>
        <scheme val="none"/>
      </font>
    </dxf>
    <dxf>
      <font>
        <sz val="9"/>
      </font>
    </dxf>
    <dxf>
      <font>
        <name val="宋体"/>
        <scheme val="none"/>
      </font>
    </dxf>
    <dxf>
      <font>
        <sz val="10"/>
      </font>
    </dxf>
    <dxf>
      <font>
        <sz val="8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76" formatCode="#,##0.00_ "/>
    </dxf>
    <dxf>
      <numFmt numFmtId="176" formatCode="#,##0.00_ "/>
    </dxf>
    <dxf>
      <numFmt numFmtId="176" formatCode="#,##0.00_ "/>
    </dxf>
    <dxf>
      <numFmt numFmtId="176" formatCode="#,##0.00_ 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alignment horizontal="left"/>
    </dxf>
    <dxf>
      <font>
        <name val="宋体"/>
        <scheme val="none"/>
      </font>
    </dxf>
    <dxf>
      <alignment horizontal="left"/>
    </dxf>
    <dxf>
      <font>
        <sz val="8"/>
      </font>
    </dxf>
    <dxf>
      <font>
        <sz val="9"/>
      </font>
    </dxf>
    <dxf>
      <font>
        <name val="宋体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name val="宋体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left"/>
    </dxf>
    <dxf>
      <font>
        <name val="宋体"/>
        <scheme val="none"/>
      </font>
    </dxf>
    <dxf>
      <font>
        <sz val="1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9"/>
      </font>
    </dxf>
    <dxf>
      <numFmt numFmtId="176" formatCode="#,##0.00_ "/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ont>
        <name val="宋体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9"/>
      </font>
    </dxf>
    <dxf>
      <font>
        <name val="宋体"/>
        <scheme val="none"/>
      </font>
    </dxf>
    <dxf>
      <font>
        <sz val="9"/>
      </font>
    </dxf>
    <dxf>
      <font>
        <name val="宋体"/>
        <scheme val="none"/>
      </font>
    </dxf>
    <dxf>
      <font>
        <sz val="9"/>
      </font>
    </dxf>
    <dxf>
      <font>
        <name val="宋体"/>
        <scheme val="none"/>
      </font>
    </dxf>
    <dxf>
      <font>
        <sz val="10"/>
      </font>
    </dxf>
    <dxf>
      <font>
        <sz val="10"/>
      </font>
    </dxf>
    <dxf>
      <numFmt numFmtId="176" formatCode="#,##0.00_ "/>
    </dxf>
    <dxf>
      <numFmt numFmtId="176" formatCode="#,##0.00_ "/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ont>
        <name val="宋体"/>
        <scheme val="none"/>
      </font>
    </dxf>
    <dxf>
      <font>
        <sz val="9"/>
      </font>
    </dxf>
    <dxf>
      <alignment vertical="center"/>
    </dxf>
    <dxf>
      <font>
        <name val="宋体"/>
        <scheme val="none"/>
      </font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ont>
        <name val="宋体"/>
        <scheme val="none"/>
      </font>
    </dxf>
    <dxf>
      <font>
        <sz val="9"/>
      </font>
    </dxf>
    <dxf>
      <font>
        <sz val="10"/>
      </font>
    </dxf>
    <dxf>
      <font>
        <name val="宋体"/>
        <scheme val="none"/>
      </font>
    </dxf>
    <dxf>
      <font>
        <name val="宋体"/>
        <scheme val="none"/>
      </font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ont>
        <sz val="9"/>
      </font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ont>
        <sz val="9"/>
      </font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ont>
        <name val="宋体"/>
        <scheme val="none"/>
      </font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ont>
        <name val="宋体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宋体"/>
        <scheme val="none"/>
      </font>
    </dxf>
    <dxf>
      <font>
        <sz val="9"/>
      </font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ont>
        <name val="宋体"/>
        <scheme val="none"/>
      </font>
    </dxf>
    <dxf>
      <font>
        <sz val="10"/>
      </font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ont>
        <sz val="9"/>
      </font>
    </dxf>
    <dxf>
      <numFmt numFmtId="176" formatCode="#,##0.00_ "/>
    </dxf>
    <dxf>
      <numFmt numFmtId="176" formatCode="#,##0.00_ "/>
    </dxf>
    <dxf>
      <numFmt numFmtId="176" formatCode="#,##0.00_ 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宋体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宋体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宋体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宋体"/>
        <scheme val="none"/>
      </font>
    </dxf>
    <dxf>
      <font>
        <sz val="1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5" Type="http://schemas.openxmlformats.org/officeDocument/2006/relationships/styles" Target="styles.xml"/><Relationship Id="rId74" Type="http://schemas.openxmlformats.org/officeDocument/2006/relationships/sharedStrings" Target="sharedStrings.xml"/><Relationship Id="rId73" Type="http://schemas.openxmlformats.org/officeDocument/2006/relationships/theme" Target="theme/theme1.xml"/><Relationship Id="rId72" Type="http://schemas.openxmlformats.org/officeDocument/2006/relationships/externalLink" Target="externalLinks/externalLink38.xml"/><Relationship Id="rId71" Type="http://schemas.openxmlformats.org/officeDocument/2006/relationships/externalLink" Target="externalLinks/externalLink37.xml"/><Relationship Id="rId70" Type="http://schemas.openxmlformats.org/officeDocument/2006/relationships/externalLink" Target="externalLinks/externalLink36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28.xml"/><Relationship Id="rId61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26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18.xml"/><Relationship Id="rId51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9.xml"/><Relationship Id="rId42" Type="http://schemas.openxmlformats.org/officeDocument/2006/relationships/externalLink" Target="externalLinks/externalLink8.xml"/><Relationship Id="rId41" Type="http://schemas.openxmlformats.org/officeDocument/2006/relationships/externalLink" Target="externalLinks/externalLink7.xml"/><Relationship Id="rId4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5.xml"/><Relationship Id="rId38" Type="http://schemas.openxmlformats.org/officeDocument/2006/relationships/externalLink" Target="externalLinks/externalLink4.xml"/><Relationship Id="rId37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.xml"/><Relationship Id="rId35" Type="http://schemas.openxmlformats.org/officeDocument/2006/relationships/externalLink" Target="externalLinks/externalLink1.xml"/><Relationship Id="rId34" Type="http://schemas.openxmlformats.org/officeDocument/2006/relationships/pivotCacheDefinition" Target="pivotCache/pivotCacheDefinition7.xml"/><Relationship Id="rId33" Type="http://schemas.openxmlformats.org/officeDocument/2006/relationships/pivotCacheDefinition" Target="pivotCache/pivotCacheDefinition6.xml"/><Relationship Id="rId32" Type="http://schemas.openxmlformats.org/officeDocument/2006/relationships/pivotCacheDefinition" Target="pivotCache/pivotCacheDefinition5.xml"/><Relationship Id="rId31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9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GMV</a:t>
            </a:r>
            <a:r>
              <a:rPr lang="zh-CN" altLang="en-US" sz="2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同期比较</a:t>
            </a:r>
            <a:endParaRPr lang="zh-CN" altLang="en-US" sz="20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'GMV销售额波动分析（分月、年）'!$K$1</c:f>
              <c:strCache>
                <c:ptCount val="1"/>
                <c:pt idx="0">
                  <c:v>2025年GMV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'GMV销售额波动分析（分月、年）'!$J$2:$J$7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'GMV销售额波动分析（分月、年）'!$K$2:$K$7</c:f>
              <c:numCache>
                <c:formatCode>#,##0.0</c:formatCode>
                <c:ptCount val="6"/>
                <c:pt idx="0">
                  <c:v>6.98924757544806</c:v>
                </c:pt>
                <c:pt idx="1">
                  <c:v>5.52069393789808</c:v>
                </c:pt>
                <c:pt idx="2">
                  <c:v>6.65983879196805</c:v>
                </c:pt>
                <c:pt idx="3">
                  <c:v>6.03460050027811</c:v>
                </c:pt>
                <c:pt idx="4">
                  <c:v>6.04718287136004</c:v>
                </c:pt>
                <c:pt idx="5">
                  <c:v>5.69139847521005</c:v>
                </c:pt>
              </c:numCache>
            </c:numRef>
          </c:val>
        </c:ser>
        <c:ser>
          <c:idx val="1"/>
          <c:order val="1"/>
          <c:tx>
            <c:strRef>
              <c:f>'GMV销售额波动分析（分月、年）'!$L$1</c:f>
              <c:strCache>
                <c:ptCount val="1"/>
                <c:pt idx="0">
                  <c:v>2024年GMV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'GMV销售额波动分析（分月、年）'!$J$2:$J$7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'GMV销售额波动分析（分月、年）'!$L$2:$L$7</c:f>
              <c:numCache>
                <c:formatCode>#,##0.0</c:formatCode>
                <c:ptCount val="6"/>
                <c:pt idx="0">
                  <c:v>8.38416624659997</c:v>
                </c:pt>
                <c:pt idx="1">
                  <c:v>7.62180494879997</c:v>
                </c:pt>
                <c:pt idx="2">
                  <c:v>6.68328891859694</c:v>
                </c:pt>
                <c:pt idx="3">
                  <c:v>5.03452969116499</c:v>
                </c:pt>
                <c:pt idx="4">
                  <c:v>7.05529658468003</c:v>
                </c:pt>
                <c:pt idx="5">
                  <c:v>8.38027476513797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149184"/>
        <c:axId val="237159168"/>
      </c:barChart>
      <c:catAx>
        <c:axId val="237149184"/>
        <c:scaling>
          <c:orientation val="minMax"/>
        </c:scaling>
        <c:delete val="0"/>
        <c:axPos val="b"/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237159168"/>
        <c:crosses val="autoZero"/>
        <c:auto val="1"/>
        <c:lblAlgn val="ctr"/>
        <c:lblOffset val="100"/>
        <c:noMultiLvlLbl val="0"/>
      </c:catAx>
      <c:valAx>
        <c:axId val="2371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23714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21538c-efe2-4f61-9d18-655464e0fff5}"/>
      </c:ext>
    </c:extLst>
  </c:chart>
  <c:spPr>
    <a:solidFill>
      <a:schemeClr val="accent1">
        <a:lumMod val="20000"/>
        <a:lumOff val="80000"/>
      </a:schemeClr>
    </a:solidFill>
    <a:ln w="6350" cap="flat" cmpd="sng" algn="ctr">
      <a:solidFill>
        <a:schemeClr val="accent3"/>
      </a:solidFill>
      <a:prstDash val="solid"/>
      <a:miter lim="800000"/>
    </a:ln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411480</xdr:colOff>
      <xdr:row>20</xdr:row>
      <xdr:rowOff>167640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57250"/>
          <a:ext cx="5154295" cy="273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8</xdr:col>
      <xdr:colOff>121920</xdr:colOff>
      <xdr:row>39</xdr:row>
      <xdr:rowOff>121920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114800"/>
          <a:ext cx="5542280" cy="2693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7620</xdr:colOff>
      <xdr:row>42</xdr:row>
      <xdr:rowOff>7620</xdr:rowOff>
    </xdr:from>
    <xdr:to>
      <xdr:col>26</xdr:col>
      <xdr:colOff>604520</xdr:colOff>
      <xdr:row>69</xdr:row>
      <xdr:rowOff>16510</xdr:rowOff>
    </xdr:to>
    <xdr:pic>
      <xdr:nvPicPr>
        <xdr:cNvPr id="4" name="图片 3" descr="lQLPDhtlOWEsIDnNAwvNBf6w9ODSNCdaaCQCdoTR6oADAA_1534_77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0615" y="7208520"/>
          <a:ext cx="10760075" cy="4638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14</xdr:col>
      <xdr:colOff>457835</xdr:colOff>
      <xdr:row>22</xdr:row>
      <xdr:rowOff>82550</xdr:rowOff>
    </xdr:to>
    <xdr:pic>
      <xdr:nvPicPr>
        <xdr:cNvPr id="2" name="图片 1" descr="975d7026ec7c09100188b37b08a1ef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0058400" cy="3853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447675</xdr:colOff>
      <xdr:row>78</xdr:row>
      <xdr:rowOff>152400</xdr:rowOff>
    </xdr:from>
    <xdr:to>
      <xdr:col>16</xdr:col>
      <xdr:colOff>427355</xdr:colOff>
      <xdr:row>99</xdr:row>
      <xdr:rowOff>116840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26195" y="9867900"/>
          <a:ext cx="3590925" cy="1164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427355</xdr:colOff>
      <xdr:row>0</xdr:row>
      <xdr:rowOff>48895</xdr:rowOff>
    </xdr:from>
    <xdr:to>
      <xdr:col>20</xdr:col>
      <xdr:colOff>956945</xdr:colOff>
      <xdr:row>19</xdr:row>
      <xdr:rowOff>56515</xdr:rowOff>
    </xdr:to>
    <xdr:graphicFrame>
      <xdr:nvGraphicFramePr>
        <xdr:cNvPr id="2" name="图表 1"/>
        <xdr:cNvGraphicFramePr/>
      </xdr:nvGraphicFramePr>
      <xdr:xfrm>
        <a:off x="16106140" y="48895"/>
        <a:ext cx="4321810" cy="349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393700</xdr:colOff>
      <xdr:row>0</xdr:row>
      <xdr:rowOff>277495</xdr:rowOff>
    </xdr:from>
    <xdr:to>
      <xdr:col>20</xdr:col>
      <xdr:colOff>936625</xdr:colOff>
      <xdr:row>2</xdr:row>
      <xdr:rowOff>35560</xdr:rowOff>
    </xdr:to>
    <xdr:sp>
      <xdr:nvSpPr>
        <xdr:cNvPr id="3" name="单圆角矩形 2"/>
        <xdr:cNvSpPr/>
      </xdr:nvSpPr>
      <xdr:spPr>
        <a:xfrm>
          <a:off x="19130645" y="277495"/>
          <a:ext cx="1276985" cy="241935"/>
        </a:xfrm>
        <a:prstGeom prst="round1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22</a:t>
          </a:r>
          <a:r>
            <a:rPr lang="zh-CN" altLang="en-US" sz="1100"/>
            <a:t>年</a:t>
          </a:r>
          <a:r>
            <a:rPr lang="en-US" altLang="zh-CN" sz="1100"/>
            <a:t>GMV 72.25</a:t>
          </a:r>
          <a:r>
            <a:rPr lang="zh-CN" altLang="en-US" sz="1100"/>
            <a:t>亿</a:t>
          </a:r>
          <a:endParaRPr lang="zh-CN" altLang="en-US" sz="1100"/>
        </a:p>
      </xdr:txBody>
    </xdr:sp>
    <xdr:clientData/>
  </xdr:twoCellAnchor>
  <xdr:twoCellAnchor>
    <xdr:from>
      <xdr:col>19</xdr:col>
      <xdr:colOff>386715</xdr:colOff>
      <xdr:row>0</xdr:row>
      <xdr:rowOff>57150</xdr:rowOff>
    </xdr:from>
    <xdr:to>
      <xdr:col>20</xdr:col>
      <xdr:colOff>936625</xdr:colOff>
      <xdr:row>0</xdr:row>
      <xdr:rowOff>290830</xdr:rowOff>
    </xdr:to>
    <xdr:sp>
      <xdr:nvSpPr>
        <xdr:cNvPr id="4" name="单圆角矩形 3"/>
        <xdr:cNvSpPr/>
      </xdr:nvSpPr>
      <xdr:spPr>
        <a:xfrm>
          <a:off x="19123660" y="57150"/>
          <a:ext cx="1283970" cy="233680"/>
        </a:xfrm>
        <a:prstGeom prst="round1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23</a:t>
          </a:r>
          <a:r>
            <a:rPr lang="zh-CN" altLang="en-US" sz="1100"/>
            <a:t>年</a:t>
          </a:r>
          <a:r>
            <a:rPr lang="en-US" altLang="zh-CN" sz="1100"/>
            <a:t>GMV 85.03</a:t>
          </a:r>
          <a:r>
            <a:rPr lang="zh-CN" altLang="en-US" sz="1100"/>
            <a:t>亿</a:t>
          </a:r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552450</xdr:colOff>
      <xdr:row>49</xdr:row>
      <xdr:rowOff>142875</xdr:rowOff>
    </xdr:from>
    <xdr:to>
      <xdr:col>4</xdr:col>
      <xdr:colOff>133350</xdr:colOff>
      <xdr:row>74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2450" y="8839200"/>
          <a:ext cx="5726430" cy="418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171450</xdr:colOff>
      <xdr:row>52</xdr:row>
      <xdr:rowOff>161925</xdr:rowOff>
    </xdr:from>
    <xdr:to>
      <xdr:col>11</xdr:col>
      <xdr:colOff>257175</xdr:colOff>
      <xdr:row>60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16980" y="9372600"/>
          <a:ext cx="589788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533400</xdr:colOff>
      <xdr:row>36</xdr:row>
      <xdr:rowOff>228600</xdr:rowOff>
    </xdr:from>
    <xdr:to>
      <xdr:col>12</xdr:col>
      <xdr:colOff>219075</xdr:colOff>
      <xdr:row>82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55915" y="6410325"/>
          <a:ext cx="4906645" cy="794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552450</xdr:colOff>
      <xdr:row>82</xdr:row>
      <xdr:rowOff>28575</xdr:rowOff>
    </xdr:from>
    <xdr:to>
      <xdr:col>12</xdr:col>
      <xdr:colOff>114300</xdr:colOff>
      <xdr:row>119</xdr:row>
      <xdr:rowOff>47625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974965" y="14382750"/>
          <a:ext cx="4782820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485775</xdr:colOff>
      <xdr:row>119</xdr:row>
      <xdr:rowOff>123825</xdr:rowOff>
    </xdr:from>
    <xdr:to>
      <xdr:col>13</xdr:col>
      <xdr:colOff>171450</xdr:colOff>
      <xdr:row>163</xdr:row>
      <xdr:rowOff>161925</xdr:rowOff>
    </xdr:to>
    <xdr:pic>
      <xdr:nvPicPr>
        <xdr:cNvPr id="4" name="图片 3" descr="1a2f0ad911be83bc4525a3f1f8e6b16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908290" y="20821650"/>
          <a:ext cx="5592445" cy="7581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5105;&#30340;&#25991;&#26723;\tencent%20files\2421946355\filerecv\&#22825;&#35782;&#20844;&#21496;&#27719;&#24635;&#21450;&#25253;&#34920;-2017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jj526\AppData\Roaming\kingsoft\office6\backup\&#21512;&#24182;&#36807;&#31243;&#24213;&#31295;&#65288;&#27169;&#29256;&#20998;&#20139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8&#24180;&#23613;&#35843;&#36164;&#26009;\&#28145;&#21019;&#25237;&#36164;&#26009;\&#20844;&#21496;&#21333;&#20307;&#25253;&#34920;(1)\&#20844;&#21496;&#21333;&#20307;&#25253;&#34920;\&#25910;&#20837;&#25104;&#26412;-&#32435;&#368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598;&#22242;&#20844;&#21496;&#36130;&#21153;&#25253;&#21578;\202204&#36130;&#21153;&#25253;&#21578;\4&#12289;&#36130;&#21153;&#20998;&#26512;&#24213;&#31295;2204\1-2&#12289;&#36130;&#21153;&#20998;&#26512;&#25968;&#25454;-&#25910;&#20837;&#21033;&#28070;&#20998;&#26512;2107&#65288;&#25490;&#38500;IPO&#36153;&#29992;&#6528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598;&#22242;&#20844;&#21496;&#36130;&#21153;&#25253;&#21578;\202204&#36130;&#21153;&#25253;&#21578;\1&#12289;&#25237;&#36164;&#20844;&#21496;&#21512;&#24182;&#25253;&#34920;\&#36130;&#21153;&#32463;&#33829;&#27010;&#20917;&#65306;&#25237;&#36164;&#23376;&#20844;&#21496;&#21033;&#28070;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jj\AppData\Roaming\kingsoft\office6\backup\1-1&#12289;&#36130;&#21153;&#20998;&#26512;&#25968;&#25454;-&#38144;&#21806;&#30408;&#21033;&#20998;&#26512;220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598;&#22242;&#20844;&#21496;&#36130;&#21153;&#25253;&#21578;\202105&#36130;&#21153;&#25253;&#21578;\3&#12289;&#36130;&#21153;&#20998;&#26512;&#24213;&#31295;202105\1-1&#12289;&#36130;&#21153;&#20998;&#26512;&#25968;&#25454;-&#38144;&#21806;&#30408;&#21033;&#20998;&#26512;21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jj\AppData\Roaming\kingsoft\office6\backup\1-2&#12289;&#36130;&#21153;&#20998;&#26512;&#25968;&#25454;-&#25910;&#20837;&#21033;&#28070;&#20998;&#26512;220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UEMING-781219\aws\work\2004\&#19978;&#28023;&#28207;&#21153;&#38598;&#22242;\IPO\&#26412;&#37096;\wp\Documents%20and%20Settings\770463\My%20Documents\My%20Job\Huaxia\HX%20June%202002\Investment\Anno's%20workdone\PBC\To%20stephen\To%20stephen\9D4FF100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\BUDGET97\BS96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Program%20Files\Microsoft%20Office\Templates\&#30005;&#23376;&#34920;&#26684;&#27169;&#26495;\&#24037;&#19994;&#20225;&#19994;&#36130;&#21153;&#25253;&#34920;.xlt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MMER-780427\aws\Work%202002\Dawnrays\2003\work%20time\Sachs%20245663A02\PBC\A.R%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2019&#24180;&#36164;&#26009;\2019&#24180;&#23457;&#35745;&#36164;&#26009;\&#23433;&#27704;&#36164;&#26009;20190629\&#36716;&#21457;_%20&#22238;&#22797;_Fulu%20Group%20&#21021;&#29256;&#25253;&#21578;--&#26680;&#31639;&#24050;&#30830;&#35748;\&#26228;&#24029;&#38401;&#39033;&#30446;-&#36130;&#21153;&#23613;&#35843;&#35299;&#37322;&#38468;&#20214;\&#20248;&#37239;&#25104;&#26412;2018&#24180;(&#30830;&#35748;&#6528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2019&#24180;&#36164;&#26009;\2019&#24180;&#23457;&#35745;&#36164;&#26009;\&#23433;&#27704;&#36164;&#26009;20190629\&#36716;&#21457;_%20&#22238;&#22797;_Fulu%20Group%20&#21021;&#29256;&#25253;&#21578;--&#26680;&#31639;&#24050;&#30830;&#35748;\&#26228;&#24029;&#38401;&#39033;&#30446;-&#36130;&#21153;&#23613;&#35843;&#35299;&#37322;&#38468;&#20214;\&#20248;&#37239;&#36820;&#28857;&#35745;&#31639;18&#2418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OYEE-408025\aws\Audit\2005%20Client\Dawnrays\1031\PBC\F-SZ%20pharmaceutical.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381;&#21153;&#22120;\&#32508;&#21512;&#25991;&#20214;\&#20013;&#40065;&#26524;&#27713;\&#20013;&#40065;200112\YUE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381;&#21153;&#22120;\&#32508;&#21512;&#25991;&#20214;\&#20013;&#31185;&#22823;&#27915;\&#20013;&#31185;0111\&#32929;&#21033;&#25237;&#36164;&#20511;&#27454;&#3156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MMER-780427\aws\Work%202002\Dawnrays\2003\sherry'w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LIN-760122\aws\Documents%20and%20Settings\test\Desktop\Honda%20Engine\sharefil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Users\HD888RL\Desktop\&#21512;&#24182;&#36807;&#31243;&#24213;&#31295;&#65288;&#27169;&#29256;&#20998;&#20139;&#65289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2018&#24180;&#23613;&#35843;&#36164;&#26009;\&#28145;&#21019;&#25237;&#36164;&#26009;\&#20844;&#21496;&#21333;&#20307;&#25253;&#34920;(1)\&#20844;&#21496;&#21333;&#20307;&#25253;&#34920;\&#25910;&#20837;&#25104;&#26412;-&#32435;&#3680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ok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SIANG-409126\aws\Documents%20and%20Settings\nansiang.lim\Desktop\TSMT\2006\W.P.%20from%20team%20members%20-%20Prefinal\Review%20notes\Cleared%20Review%20note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WINDOWS\TEMP\notesE1EF34\Rar$DI00.120\2004&#24180;6&#26376;30&#26085;\&#23453;&#38050;H&#32929;\&#25151;&#23627;\&#19968;,&#20108;&#26399;&#26368;&#32456;&#29256;\&#35774;&#22791;&#37096;&#25151;&#23627;&#24314;&#31569;&#29289;&#28165;&#26597;&#35780;&#20272;&#26126;&#32454;&#34920;(&#25552;&#20132;&#29256;&#6528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Documents%20and%20Settings\nansiang.lim\Desktop\TSMT\2006\W.P.%20from%20team%20members%20-%20Prefinal\Review%20notes\Cleared%20Review%20not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jj\AppData\Roaming\kingsoft\office6\backup\1-1&#12289;&#36130;&#21153;&#20998;&#26512;&#25968;&#25454;-&#25910;&#20837;&#21033;&#28070;&#20998;&#26512;2208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598;&#22242;&#20844;&#21496;&#36130;&#21153;&#25253;&#21578;\202208&#36130;&#21153;&#25253;&#21578;\2&#12289;EAS&#21512;&#24182;&#25253;&#34920;202208\2022&#24180;&#20998;&#26376;&#21033;&#28070;&#65288;EAS-&#31119;&#31108;&#25511;&#32929;&#65289;-202208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jj\AppData\Roaming\kingsoft\office6\backup\1-1&#12289;&#36130;&#21153;&#20998;&#26512;&#25968;&#25454;-&#25910;&#20837;&#21033;&#28070;&#20998;&#26512;2209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1119;&#31108;&#38598;&#22242;&#36130;&#21153;&#20998;&#26512;&#25253;&#21578;\2023&#24180;&#24230;\202308&#36130;&#21153;&#25253;&#21578;\1&#12289;&#25237;&#36164;&#20844;&#21496;&#21512;&#24182;&#25253;&#34920;\&#36130;&#21153;&#32463;&#33829;&#27010;&#20917;&#65306;&#25237;&#36164;&#23376;&#20844;&#21496;&#21033;&#28070;20230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1119;&#31108;&#38598;&#22242;&#36130;&#21153;&#20998;&#26512;&#25253;&#21578;\2023&#24180;&#24230;\202311&#36130;&#21153;&#25253;&#21578;\1&#12289;&#25237;&#36164;&#20844;&#21496;&#21512;&#24182;&#25253;&#34920;\4.&#36130;&#21153;&#32463;&#33829;&#27010;&#20917;&#65306;&#25237;&#36164;&#23376;&#20844;&#21496;&#21033;&#28070;202311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1119;&#31108;&#38598;&#22242;&#36130;&#21153;&#20998;&#26512;&#25253;&#21578;\2023&#24180;&#24230;\&#20195;&#36816;&#33829;&#24215;&#38138;GMV&#32479;&#35745;23&#24180;-2312&#26376;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1119;&#31108;&#38598;&#22242;&#36130;&#21153;&#20998;&#26512;&#25253;&#21578;\2022&#24180;&#24230;\202212&#36130;&#21153;&#25253;&#21578;\4&#12289;&#36130;&#21153;&#20998;&#26512;&#24213;&#31295;2212\1-2&#12289;&#25112;&#30053;&#25237;&#36164;-&#20998;&#26512;&#26126;&#32454;20221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1888;&#20160;&#19968;&#36215;&#29609;\&#31532;&#19977;&#26041;+&#29233;&#22855;&#33402;&#20250;&#21592;&#20805;&#20540;&#36134;&#21333;2311-2409\&#31532;&#19977;&#26041;+&#29233;&#22855;&#33402;&#20250;&#21592;&#20805;&#20540;yiqiwan0924@163.com-&#36153;&#29992;&#25286;&#20998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025&#24180;1-5&#26376;&#20379;&#24212;&#21830;&#27611;&#21033;&#65288;&#35843;&#25972;&#65289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&#20195;&#36816;&#33829;&#24215;&#38138;GMV&#32479;&#35745;25&#24180;-2507&#26376;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02507&#36130;&#21153;&#25253;&#21578;\1&#12289;&#25237;&#36164;&#20844;&#21496;&#21512;&#24182;&#25253;&#34920;\1.&#29616;&#37329;&#27969;&#20998;&#26512;&#65306;&#25237;&#36164;&#20844;&#21496;&#29616;&#37329;&#27969;202507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025&#24180;1-7&#26376;&#20379;&#24212;&#21830;&#27611;&#21033;&#65288;&#35843;&#2597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建行5505"/>
      <sheetName val="招行0203"/>
      <sheetName val="2015（账单分类）"/>
      <sheetName val="201601-201609（账单分类）"/>
      <sheetName val="5月分录"/>
      <sheetName val="6月分录"/>
      <sheetName val="7月分录"/>
      <sheetName val="8月分录"/>
      <sheetName val="9月分录"/>
      <sheetName val="10月分录"/>
      <sheetName val="11月分录"/>
      <sheetName val="科目余额表-2017"/>
      <sheetName val="科目余额表（最末级）"/>
      <sheetName val="资产负债表-2017"/>
      <sheetName val="利润表-2017"/>
      <sheetName val="税金"/>
      <sheetName val="房租租赁&amp;物业费"/>
      <sheetName val="进项发票认证-210709"/>
      <sheetName val="房租"/>
      <sheetName val="电信发票"/>
      <sheetName val="Sheet1"/>
      <sheetName val="核算项目明细账"/>
      <sheetName val="明细分类账"/>
      <sheetName val="土建表三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目录"/>
      <sheetName val="参数表"/>
      <sheetName val="未审资产负债表 "/>
      <sheetName val="未审利润表 "/>
      <sheetName val="资产负债表汇总（合并报表格式）"/>
      <sheetName val="资产负债表汇总（个别报表格式）"/>
      <sheetName val="利润表汇总（合并报表格式）"/>
      <sheetName val="利润表汇总（个别报表格式）"/>
      <sheetName val="未分配利润汇总"/>
      <sheetName val="投资抵销分录原始数据"/>
      <sheetName val="本年抵消分录汇总"/>
      <sheetName val="上年抵消分录汇总"/>
      <sheetName val="合并、母公司资产负债表"/>
      <sheetName val="合并资产负债表 "/>
      <sheetName val="合并、母公司利润表"/>
      <sheetName val="合并利润表 "/>
      <sheetName val="合并、母公司现金流量表 "/>
      <sheetName val="合并现金流量表"/>
      <sheetName val="合并所有者权益变动表 (分年打印)"/>
      <sheetName val="合并所有者权益变动表"/>
      <sheetName val="资产负债表合并底稿"/>
      <sheetName val="期初资产负债表试算平衡表"/>
      <sheetName val="本年利润表合并底稿"/>
      <sheetName val="期初利润表试算平衡"/>
      <sheetName val="合并现金流量表合并底稿"/>
      <sheetName val="现金流量表（个别报表）"/>
      <sheetName val="未分配利润合并底稿"/>
      <sheetName val="Sheet2"/>
      <sheetName val="资产负债表-2017"/>
      <sheetName val="5月分录"/>
      <sheetName val="核算项目明细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核算项目明细账"/>
      <sheetName val="资产负债表-2017"/>
      <sheetName val="明细分类账"/>
      <sheetName val="会计科目"/>
      <sheetName val="凭证录入"/>
      <sheetName val="11-1"/>
      <sheetName val="表三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不扣除IPO) "/>
      <sheetName val="月度收入费用趋势分析(扣除IPO)"/>
      <sheetName val="权责制经营报表-股东2107（万元）"/>
      <sheetName val="权责制经营报表-股东2107（扣除IPO）"/>
      <sheetName val="财务报表--原表股东（扣除IPO）"/>
      <sheetName val="IPO费用"/>
      <sheetName val="毛利收入同期比较"/>
      <sheetName val="季度收入对比"/>
      <sheetName val="成本费用分布"/>
      <sheetName val="2020年代运营收入"/>
      <sheetName val="20年代运营费用"/>
      <sheetName val="2021年1-7月店铺费用"/>
      <sheetName val="2020年店铺费用"/>
      <sheetName val="20.1-7月"/>
      <sheetName val="2020年店铺平台服务费"/>
      <sheetName val="2021年办公费"/>
      <sheetName val="2020年办公费"/>
      <sheetName val="2021年中介费用"/>
      <sheetName val="2020年中介费用"/>
      <sheetName val="21年平台推广费"/>
      <sheetName val="20年平台推广服务费"/>
      <sheetName val="Sheet1"/>
      <sheetName val="明细分类账"/>
      <sheetName val="资产负债表-2017"/>
      <sheetName val="5月分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岚晨"/>
      <sheetName val="号号"/>
      <sheetName val="游云"/>
      <sheetName val="映月"/>
      <sheetName val="云时"/>
      <sheetName val="中智"/>
      <sheetName val="灵活用工"/>
      <sheetName val="小幅"/>
      <sheetName val="企业福利"/>
      <sheetName val="揽星"/>
      <sheetName val="海外充值"/>
      <sheetName val="普麦"/>
      <sheetName val="一卡通"/>
      <sheetName val="特特"/>
      <sheetName val="核算项目明细账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经营概况整体变化情况"/>
      <sheetName val="体内经营概况"/>
      <sheetName val="投资公司GMV"/>
      <sheetName val="GMV销售额波动分析（分月、年）"/>
      <sheetName val="GMV销售平台占比"/>
      <sheetName val="收入组成（分收入类型）"/>
      <sheetName val="分月收入成本汇总（未抵消）"/>
      <sheetName val="分商品大类毛利（抵消后） "/>
      <sheetName val="返点中间单据"/>
      <sheetName val="代运营中间单据"/>
      <sheetName val="推广拉新"/>
      <sheetName val="游戏开发"/>
      <sheetName val="核算项目明细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经营概况整体变化情况"/>
      <sheetName val="GMV销售额波动分析（分月、年）"/>
      <sheetName val="GMV销售平台占比"/>
      <sheetName val="收入组成（分收入类型）"/>
      <sheetName val="分月收入成本汇总（未抵消）"/>
      <sheetName val="分商品大类毛利（抵消后） "/>
      <sheetName val="收入成本分类"/>
      <sheetName val="返点中间单据"/>
      <sheetName val="代运营中间单据"/>
      <sheetName val="成本费用分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扣除IPO)"/>
      <sheetName val="权责制经营报表-EAS 2204（审计口径）-分析"/>
      <sheetName val="权责制经营报表-EAS 2206（审计口径）"/>
      <sheetName val="财务报表--EAS（原表）"/>
      <sheetName val="IPO费用"/>
      <sheetName val="毛利收入同期比较"/>
      <sheetName val="季度收入对比"/>
      <sheetName val="成本费用分布（EAS）"/>
      <sheetName val="2020年代运营收入"/>
      <sheetName val="20年代运营费用"/>
      <sheetName val="2022年BI费用"/>
      <sheetName val="2022年店铺费用 "/>
      <sheetName val="2021年1-12月店铺费用"/>
      <sheetName val="2021年1-6月店铺"/>
      <sheetName val="2022年办公费"/>
      <sheetName val="2021年办公费"/>
      <sheetName val="2022年中介费用"/>
      <sheetName val="2021年中介费用"/>
      <sheetName val="22年市场推广费"/>
      <sheetName val="21年市场推广费"/>
      <sheetName val="经营概况整体变化情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Sheet1"/>
      <sheetName val="财务报表--EAS（原表）"/>
      <sheetName val="权责制经营报表-EAS 2206（审计口径）"/>
      <sheetName val="INV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LCPCXCI"/>
      <sheetName val="PLT"/>
      <sheetName val="PLCP"/>
      <sheetName val="PLIP"/>
      <sheetName val="PLCX"/>
      <sheetName val="PLCI"/>
      <sheetName val="BS"/>
      <sheetName val="Rate"/>
      <sheetName val="NBCF1"/>
      <sheetName val="NBCF"/>
      <sheetName val="ARDAYS"/>
      <sheetName val="INVDAYS"/>
      <sheetName val="APDAYS"/>
      <sheetName val="dm"/>
      <sheetName val="表三甲"/>
      <sheetName val="Sheet1"/>
      <sheetName val="B"/>
      <sheetName val="COA"/>
      <sheetName val="JE"/>
      <sheetName val="F2100-半成品"/>
      <sheetName val="F2000-委托加工物资"/>
      <sheetName val="F1000芯片"/>
      <sheetName val="F1100芯片测试费 "/>
      <sheetName val="Source"/>
      <sheetName val="BS9697"/>
      <sheetName val="A.R 01"/>
      <sheetName val="Customize Your Purchase Order"/>
      <sheetName val="Purchase Order"/>
      <sheetName val="关联交易-存款"/>
      <sheetName val="CRA-Detail"/>
      <sheetName val="參數"/>
      <sheetName val="ARP-U201"/>
      <sheetName val="AR Trend"/>
      <sheetName val="Bad Debt Reserve Trend"/>
      <sheetName val="Bad Debt Reserve calc"/>
      <sheetName val="Control"/>
      <sheetName val="A430"/>
      <sheetName val="设备部房屋"/>
      <sheetName val="O"/>
      <sheetName val="F1100芯片测试费_"/>
      <sheetName val="O Lead"/>
      <sheetName val="master"/>
      <sheetName val="K100"/>
      <sheetName val="K"/>
      <sheetName val="F"/>
      <sheetName val="02"/>
      <sheetName val="Sales"/>
      <sheetName val="accode"/>
      <sheetName val="F100"/>
      <sheetName val="U310"/>
      <sheetName val="DATA"/>
      <sheetName val="Client CPYA_clear"/>
      <sheetName val="资产负债表"/>
      <sheetName val="A5-SAD"/>
      <sheetName val="利润表"/>
      <sheetName val="E100"/>
      <sheetName val="std prod costs"/>
      <sheetName val="Sheet3"/>
      <sheetName val="产品销售收入与成本明细表"/>
      <sheetName val="U7100"/>
      <sheetName val="Cntmrs-Recruit"/>
      <sheetName val="P110"/>
      <sheetName val="P"/>
      <sheetName val="员工工资"/>
      <sheetName val="ws9"/>
      <sheetName val="05年利润"/>
      <sheetName val="F101"/>
      <sheetName val="Exchange"/>
      <sheetName val="itnernal sales"/>
      <sheetName val="Ã«ÀûÂÊ·ÖÎö±í"/>
      <sheetName val="应付帐款"/>
      <sheetName val="12月份项目成本明细表"/>
      <sheetName val="12月份部门明细表"/>
      <sheetName val="Balance"/>
      <sheetName val="Drop List References"/>
      <sheetName val="XL4Poppy"/>
      <sheetName val="orignal"/>
      <sheetName val="Cashflow"/>
      <sheetName val="财务费用明细表"/>
      <sheetName val="长期待摊费用明细表"/>
      <sheetName val="主料"/>
      <sheetName val="_4库产成品"/>
      <sheetName val="内外包"/>
      <sheetName val="工具"/>
      <sheetName val="辅料"/>
      <sheetName val="Original Stefan"/>
      <sheetName val="N100"/>
      <sheetName val="企业表一"/>
      <sheetName val="M-5C"/>
      <sheetName val="M-5A"/>
      <sheetName val="HL A3"/>
      <sheetName val="M Schedules"/>
      <sheetName val="Combined FS 2010"/>
      <sheetName val="N300外币应付"/>
      <sheetName val="K140"/>
      <sheetName val="F140-090630 异地库存货"/>
      <sheetName val="Quantity"/>
      <sheetName val="Cash_Flow"/>
      <sheetName val="Financial Statistics"/>
      <sheetName val="Income"/>
      <sheetName val="LinkData"/>
      <sheetName val="F1"/>
      <sheetName val="F11"/>
      <sheetName val="AFEMAI"/>
      <sheetName val="KEY"/>
      <sheetName val="G"/>
      <sheetName val="A3"/>
      <sheetName val="WORDTAB"/>
      <sheetName val="U-Lead_2011"/>
      <sheetName val="U121_2011"/>
      <sheetName val="U121_2010"/>
      <sheetName val="U123_2011"/>
      <sheetName val="U120_1206"/>
      <sheetName val="U122_1206"/>
      <sheetName val="U126_2011"/>
      <sheetName val="4-货币资金-现金"/>
      <sheetName val="Collateral"/>
      <sheetName val="WTB"/>
      <sheetName val="A"/>
      <sheetName val="  mis-ple  "/>
      <sheetName val="FA Addition"/>
      <sheetName val="P412-2001"/>
      <sheetName val="P413-2002"/>
      <sheetName val="K1500"/>
      <sheetName val="敏感性"/>
      <sheetName val="Stock Analysis"/>
      <sheetName val="Group"/>
      <sheetName val="G-lead"/>
      <sheetName val="Validation source"/>
      <sheetName val="U600-投资收益"/>
      <sheetName val="E"/>
      <sheetName val="U120-GP by Product"/>
      <sheetName val="试算平衡表"/>
      <sheetName val="Detail"/>
      <sheetName val="O401"/>
      <sheetName val="E101"/>
      <sheetName val="bc china-关联方"/>
      <sheetName val="c_data"/>
      <sheetName val="Giant Eddia&amp;ICP&amp;Wofe-C300"/>
      <sheetName val="M100"/>
      <sheetName val="Backward Calculation"/>
      <sheetName val="TB_091231"/>
      <sheetName val="H100"/>
      <sheetName val="生产成本"/>
      <sheetName val="original"/>
      <sheetName val="应收票据(关联方)"/>
      <sheetName val="O10"/>
      <sheetName val="O100"/>
      <sheetName val="ARP-P101"/>
      <sheetName val="152050"/>
      <sheetName val="215620"/>
      <sheetName val="215430"/>
      <sheetName val="ARP-U501"/>
      <sheetName val="A3-HK-2013"/>
      <sheetName val="1"/>
      <sheetName val="Consolidation Rates"/>
      <sheetName val="U200"/>
      <sheetName val="U300"/>
      <sheetName val="U400"/>
      <sheetName val="U500"/>
      <sheetName val="D4RP"/>
      <sheetName val="部门折旧"/>
      <sheetName val="2004_A"/>
      <sheetName val="All Cash Dil"/>
      <sheetName val="固定资产处理情况表"/>
      <sheetName val="审计差异汇总"/>
      <sheetName val="明细分类账"/>
      <sheetName val="A3_科曼"/>
      <sheetName val="G300"/>
      <sheetName val="N"/>
      <sheetName val="U101"/>
      <sheetName val="K110"/>
      <sheetName val="G210"/>
      <sheetName val="O111"/>
      <sheetName val="CY sales report"/>
      <sheetName val="struc_SBU"/>
      <sheetName val="BS10"/>
      <sheetName val="navigation"/>
      <sheetName val="struc_country"/>
      <sheetName val="SP10"/>
      <sheetName val="cover"/>
      <sheetName val="translate"/>
      <sheetName val="W"/>
      <sheetName val="U100"/>
      <sheetName val="5 - ASSETS"/>
      <sheetName val="ZMSTA"/>
      <sheetName val="A3_总公司"/>
      <sheetName val="LOOSECHKLIST"/>
      <sheetName val="Sch 24"/>
      <sheetName val="A3-Per EY"/>
      <sheetName val="U"/>
      <sheetName val="A3_先进封装20141231"/>
      <sheetName val="名称表"/>
      <sheetName val="PRC"/>
      <sheetName val="PopCache"/>
      <sheetName val="27-7"/>
      <sheetName val="Beg- End balance"/>
      <sheetName val="A3_长电滁州"/>
      <sheetName val="A3_先进封装"/>
      <sheetName val="Dimension"/>
      <sheetName val="N_LS"/>
      <sheetName val="N100_应付账款明细"/>
      <sheetName val="Malasia"/>
      <sheetName val="流资汇总"/>
      <sheetName val="100172"/>
      <sheetName val="Pending price by customer"/>
      <sheetName val="P_Lead"/>
      <sheetName val="P410_SH"/>
      <sheetName val="P411_押金"/>
      <sheetName val="P412"/>
      <sheetName val="Basic Data"/>
      <sheetName val="SHIP"/>
      <sheetName val="Sales contracts"/>
      <sheetName val="Part_Datum"/>
      <sheetName val="收入"/>
      <sheetName val="Base Info"/>
      <sheetName val="Fixed vs Var"/>
      <sheetName val="COGS reconcile"/>
      <sheetName val="overheads"/>
      <sheetName val="Parameters"/>
      <sheetName val="Item Info."/>
      <sheetName val="U 510"/>
      <sheetName val="K222-fully deprecia"/>
      <sheetName val="note(1)"/>
      <sheetName val="Consol_OR"/>
      <sheetName val="滤饼 98"/>
      <sheetName val="PROCESS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PL"/>
      <sheetName val="F_OH"/>
      <sheetName val="土建表三乙"/>
      <sheetName val="ACM0131(GT)"/>
      <sheetName val="P&amp;L Consol"/>
      <sheetName val="U-Lead2014 "/>
      <sheetName val="(5)预付款项"/>
      <sheetName val="资产评估结果分类汇总表 (2)"/>
      <sheetName val="中行汇率表"/>
      <sheetName val="SAR"/>
      <sheetName val="XREF"/>
      <sheetName val="F800(Fnew)"/>
      <sheetName val="HD_FG"/>
      <sheetName val="F900(Fnew)"/>
      <sheetName val="U130"/>
      <sheetName val="设定"/>
      <sheetName val="iData Parameters"/>
      <sheetName val="2002-H300"/>
      <sheetName val="2001-H300"/>
      <sheetName val="China"/>
      <sheetName val="其(N)"/>
      <sheetName val="分公司汇总更新"/>
      <sheetName val="Understand the client"/>
      <sheetName val="Bokslutsprocessen"/>
      <sheetName val="Indata"/>
      <sheetName val="CRA"/>
      <sheetName val="2017年JE 0207ver"/>
      <sheetName val="AR&amp;OR List"/>
      <sheetName val="调整"/>
      <sheetName val="sheet 1"/>
      <sheetName val="F1100芯片测试费_1"/>
      <sheetName val="A_R_01"/>
      <sheetName val="Customize_Your_Purchase_Order"/>
      <sheetName val="Purchase_Order"/>
      <sheetName val="AR_Trend"/>
      <sheetName val="Bad_Debt_Reserve_Trend"/>
      <sheetName val="Bad_Debt_Reserve_calc"/>
      <sheetName val="O_Lead"/>
      <sheetName val="itnernal_sales"/>
      <sheetName val="std_prod_costs"/>
      <sheetName val="Drop_List_References"/>
      <sheetName val="HL_A3"/>
      <sheetName val="F140-090630_异地库存货"/>
      <sheetName val="Client_CPYA_clear"/>
      <sheetName val="Financial_Statistics"/>
      <sheetName val="Stock_Analysis"/>
      <sheetName val="Validation_source"/>
      <sheetName val="Original_Stefan"/>
      <sheetName val="Combined_FS_2010"/>
      <sheetName val="M_Schedules"/>
      <sheetName val="U120-GP_by_Product"/>
      <sheetName val="Giant_Eddia&amp;ICP&amp;Wofe-C300"/>
      <sheetName val="__mis-ple__"/>
      <sheetName val="FA_Addition"/>
      <sheetName val="bc_china-关联方"/>
      <sheetName val="Backward_Calculation"/>
      <sheetName val="Consolidation_Rates"/>
      <sheetName val="All_Cash_Dil"/>
      <sheetName val="Sch_24"/>
      <sheetName val="Basic_Data"/>
      <sheetName val="Item_Info_"/>
      <sheetName val="5_-_ASSETS"/>
      <sheetName val="CY_sales_report"/>
      <sheetName val="Pending_price_by_customer"/>
      <sheetName val="Beg-_End_balance"/>
      <sheetName val="HELP1"/>
      <sheetName val="Summary"/>
      <sheetName val="FD"/>
      <sheetName val="U210' "/>
      <sheetName val="A300-2014-futrue"/>
      <sheetName val="N201"/>
      <sheetName val="P &amp; L Account"/>
      <sheetName val="K401"/>
      <sheetName val="G402."/>
      <sheetName val="refernce red invoice"/>
      <sheetName val="F800"/>
      <sheetName val="F104-产成品"/>
      <sheetName val="PL-2015.11"/>
      <sheetName val="CY2015 分配股利"/>
      <sheetName val="FY2015 - year end migration"/>
      <sheetName val="Par"/>
      <sheetName val="Bilanz"/>
      <sheetName val="GuV(LM)"/>
      <sheetName val="GuV(LM) (kurz)"/>
      <sheetName val="Plan (kurze)"/>
      <sheetName val="Plan"/>
      <sheetName val="U601"/>
      <sheetName val="3.1 项目产品业态表"/>
      <sheetName val="其他应付款"/>
      <sheetName val="其他应收款第三方 "/>
      <sheetName val="StaticCodeListTemplate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8分期发出"/>
      <sheetName val="3-10-9在用低值"/>
      <sheetName val="Y2研发项目表"/>
      <sheetName val="Market Analysis &amp; Sales Project"/>
      <sheetName val="Heads"/>
      <sheetName val="POLYOLEFINS"/>
      <sheetName val="data 3A|6A"/>
      <sheetName val="DLDB10"/>
      <sheetName val="Staff List"/>
      <sheetName val="INTER-CO"/>
      <sheetName val="DATA in"/>
      <sheetName val="Expense Report"/>
      <sheetName val="Account List"/>
      <sheetName val="PROOF"/>
      <sheetName val="list"/>
      <sheetName val="改良考虑因素"/>
      <sheetName val="Sheet2"/>
      <sheetName val="银行存款"/>
      <sheetName val="RMB-Group"/>
      <sheetName val="Pcos"/>
      <sheetName val="Initial"/>
      <sheetName val="Code"/>
      <sheetName val="BU Parameters"/>
      <sheetName val="BU-Filter"/>
      <sheetName val="Filter"/>
      <sheetName val="Activity Coding"/>
      <sheetName val="BU-WK Jan"/>
      <sheetName val="BU-WK Feb"/>
      <sheetName val="Treasury"/>
      <sheetName val="披露表(上市)"/>
      <sheetName val="US Bal_Sheet"/>
      <sheetName val="JUly97"/>
      <sheetName val="C"/>
      <sheetName val="Safari09"/>
      <sheetName val="FAB별"/>
      <sheetName val="B646"/>
      <sheetName val="Rules"/>
      <sheetName val="损益附注"/>
      <sheetName val="A300-2014-20171231"/>
      <sheetName val="时间性差异表-固定资产、无形资产、开办费、递延收益"/>
      <sheetName val="Sheet1 (11)"/>
      <sheetName val="管理费用审核表"/>
      <sheetName val="2004.12.31"/>
      <sheetName val="2005.10.31"/>
      <sheetName val="A3 Sum"/>
      <sheetName val="报表科目 (2)"/>
      <sheetName val="PNL"/>
      <sheetName val="Loan Data"/>
      <sheetName val="COMP"/>
      <sheetName val="MV"/>
      <sheetName val="#REF!"/>
      <sheetName val="Ex_Rate"/>
      <sheetName val="Input - perm items"/>
      <sheetName val="Input - temp differences"/>
      <sheetName val="Input"/>
      <sheetName val="F1100芯片测试费_2"/>
      <sheetName val="O_Lead1"/>
      <sheetName val="AR_Trend1"/>
      <sheetName val="Bad_Debt_Reserve_Trend1"/>
      <sheetName val="Bad_Debt_Reserve_calc1"/>
      <sheetName val="A_R_011"/>
      <sheetName val="Customize_Your_Purchase_Order1"/>
      <sheetName val="Purchase_Order1"/>
      <sheetName val="itnernal_sales1"/>
      <sheetName val="std_prod_costs1"/>
      <sheetName val="Drop_List_References1"/>
      <sheetName val="Stock_Analysis1"/>
      <sheetName val="HL_A31"/>
      <sheetName val="Client_CPYA_clear1"/>
      <sheetName val="Validation_source1"/>
      <sheetName val="F140-090630_异地库存货1"/>
      <sheetName val="Financial_Statistics1"/>
      <sheetName val="Original_Stefan1"/>
      <sheetName val="M_Schedules1"/>
      <sheetName val="Combined_FS_20101"/>
      <sheetName val="U120-GP_by_Product1"/>
      <sheetName val="__mis-ple__1"/>
      <sheetName val="FA_Addition1"/>
      <sheetName val="Backward_Calculation1"/>
      <sheetName val="All_Cash_Dil1"/>
      <sheetName val="Consolidation_Rates1"/>
      <sheetName val="bc_china-关联方1"/>
      <sheetName val="Giant_Eddia&amp;ICP&amp;Wofe-C3001"/>
      <sheetName val="Sch_241"/>
      <sheetName val="5_-_ASSETS1"/>
      <sheetName val="Basic_Data1"/>
      <sheetName val="Item_Info_1"/>
      <sheetName val="CY_sales_report1"/>
      <sheetName val="Pending_price_by_customer1"/>
      <sheetName val="U-Lead2014_"/>
      <sheetName val="Sales_contracts"/>
      <sheetName val="Base_Info"/>
      <sheetName val="Fixed_vs_Var"/>
      <sheetName val="COGS_reconcile"/>
      <sheetName val="A3-Per_EY"/>
      <sheetName val="Beg-_End_balance1"/>
      <sheetName val="P&amp;L_Consol"/>
      <sheetName val="AR&amp;OR_List"/>
      <sheetName val="资产评估结果分类汇总表_(2)"/>
      <sheetName val="滤饼_98"/>
      <sheetName val="U_510"/>
      <sheetName val="Understand_the_client"/>
      <sheetName val="sheet_1"/>
      <sheetName val="K222-fully_deprecia"/>
      <sheetName val="P_&amp;_L_Account"/>
      <sheetName val="G402_"/>
      <sheetName val="refernce_red_invoice"/>
      <sheetName val="PL-2015_11"/>
      <sheetName val="CY2015_分配股利"/>
      <sheetName val="FY2015_-_year_end_migration"/>
      <sheetName val="2017年JE_0207ver"/>
      <sheetName val="iData_Parameters"/>
      <sheetName val="其他应收款第三方_"/>
      <sheetName val="GuV(LM)_(kurz)"/>
      <sheetName val="Plan_(kurze)"/>
      <sheetName val="Account_List"/>
      <sheetName val="DATA_in"/>
      <sheetName val="Expense_Report"/>
      <sheetName val="3_1_项目产品业态表"/>
      <sheetName val="US_Bal_Sheet"/>
      <sheetName val="Stores Daily Report by category"/>
      <sheetName val="F1100芯片测试费_3"/>
      <sheetName val="O_Lead2"/>
      <sheetName val="AR_Trend2"/>
      <sheetName val="Bad_Debt_Reserve_Trend2"/>
      <sheetName val="Bad_Debt_Reserve_calc2"/>
      <sheetName val="A_R_012"/>
      <sheetName val="Customize_Your_Purchase_Order2"/>
      <sheetName val="Purchase_Order2"/>
      <sheetName val="itnernal_sales2"/>
      <sheetName val="std_prod_costs2"/>
      <sheetName val="Drop_List_References2"/>
      <sheetName val="Stock_Analysis2"/>
      <sheetName val="HL_A32"/>
      <sheetName val="Client_CPYA_clear2"/>
      <sheetName val="Validation_source2"/>
      <sheetName val="F140-090630_异地库存货2"/>
      <sheetName val="Financial_Statistics2"/>
      <sheetName val="Original_Stefan2"/>
      <sheetName val="M_Schedules2"/>
      <sheetName val="Combined_FS_20102"/>
      <sheetName val="U120-GP_by_Product2"/>
      <sheetName val="__mis-ple__2"/>
      <sheetName val="FA_Addition2"/>
      <sheetName val="Backward_Calculation2"/>
      <sheetName val="All_Cash_Dil2"/>
      <sheetName val="Consolidation_Rates2"/>
      <sheetName val="bc_china-关联方2"/>
      <sheetName val="Giant_Eddia&amp;ICP&amp;Wofe-C3002"/>
      <sheetName val="Sch_242"/>
      <sheetName val="5_-_ASSETS2"/>
      <sheetName val="Basic_Data2"/>
      <sheetName val="Item_Info_2"/>
      <sheetName val="CY_sales_report2"/>
      <sheetName val="Pending_price_by_customer2"/>
      <sheetName val="U-Lead2014_1"/>
      <sheetName val="Sales_contracts1"/>
      <sheetName val="Base_Info1"/>
      <sheetName val="Fixed_vs_Var1"/>
      <sheetName val="COGS_reconcile1"/>
      <sheetName val="A3-Per_EY1"/>
      <sheetName val="Beg-_End_balance2"/>
      <sheetName val="P&amp;L_Consol1"/>
      <sheetName val="AR&amp;OR_List1"/>
      <sheetName val="资产评估结果分类汇总表_(2)1"/>
      <sheetName val="滤饼_981"/>
      <sheetName val="U_5101"/>
      <sheetName val="Understand_the_client1"/>
      <sheetName val="sheet_11"/>
      <sheetName val="K222-fully_deprecia1"/>
      <sheetName val="P_&amp;_L_Account1"/>
      <sheetName val="G402_1"/>
      <sheetName val="refernce_red_invoice1"/>
      <sheetName val="PL-2015_111"/>
      <sheetName val="CY2015_分配股利1"/>
      <sheetName val="FY2015_-_year_end_migration1"/>
      <sheetName val="2017年JE_0207ver1"/>
      <sheetName val="iData_Parameters1"/>
      <sheetName val="其他应收款第三方_1"/>
      <sheetName val="GuV(LM)_(kurz)1"/>
      <sheetName val="Plan_(kurze)1"/>
      <sheetName val="Account_List1"/>
      <sheetName val="DATA_in1"/>
      <sheetName val="Expense_Report1"/>
      <sheetName val="3_1_项目产品业态表1"/>
      <sheetName val="US_Bal_Sheet1"/>
      <sheetName val="SUPTRAF"/>
      <sheetName val="核算项目匹配"/>
      <sheetName val=""/>
      <sheetName val="热力"/>
      <sheetName val="実績SK"/>
      <sheetName val="ACTINV"/>
      <sheetName val="Tennancy"/>
      <sheetName val="Monomers"/>
      <sheetName val="2014"/>
      <sheetName val="UFPrn20010206163251"/>
      <sheetName val="U112-by month"/>
      <sheetName val="TITLE"/>
      <sheetName val="IS Summary-96"/>
      <sheetName val="Romford Market"/>
      <sheetName val="02年1-2月营业费用部门明细"/>
      <sheetName val="TEV Multiples"/>
      <sheetName val="Summary Financials"/>
      <sheetName val="srcsuses"/>
      <sheetName val="Income Statement"/>
      <sheetName val="WACC"/>
      <sheetName val="Valuation Parameters"/>
      <sheetName val="test IRR"/>
      <sheetName val="1、合同要素目录"/>
      <sheetName val="REVALUATION-Jul-02"/>
      <sheetName val="FINANCIALS"/>
      <sheetName val="Factset"/>
      <sheetName val="Sum"/>
      <sheetName val="Assumptions"/>
      <sheetName val="Feb Allocation%"/>
      <sheetName val="P&amp;L_worksheet"/>
      <sheetName val="AP_Accrued"/>
      <sheetName val="4月分摊比例"/>
      <sheetName val="P&amp;L透视数据"/>
      <sheetName val="P&amp;L调整数据"/>
      <sheetName val="Ass"/>
      <sheetName val="Cash"/>
      <sheetName val="Fin_Ass"/>
      <sheetName val="Debt"/>
      <sheetName val="Cover_封面"/>
      <sheetName val="CoCos_Segments"/>
      <sheetName val="Lead "/>
      <sheetName val="Assumption"/>
      <sheetName val="Depn"/>
      <sheetName val="Operations"/>
      <sheetName val="BSDataPts"/>
      <sheetName val="Personal property HZ"/>
      <sheetName val="应付账款AP"/>
      <sheetName val="U210'_"/>
      <sheetName val="分类索引"/>
      <sheetName val="A300"/>
      <sheetName val="Parameter"/>
      <sheetName val="9609추"/>
      <sheetName val="Bloomberg"/>
      <sheetName val="Datastream_IBES"/>
      <sheetName val="DB_Estimates"/>
      <sheetName val="Loan Details"/>
      <sheetName val="19.4disc"/>
      <sheetName val="GB11"/>
      <sheetName val="Inflow non-PS detail"/>
      <sheetName val="Acquiror"/>
      <sheetName val="Model Assumptions"/>
      <sheetName val="wCodeTable"/>
      <sheetName val="Deal"/>
      <sheetName val="Deal Summary"/>
      <sheetName val="Target"/>
      <sheetName val="Scoping"/>
      <sheetName val="Drop down"/>
      <sheetName val="U110_月度产品销售"/>
      <sheetName val="U140_月度佣金及质保"/>
      <sheetName val="流量表编制"/>
      <sheetName val="上报资产负债表"/>
      <sheetName val="补充表"/>
      <sheetName val="RE Mov't"/>
      <sheetName val="2002"/>
      <sheetName val="01"/>
      <sheetName val="Normal Opn Detail"/>
      <sheetName val="Forecast"/>
      <sheetName val="Market_Analysis_&amp;_Sales_Project"/>
      <sheetName val="data_3A|6A"/>
      <sheetName val="Staff_List"/>
      <sheetName val="Sheet1_(11)"/>
      <sheetName val="BU_Parameters"/>
      <sheetName val="Activity_Coding"/>
      <sheetName val="BU-WK_Jan"/>
      <sheetName val="BU-WK_Feb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CY sales report"/>
      <sheetName val="Sheet1"/>
      <sheetName val="Sheet2"/>
      <sheetName val="Sheet3"/>
      <sheetName val="Vendor Data"/>
      <sheetName val="master"/>
      <sheetName val="基本信息输入"/>
      <sheetName val="Consol BS"/>
      <sheetName val="HO &amp; Aust BS"/>
      <sheetName val="F130&quot;"/>
      <sheetName val="K100"/>
      <sheetName val="K140"/>
      <sheetName val="控制清单"/>
      <sheetName val="O.所得税"/>
      <sheetName val="參數"/>
      <sheetName val="廠商編號"/>
      <sheetName val="E1020"/>
      <sheetName val="企业表一"/>
      <sheetName val="M-5C"/>
      <sheetName val="M-5A"/>
      <sheetName val="LIST"/>
      <sheetName val="Source"/>
      <sheetName val="cr余额"/>
      <sheetName val="关联交易-存款"/>
      <sheetName val="Sens"/>
      <sheetName val="Control"/>
      <sheetName val="帐龄表附表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Setup"/>
      <sheetName val="FA"/>
      <sheetName val="E100"/>
      <sheetName val="F1910"/>
      <sheetName val="资产负债表"/>
      <sheetName val="GA"/>
      <sheetName val="AR"/>
      <sheetName val="销售"/>
      <sheetName val="Expense summary"/>
      <sheetName val="2008.10.27-31日实际出库明细"/>
      <sheetName val="Sales ADJ 2008.1-10"/>
      <sheetName val="财务费用明细表"/>
      <sheetName val="长期待摊费用明细表"/>
      <sheetName val="Cover &amp; setup"/>
      <sheetName val="预付0907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设备部房屋"/>
      <sheetName val="G200"/>
      <sheetName val="2008"/>
      <sheetName val="银行借款询证"/>
      <sheetName val="K401"/>
      <sheetName val="合并底稿-自营"/>
      <sheetName val="P500-预提费用明细表"/>
      <sheetName val="XL4Poppy"/>
      <sheetName val="Data"/>
      <sheetName val="D4RP"/>
      <sheetName val="LinkData"/>
      <sheetName val="Comparative Balance Sheet"/>
      <sheetName val="PRC"/>
      <sheetName val="INVDAYS"/>
      <sheetName val="N102"/>
      <sheetName val="电子库龄"/>
      <sheetName val="F306"/>
      <sheetName val="A3"/>
      <sheetName val="CRA-Detail"/>
      <sheetName val="总分类账"/>
      <sheetName val="审核2"/>
      <sheetName val="for disclosure"/>
      <sheetName val="核算项目余额表"/>
      <sheetName val="所得税凭证抽查"/>
      <sheetName val="Sheet9"/>
      <sheetName val="FA Breakdown"/>
      <sheetName val="XREF"/>
      <sheetName val="other comments"/>
      <sheetName val="#REF!"/>
      <sheetName val="三家其他应付公司"/>
      <sheetName val="盘存还原"/>
      <sheetName val="外汇付款计划"/>
      <sheetName val="Third party"/>
      <sheetName val=""/>
      <sheetName val="Reference"/>
      <sheetName val="Sheet1 (11)"/>
      <sheetName val="营业外"/>
      <sheetName val="其他货币资金.dbf"/>
      <sheetName val="银行存款.dbf"/>
      <sheetName val="生产成本账"/>
      <sheetName val="标实对比表"/>
      <sheetName val="其他应收款－个人借款明细"/>
      <sheetName val="提足折旧"/>
      <sheetName val="应付职工薪酬"/>
      <sheetName val="银行存款核对表"/>
      <sheetName val="G1-1营业收入审定表"/>
      <sheetName val="会计科目表"/>
      <sheetName val="应收票据函证控制表"/>
      <sheetName val="summary "/>
      <sheetName val="广告费测试表"/>
      <sheetName val="Summary"/>
      <sheetName val="2002年关联方余额及交易"/>
      <sheetName val="56271-2"/>
      <sheetName val="应收款"/>
      <sheetName val="预付款"/>
      <sheetName val="包增减变动"/>
      <sheetName val="明细分类账"/>
      <sheetName val="eqpmad2"/>
      <sheetName val="POWER ASSUMPTIONS"/>
      <sheetName val="房屋及建筑物"/>
      <sheetName val="DTCT"/>
      <sheetName val="清单12.31"/>
      <sheetName val="Mp-team 1"/>
      <sheetName val="UFPrn20030305081341"/>
      <sheetName val="BS"/>
      <sheetName val="PL"/>
      <sheetName val="TB"/>
      <sheetName val="Movement"/>
      <sheetName val="土建-全钢一期二期"/>
      <sheetName val="其他土建"/>
      <sheetName val="G.1R-Shou COP Gf"/>
      <sheetName val="Main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YS02-02"/>
      <sheetName val="资产负债表(本部原报)"/>
      <sheetName val="科目余额表正式"/>
      <sheetName val="营业收入审定表"/>
      <sheetName val="PIT"/>
      <sheetName val="٥Ā应"/>
      <sheetName val="dxnsjtempsheet"/>
      <sheetName val="erp测算"/>
      <sheetName val="Links"/>
      <sheetName val="Lead"/>
      <sheetName val="存货程序表"/>
      <sheetName val="基本信息"/>
      <sheetName val="余良卿9月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函证汇总表"/>
      <sheetName val="Tickmarks"/>
      <sheetName val="Sales branch breakdown"/>
      <sheetName val="审计调整"/>
      <sheetName val="索引"/>
      <sheetName val="营业费用Dy"/>
      <sheetName val="主营业务收入Dy"/>
      <sheetName val="应缴增值税测算明细表（按月）"/>
      <sheetName val="Open"/>
      <sheetName val="应付帐款明细表1-12月"/>
      <sheetName val="56330-账面 (2)"/>
      <sheetName val="会计科目"/>
      <sheetName val="PER SALES ORG"/>
      <sheetName val="盈余公积 （合并)"/>
      <sheetName val="标本-资产"/>
      <sheetName val="合"/>
      <sheetName val="Validation source"/>
      <sheetName val="合并抵销"/>
      <sheetName val="客户基本概况表"/>
      <sheetName val="总部调整"/>
      <sheetName val="汇总抵消"/>
      <sheetName val="SI"/>
      <sheetName val="账面外销"/>
      <sheetName val="附表10"/>
      <sheetName val="Repayment Summary"/>
      <sheetName val="新准则TB"/>
      <sheetName val="3331"/>
      <sheetName val="3334"/>
      <sheetName val="3388"/>
      <sheetName val="3389"/>
      <sheetName val="4213"/>
      <sheetName val="5357"/>
      <sheetName val="8066"/>
      <sheetName val="审定BS"/>
      <sheetName val="审定IN"/>
      <sheetName val="其他科目"/>
      <sheetName val="原材料（系统）"/>
      <sheetName val="Sale summary"/>
      <sheetName val="2007年其他应收款明细表 (2)"/>
      <sheetName val="利息分配检查表"/>
      <sheetName val="明细表"/>
      <sheetName val="长期借款程序表"/>
      <sheetName val="W"/>
      <sheetName val="管理费用程序表"/>
      <sheetName val="OR Breakdown"/>
      <sheetName val="权益变动"/>
      <sheetName val="科目名称表"/>
      <sheetName val="原报调整分录"/>
      <sheetName val="审计调整分录"/>
      <sheetName val="抽查表"/>
      <sheetName val="南通对尚玛可销售开票汇总表"/>
      <sheetName val="入库截止测试-原材料"/>
      <sheetName val="银行存款明细表"/>
      <sheetName val="HPGR LAB sw"/>
      <sheetName val="预付账款汇总表"/>
      <sheetName val="113301"/>
      <sheetName val="基础数据"/>
      <sheetName val="原材料-纸张帐"/>
      <sheetName val="库存商品余额表.dbf"/>
      <sheetName val="差异调整97"/>
      <sheetName val="param"/>
      <sheetName val="完"/>
      <sheetName val="UFPrn20050217103510"/>
      <sheetName val="Profile"/>
      <sheetName val="Ideal World A3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I"/>
      <sheetName val="销售毛利分析"/>
      <sheetName val="调整分录表"/>
      <sheetName val="产品销售收入与成本明细表"/>
      <sheetName val="accode"/>
      <sheetName val="Start"/>
      <sheetName val="AS-1"/>
      <sheetName val="AS-3"/>
      <sheetName val="AS-C"/>
      <sheetName val="AS-E"/>
      <sheetName val="AS-P1"/>
      <sheetName val="封面"/>
      <sheetName val="E"/>
      <sheetName val="5201.2004"/>
      <sheetName val="净值"/>
      <sheetName val="CS02"/>
      <sheetName val="Business Unit"/>
      <sheetName val="F101"/>
      <sheetName val="F1"/>
      <sheetName val="2weeeks All  Excess and Shortag"/>
      <sheetName val="应收票据(关联方)"/>
      <sheetName val="Business_Unit"/>
      <sheetName val="2weeeks_All__Excess_and_Shortag"/>
      <sheetName val="Sign Off Form"/>
      <sheetName val="実績SK"/>
      <sheetName val="选择报表"/>
      <sheetName val="H R"/>
      <sheetName val="dept"/>
      <sheetName val="INDEX"/>
      <sheetName val="Tables"/>
      <sheetName val="TSNO-DC"/>
      <sheetName val="12月到货 "/>
      <sheetName val="ANALYSEN"/>
      <sheetName val="N100"/>
      <sheetName val="价格"/>
      <sheetName val="A300"/>
      <sheetName val="部门"/>
      <sheetName val="Dep.HK"/>
      <sheetName val="PRESENTATION"/>
      <sheetName val="Rate"/>
      <sheetName val="DEP"/>
      <sheetName val="3-1-1现金"/>
      <sheetName val="FF-21(a)"/>
      <sheetName val="A"/>
      <sheetName val="UFPrn20021113090847"/>
      <sheetName val="Comp equip"/>
      <sheetName val="Mach &amp; equip"/>
      <sheetName val="WORKING"/>
      <sheetName val="J&amp;Q"/>
      <sheetName val="A430"/>
      <sheetName val="GB"/>
      <sheetName val="analyse"/>
      <sheetName val="BOX SUM"/>
      <sheetName val="FIN GOOD"/>
      <sheetName val="K110"/>
      <sheetName val="G210"/>
      <sheetName val="O111"/>
      <sheetName val="zero (3)"/>
      <sheetName val="12月到货_"/>
      <sheetName val="Newsheet"/>
      <sheetName val="MasterList"/>
      <sheetName val="U301"/>
      <sheetName val="0898"/>
      <sheetName val="SUDAREA"/>
      <sheetName val="F-B"/>
      <sheetName val="App1 Entities sequence number"/>
      <sheetName val="G110"/>
      <sheetName val="U600-投资收益"/>
      <sheetName val="员工工资"/>
      <sheetName val="表二甲机务F型"/>
      <sheetName val="数量统计"/>
      <sheetName val="在产品成本计算XPC,FR2(3)"/>
      <sheetName val="个人欠款账龄分析表"/>
      <sheetName val="存货明细2002"/>
      <sheetName val="產成品收發明細表5"/>
      <sheetName val="營業額比較表"/>
      <sheetName val="accumdeprn"/>
      <sheetName val="Parameters"/>
      <sheetName val="VAS TB"/>
      <sheetName val="FF-6"/>
      <sheetName val="F40-Goodsin transit"/>
      <sheetName val="SAD Conclusion"/>
      <sheetName val="其他营业收入调整"/>
      <sheetName val="2002年12月预"/>
      <sheetName val="本部审计调整"/>
      <sheetName val="mat'lSH"/>
      <sheetName val="WORDTAB"/>
      <sheetName val="DEP12"/>
      <sheetName val="TT04"/>
      <sheetName val="APP6C"/>
      <sheetName val="Within"/>
      <sheetName val="Pls do not delete"/>
      <sheetName val="NAME"/>
      <sheetName val="I1"/>
      <sheetName val="FSA"/>
      <sheetName val="Mapping table"/>
      <sheetName val="其他业务利润明细表"/>
      <sheetName val="投资收益明细表"/>
      <sheetName val="未交税金明细表"/>
      <sheetName val="物料编码"/>
      <sheetName val="C1"/>
      <sheetName val="C1-1"/>
      <sheetName val="C2"/>
      <sheetName val="C3"/>
      <sheetName val="C4"/>
      <sheetName val="C5"/>
      <sheetName val="F"/>
      <sheetName val="F2"/>
      <sheetName val="F3"/>
      <sheetName val="G1"/>
      <sheetName val="G1-1"/>
      <sheetName val="G1-1.1"/>
      <sheetName val="G1-2"/>
      <sheetName val="G2"/>
      <sheetName val="G2-1"/>
      <sheetName val="G3"/>
      <sheetName val="H"/>
      <sheetName val="H1"/>
      <sheetName val="H1-1"/>
      <sheetName val="H2"/>
      <sheetName val="J"/>
      <sheetName val="K"/>
      <sheetName val="K1"/>
      <sheetName val="K2"/>
      <sheetName val="K3"/>
      <sheetName val="K4"/>
      <sheetName val="K5"/>
      <sheetName val="K6"/>
      <sheetName val="L1"/>
      <sheetName val="L2"/>
      <sheetName val="M"/>
      <sheetName val="M1"/>
      <sheetName val="N"/>
      <sheetName val="N1"/>
      <sheetName val="O"/>
      <sheetName val="P1"/>
      <sheetName val="P2"/>
      <sheetName val="P2-1"/>
      <sheetName val="P2-2"/>
      <sheetName val="P3"/>
      <sheetName val="P4"/>
      <sheetName val="P5"/>
      <sheetName val="P6"/>
      <sheetName val="P7"/>
      <sheetName val="Q1"/>
      <sheetName val="Q2"/>
      <sheetName val="S1"/>
      <sheetName val="S2"/>
      <sheetName val="S3"/>
      <sheetName val="S4"/>
      <sheetName val="T"/>
      <sheetName val="U1"/>
      <sheetName val="U1-1"/>
      <sheetName val="U1-2"/>
      <sheetName val="U1-3"/>
      <sheetName val="U2"/>
      <sheetName val="U2-1"/>
      <sheetName val="U3"/>
      <sheetName val="U4"/>
      <sheetName val="U5"/>
      <sheetName val="U6"/>
      <sheetName val="U7"/>
      <sheetName val="U8"/>
      <sheetName val="U9"/>
      <sheetName val="U10"/>
      <sheetName val="U11"/>
      <sheetName val="U12"/>
      <sheetName val="V1"/>
      <sheetName val="V2"/>
      <sheetName val="ES"/>
      <sheetName val="dm"/>
      <sheetName val="d&amp;m&amp;c"/>
      <sheetName val="PAGE1"/>
      <sheetName val="K311 A_List02"/>
      <sheetName val="  listing  "/>
      <sheetName val="流资汇总"/>
      <sheetName val="贴现2003"/>
      <sheetName val="贴现2002"/>
      <sheetName val="贴现(总表)"/>
      <sheetName val="表外项目-银行承兑汇票"/>
      <sheetName val="贷款清单2002"/>
      <sheetName val="贷款清单2003"/>
      <sheetName val="Disposition"/>
      <sheetName val="Collateral"/>
      <sheetName val="Accruing"/>
      <sheetName val="Discounting"/>
      <sheetName val="Holidays"/>
      <sheetName val="FC switches"/>
      <sheetName val="DCH_Prem"/>
      <sheetName val="OutSum"/>
      <sheetName val="U210' "/>
      <sheetName val="中山低值"/>
      <sheetName val="ZLR1"/>
      <sheetName val="加工费"/>
      <sheetName val="AGRO-DATA"/>
      <sheetName val="成本"/>
      <sheetName val="FF-4"/>
      <sheetName val="补贴收入( other income)"/>
      <sheetName val="利润表"/>
      <sheetName val="试算平衡表"/>
      <sheetName val="明细号"/>
      <sheetName val="科目余额表"/>
      <sheetName val="存货跌价明细"/>
      <sheetName val="U210'_"/>
      <sheetName val="Pile径1m･27"/>
      <sheetName val="Exp.-04"/>
      <sheetName val="A.R 01"/>
      <sheetName val="kczj0312"/>
      <sheetName val="国产件1"/>
      <sheetName val="报废备件"/>
      <sheetName val="KD批次、封存件"/>
      <sheetName val="T  B"/>
      <sheetName val="数外余额"/>
      <sheetName val="其他应付款4-12月份明细表"/>
      <sheetName val="捐赠支出未列支全部2005"/>
      <sheetName val="P300"/>
      <sheetName val="AFEMAI"/>
      <sheetName val="Data List"/>
      <sheetName val="loan database"/>
      <sheetName val="M_1_1"/>
      <sheetName val="TAX"/>
      <sheetName val="Transl"/>
      <sheetName val="6月"/>
      <sheetName val="TAX COM"/>
      <sheetName val="ws9"/>
      <sheetName val="F300"/>
      <sheetName val="科目余额表_应付_全年"/>
      <sheetName val="科目余额表_应付_下半年"/>
      <sheetName val="科目余额表_应收_全年"/>
      <sheetName val="科目余额表_应收_下半年"/>
      <sheetName val="科目余额表_预付_全年"/>
      <sheetName val="科目余额表_预付_下半年"/>
      <sheetName val="科目余额表_预收_全年"/>
      <sheetName val="科目余额表_预收_下半年"/>
      <sheetName val="TOP10"/>
      <sheetName val="7a.Other Inc Exp"/>
      <sheetName val="上报资产负债表"/>
      <sheetName val="上报损益表"/>
      <sheetName val="补充表"/>
      <sheetName val="FlexData"/>
      <sheetName val="ETB"/>
      <sheetName val="威娜"/>
      <sheetName val="FA Addition"/>
      <sheetName val="Setting"/>
      <sheetName val="4TW_BS"/>
      <sheetName val="Karin(SH)"/>
      <sheetName val="Confirmation"/>
      <sheetName val="gia vt,nc,may"/>
      <sheetName val="F2100-半成品"/>
      <sheetName val="F2000-委托加工物资"/>
      <sheetName val="F1000芯片"/>
      <sheetName val="F1100芯片测试费 "/>
      <sheetName val="preopen-u"/>
      <sheetName val="Chart of acct "/>
      <sheetName val="韩国中兴Futuretel"/>
      <sheetName val="BALANCE SHEET"/>
      <sheetName val="Sum"/>
      <sheetName val="N4200"/>
      <sheetName val="N1010"/>
      <sheetName val="N100-BJ"/>
      <sheetName val="N7100 -TJ"/>
      <sheetName val="N3200"/>
      <sheetName val="#REF"/>
      <sheetName val="1999 Plan Summary"/>
      <sheetName val="CAN DOI - KET QUA"/>
      <sheetName val="O1"/>
      <sheetName val="WORDs"/>
      <sheetName val="ZKA2_lista"/>
      <sheetName val="Dep_HK"/>
      <sheetName val="2003年主营产品销售按地区"/>
      <sheetName val="U320-TreatyBreakdown_财产险"/>
      <sheetName val="U340-TreatyBreakdown_船舶险"/>
      <sheetName val="FDREPORT"/>
      <sheetName val="E120K"/>
      <sheetName val="B 调整hy A(B2)020116.xls]运煤预"/>
      <sheetName val="02"/>
      <sheetName val="ASSLIST2.XLS"/>
      <sheetName val="Ã«ÀûÂÊ·ÖÎö±í"/>
      <sheetName val="A3 &amp; U 09-01"/>
      <sheetName val="Description"/>
      <sheetName val="资产负债表 (续)"/>
      <sheetName val="M2应交税费导引表"/>
      <sheetName val="P&amp;L Items"/>
      <sheetName val="M_5A"/>
      <sheetName val="M_5C"/>
      <sheetName val="____"/>
      <sheetName val="B?"/>
      <sheetName val="B"/>
      <sheetName val="B8"/>
      <sheetName val="H101(OK)"/>
      <sheetName val="A包装物"/>
      <sheetName val="C包装物"/>
      <sheetName val="材料明细账"/>
      <sheetName val="Be"/>
      <sheetName val="Price List"/>
      <sheetName val="管理费用明细"/>
      <sheetName val="Bgሀြ0슌沅"/>
      <sheetName val="Bgैာ4슌櫂"/>
      <sheetName val="4月回款"/>
      <sheetName val="4月销售"/>
      <sheetName val="資料"/>
      <sheetName val="Inventory"/>
      <sheetName val="Aging-ARSum"/>
      <sheetName val="item master"/>
      <sheetName val="台账"/>
      <sheetName val="首页"/>
      <sheetName val="08SELLING"/>
      <sheetName val="Financial Overview"/>
      <sheetName val="EXPENSES"/>
      <sheetName val="PTC"/>
      <sheetName val="Data - Raw Material"/>
      <sheetName val="固定资产2001年折旧"/>
      <sheetName val="审前BS"/>
      <sheetName val="审定BS报出"/>
      <sheetName val="TB IN"/>
      <sheetName val="审定IN报出"/>
      <sheetName val="审前IN"/>
      <sheetName val="科目表"/>
      <sheetName val="查证1"/>
      <sheetName val="应收明细账"/>
      <sheetName val="其他应付单位往来"/>
      <sheetName val="资产负债表调整过程表"/>
      <sheetName val="利润调整过程表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收入成本表"/>
      <sheetName val="UFPrn20070127142303"/>
      <sheetName val="Excess Calc"/>
      <sheetName val="Breakdown-Intrim"/>
      <sheetName val="资产负债表及损益表"/>
      <sheetName val="重要内部交易"/>
      <sheetName val="124301 查询"/>
      <sheetName val="经贸库存商品"/>
      <sheetName val="公司管理费用"/>
      <sheetName val="跨期运保费抽查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数据索引"/>
      <sheetName val="材料消耗"/>
      <sheetName val="其他液氨采购"/>
      <sheetName val="10月佳通债务转移分析"/>
      <sheetName val="TIS"/>
      <sheetName val="应付账款审定表（2）"/>
      <sheetName val="利过本部Y"/>
      <sheetName val="整车盘点表"/>
      <sheetName val="应收账款明细表"/>
      <sheetName val="户名"/>
      <sheetName val="B厂"/>
      <sheetName val="恒昌铜炼"/>
      <sheetName val="内销硫酸期初"/>
      <sheetName val="OR Aging summary"/>
      <sheetName val="合成単価作成・-BLDG"/>
      <sheetName val="2.25"/>
      <sheetName val="09年1-7月销售发票"/>
      <sheetName val="1月"/>
      <sheetName val="3月"/>
      <sheetName val="9号库账务调整"/>
      <sheetName val="外库历年总费用及库存量"/>
      <sheetName val="2006"/>
      <sheetName val="折旧测试2007"/>
      <sheetName val="其他应付单位"/>
      <sheetName val="科目余额表-最终"/>
      <sheetName val="2000年信托利润表汇总"/>
      <sheetName val="收入成本明细表"/>
      <sheetName val="工程施工与结算"/>
      <sheetName val="现金账6月-1"/>
      <sheetName val="收入、成本、收款"/>
      <sheetName val="KKKKKKKK"/>
      <sheetName val="银行存、借款及票据函证统计表"/>
      <sheetName val="岗位工资"/>
      <sheetName val="销售费用程序表"/>
      <sheetName val="审计程序"/>
      <sheetName val="其他科目"/>
      <sheetName val="000065"/>
      <sheetName val="BURDEN99"/>
      <sheetName val="data - DO NOT DELETE"/>
      <sheetName val="三分厂04年1-12月销售价 "/>
      <sheetName val="05年1月销售价"/>
      <sheetName val="04年12月销售价"/>
      <sheetName val="Australia"/>
      <sheetName val="案件予算2011G"/>
      <sheetName val="内部购入存货明细表"/>
      <sheetName val="情况表"/>
      <sheetName val="Understand the client"/>
      <sheetName val="Bokslutsprocessen"/>
      <sheetName val="Indata"/>
      <sheetName val="CRA"/>
      <sheetName val="FA EB+YY"/>
      <sheetName val="物资采购含税转出"/>
      <sheetName val="XBase"/>
      <sheetName val="BDC Raw Data"/>
      <sheetName val="外销涤布"/>
      <sheetName val="基础信息"/>
      <sheetName val="5月"/>
      <sheetName val="MY"/>
      <sheetName val="05.7工资分析"/>
      <sheetName val="表5_2_1固定资产—机器设备"/>
      <sheetName val="成本法-决算调整法"/>
      <sheetName val="4-6-1房屋建筑物"/>
      <sheetName val="#511BkRec"/>
      <sheetName val="#511-SEPT97"/>
      <sheetName val="#511-OCT97"/>
      <sheetName val="#511-NOV97"/>
      <sheetName val="Translate"/>
      <sheetName val="Navigation"/>
      <sheetName val="F113-04"/>
      <sheetName val="Pivat_CNENS"/>
      <sheetName val="orignal"/>
      <sheetName val="153541"/>
      <sheetName val="TAX SCHEDULE"/>
      <sheetName val="U 510"/>
      <sheetName val="E1"/>
      <sheetName val="实收资本"/>
      <sheetName val="B 调整hy A(B2)020116.xls_运煤预"/>
      <sheetName val="B_"/>
      <sheetName val="B8"/>
      <sheetName val="Bgሀြ0슌沅"/>
      <sheetName val="Bgैာ4슌櫂"/>
      <sheetName val="附表6"/>
      <sheetName val="_x005f_x0000__x005f_x0000__x005f_x0000__x005f_x0000__x0"/>
      <sheetName val="Definitions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分类"/>
      <sheetName val="Liabrary"/>
      <sheetName val="200612-return report"/>
      <sheetName val="newcost"/>
      <sheetName val="Part_Datum"/>
      <sheetName val="已审CF"/>
      <sheetName val="科目名称"/>
      <sheetName val="Invoice"/>
      <sheetName val="Customize Your Invoice"/>
      <sheetName val="Historic BS"/>
      <sheetName val="工作表目录"/>
      <sheetName val="zb"/>
      <sheetName val="联社营业部"/>
      <sheetName val="桂城信社"/>
      <sheetName val="平洲信社"/>
      <sheetName val="盐步信社"/>
      <sheetName val="大沥信社"/>
      <sheetName val="里水信社"/>
      <sheetName val="松岗信社"/>
      <sheetName val="罗村信社"/>
      <sheetName val="丹灶信社"/>
      <sheetName val="九江信社"/>
      <sheetName val="狮山信社"/>
      <sheetName val="存货赌价准备"/>
      <sheetName val="其乖帔乘款"/>
      <sheetName val="頄謡负债"/>
      <sheetName val="VW 358 &amp; Gleichteile"/>
      <sheetName val="封面 Cover"/>
      <sheetName val="detail"/>
      <sheetName val="客户余额表"/>
      <sheetName val="表头"/>
      <sheetName val="明细表E6-2"/>
      <sheetName val="产销存"/>
      <sheetName val="1-6累计销售"/>
      <sheetName val="收入个月"/>
      <sheetName val="Sheet2 (3)"/>
      <sheetName val="表头信息"/>
      <sheetName val="上期报表"/>
      <sheetName val="2010年台帐"/>
      <sheetName val="MAP_HKG"/>
      <sheetName val="MAP_KSC"/>
      <sheetName val="MAP_PEK"/>
      <sheetName val="MAP_SSH"/>
      <sheetName val="REG_HKG"/>
      <sheetName val="REG_KSC"/>
      <sheetName val="REG_PEK"/>
      <sheetName val="REG_SSH"/>
      <sheetName val="营业费用测试"/>
      <sheetName val="物资公司"/>
      <sheetName val="负债完成横向"/>
      <sheetName val="资产完成横向"/>
      <sheetName val="序时帐"/>
      <sheetName val="期后回款"/>
      <sheetName val="10月回款"/>
      <sheetName val="10月销售"/>
      <sheetName val="2004"/>
      <sheetName val="炼钢"/>
      <sheetName val="余额表"/>
      <sheetName val="利润表项目"/>
      <sheetName val="封面 "/>
      <sheetName val="BPR"/>
      <sheetName val="综合成本分析01.01-0205"/>
      <sheetName val="FY02"/>
      <sheetName val="内部购进明细表"/>
      <sheetName val="基本情况表"/>
      <sheetName val="2010年试算平衡表"/>
      <sheetName val="本年试算平衡表"/>
      <sheetName val="资产负债表原报 (2)"/>
      <sheetName val="系统导出"/>
      <sheetName val="53130"/>
      <sheetName val="实收资本Dy"/>
      <sheetName val="资本公积Dy"/>
      <sheetName val="帐务资料"/>
      <sheetName val="应付职工薪酬Dy"/>
      <sheetName val="短期借款Dy"/>
      <sheetName val="应付账款Dy"/>
      <sheetName val="应付票据Dy"/>
      <sheetName val="其他应付款Dy"/>
      <sheetName val="应交税费Dy"/>
      <sheetName val="预收款项Dy"/>
      <sheetName val="1_巴西保罗公司"/>
      <sheetName val="工资"/>
      <sheetName val="参数"/>
      <sheetName val="管理费用Dy"/>
      <sheetName val="其他货币资金Dy"/>
      <sheetName val="披露表(上市)"/>
      <sheetName val="固定资产明细"/>
      <sheetName val="FA明细"/>
      <sheetName val="职工薪酬分配表"/>
      <sheetName val="01065"/>
      <sheetName val="资合并"/>
      <sheetName val="其他科目_x005f_x0000__x005f_x0000__x005f_x000d__分析表.X"/>
      <sheetName val="产销量值.1"/>
      <sheetName val="294B b4 THAI SALE"/>
      <sheetName val="ALCUST"/>
      <sheetName val="权益调整"/>
      <sheetName val="产成品盘点表"/>
      <sheetName val="8月份 帐套"/>
      <sheetName val="主营业务成本明细表"/>
      <sheetName val="123"/>
      <sheetName val="其他科目_x005f_x005f_x005f_x0000__x005f_x005f_x005f_x0000__"/>
      <sheetName val="应交税费程序表"/>
      <sheetName val="利润重分类分录"/>
      <sheetName val="结算备付金"/>
      <sheetName val="数量金额总账"/>
      <sheetName val="工程物资Dy"/>
      <sheetName val="应收票据单位明细"/>
      <sheetName val="制造费用Dy"/>
      <sheetName val="主菜单"/>
      <sheetName val="预收"/>
      <sheetName val="应付函证"/>
      <sheetName val="应付职工薪酬程序表"/>
      <sheetName val="应付职工薪酬明细表"/>
      <sheetName val="其他科目_x005f_x005f_x005f_x005f_x005f_x005f_x005f_x0000__x"/>
      <sheetName val="_x005f_x005f_x005f_x0000__x005f_x005f_x005f_x0000__x005"/>
      <sheetName val="_x005f_x005f_x005f_x005f_x005f_x005f_x005f_x0000__x005f"/>
      <sheetName val="其他科目_x005f_x005f_x005f_x005f_x005f_x005f_x005f_x005f_x0"/>
      <sheetName val="大连博格华纳"/>
      <sheetName val="金川水综合"/>
      <sheetName val="金川成品库"/>
      <sheetName val="东风杭客"/>
      <sheetName val="彬长矿业"/>
      <sheetName val="一汽4GC"/>
      <sheetName val="淮阴电厂"/>
      <sheetName val="青铜峡迈科"/>
      <sheetName val="东乘发动机"/>
      <sheetName val="一汽冲压扩建"/>
      <sheetName val="京东方江河"/>
      <sheetName val="美光半导体"/>
      <sheetName val="驰宏矿业"/>
      <sheetName val="APU停车场"/>
      <sheetName val="武汉太平爱克"/>
      <sheetName val="蚌埠火车站"/>
      <sheetName val="常州玉柴"/>
      <sheetName val="天津西站"/>
      <sheetName val="东风杭客二期"/>
      <sheetName val="摩比斯二期"/>
      <sheetName val="金川铜火法"/>
      <sheetName val="一汽4GB"/>
      <sheetName val="塔里木油田"/>
      <sheetName val="长春西站"/>
      <sheetName val="陕西电解铝"/>
      <sheetName val="西安大飞机"/>
      <sheetName val="上海川崎重工"/>
      <sheetName val="天津太重"/>
      <sheetName val="京东方三建"/>
      <sheetName val="东乘发动机-B"/>
      <sheetName val="东风杭客三期"/>
      <sheetName val="西安风雷"/>
      <sheetName val="大河物流"/>
      <sheetName val="青海康泰"/>
      <sheetName val="北京现代三厂"/>
      <sheetName val="北汽高端"/>
      <sheetName val="广州大功率"/>
      <sheetName val="大连瓦轴"/>
      <sheetName val="石家庄煤机场"/>
      <sheetName val="郑州东站"/>
      <sheetName val="房山长安"/>
      <sheetName val="金川铜炉渣"/>
      <sheetName val="大连火车站"/>
      <sheetName val="官湖会所"/>
      <sheetName val="九冶陕有色电解"/>
      <sheetName val="蒙古OT"/>
      <sheetName val="中信戴卡"/>
      <sheetName val="本二一期"/>
      <sheetName val="客户编码"/>
      <sheetName val="应付账款程序表"/>
      <sheetName val="应付账款明细表"/>
      <sheetName val="其他应付款 "/>
      <sheetName val="SAP"/>
      <sheetName val="53470坏账准备计算"/>
      <sheetName val="所得税费用程序表"/>
      <sheetName val="gvl"/>
      <sheetName val="审定表"/>
      <sheetName val="_x005f_x005f_x005f_x005f_x005f_x005f_x005f_x005f_x005f_x005f_"/>
      <sheetName val="其他科目_x005f_x0000__x005f_x0000__x005f_x000a__分析表.X"/>
      <sheetName val="其他科目_x005f_x0000__x005f_x0000__"/>
      <sheetName val="_x005f_x0000__x005f_x0000__x005"/>
      <sheetName val="其他科目_x005f_x005f_x005f_x0000__x"/>
      <sheetName val="_x005f_x005f_x005f_x0000__x005f"/>
      <sheetName val="其他科目_x005f_x005f_x005f_x005f_x0"/>
      <sheetName val="_x005f_x005f_x005f_x005f_"/>
      <sheetName val="坏账准备_其他应收款Dy"/>
      <sheetName val="坏账准备_预付账款Dy"/>
      <sheetName val="现金导引表"/>
      <sheetName val="US Codes"/>
      <sheetName val="光缆总表"/>
      <sheetName val="会计科目(不能修订）"/>
      <sheetName val="for_disclosure"/>
      <sheetName val="FA_Breakdown"/>
      <sheetName val="other_comments"/>
      <sheetName val="summary_"/>
      <sheetName val="POWER_ASSUMPTIONS"/>
      <sheetName val="清单12_31"/>
      <sheetName val="Third_party"/>
      <sheetName val="Mp-team_1"/>
      <sheetName val="G_1R-Shou_COP_Gf"/>
      <sheetName val="Sale_breakdown"/>
      <sheetName val="Financ__Overview"/>
      <sheetName val="Sheet1_(11)"/>
      <sheetName val="Sales_branch_breakdown"/>
      <sheetName val="Validation_source"/>
      <sheetName val="56330-账面_(2)"/>
      <sheetName val="PER_SALES_ORG"/>
      <sheetName val="盈余公积_（合并)"/>
      <sheetName val="Sale_summary"/>
      <sheetName val="2007年其他应收款明细表_(2)"/>
      <sheetName val="Expense_summary"/>
      <sheetName val="2008_10_27-31日实际出库明细"/>
      <sheetName val="Sales_ADJ_2008_1-10"/>
      <sheetName val="OR_Breakdown"/>
      <sheetName val="HPGR_LAB_sw"/>
      <sheetName val="TB_IN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引用数据"/>
      <sheetName val="填写参数"/>
      <sheetName val="3-07-17制造费用"/>
      <sheetName val="3-07-15在建工程"/>
      <sheetName val="2-09"/>
      <sheetName val="营业外收支明细"/>
      <sheetName val="上年调整分录"/>
      <sheetName val="封面目录"/>
      <sheetName val="本年调整分录"/>
      <sheetName val="报表附注"/>
      <sheetName val="2011现流底稿"/>
      <sheetName val="利表审定"/>
      <sheetName val="资产审定表"/>
      <sheetName val="负债审定表"/>
      <sheetName val="现金"/>
      <sheetName val="存货分析表G2-4"/>
      <sheetName val="本部固定明细"/>
      <sheetName val="预付账款明细表"/>
      <sheetName val="母公司附注"/>
      <sheetName val="FA movement"/>
      <sheetName val="应收账款余额表"/>
      <sheetName val="所得税明细表"/>
      <sheetName val="EXP"/>
      <sheetName val="GuV"/>
      <sheetName val="备选程序"/>
      <sheetName val="D433 制造费用分月汇总表"/>
      <sheetName val="D432 管理费用分月汇总表"/>
      <sheetName val="表头（请先填写）"/>
      <sheetName val="主营业务明细表"/>
      <sheetName val="12月份品种酒生产月报表"/>
      <sheetName val="银行未达账项明细表"/>
      <sheetName val="银行存款"/>
      <sheetName val="收入明细－按客户"/>
      <sheetName val="UFPrn20100427142245"/>
      <sheetName val="T02"/>
      <sheetName val="T04"/>
      <sheetName val="嘉诚珠宝"/>
      <sheetName val="本期调整分录"/>
      <sheetName val="报表格式"/>
      <sheetName val="上期调整分录"/>
      <sheetName val="现金流量上期调整分录"/>
      <sheetName val="现金流量本期调整分录"/>
      <sheetName val="1-11 "/>
      <sheetName val="维简及井巷"/>
      <sheetName val="Pre-operating Exp"/>
      <sheetName val="Miscellaneous Exp."/>
      <sheetName val="Rental 2002"/>
      <sheetName val="Rental 2001"/>
      <sheetName val="35.1租赁明细"/>
      <sheetName val="for disc"/>
      <sheetName val="Confirmation Control"/>
      <sheetName val="邯矿"/>
      <sheetName val="合并表"/>
      <sheetName val="金化"/>
      <sheetName val="通达"/>
      <sheetName val="Statistics {pbe}"/>
      <sheetName val="Allow {pbe}"/>
      <sheetName val="A101010一般企业收入明细表"/>
      <sheetName val="A101020金融企业收入明细表"/>
      <sheetName val="A103000事业单位、民间非营利组织收入、支出明细表"/>
      <sheetName val="A102010一般企业成本支出明细表"/>
      <sheetName val="A102020金融企业支出明细表"/>
      <sheetName val="2-07"/>
      <sheetName val="A104000期间费用明细表"/>
      <sheetName val="2-11"/>
      <sheetName val="2-12"/>
      <sheetName val="2-13"/>
      <sheetName val="A108010境外所得纳税调整后所得明细表"/>
      <sheetName val="A105000纳税调整项目明细表"/>
      <sheetName val="A107010免税、减计收入及加计扣除优惠明细表"/>
      <sheetName val="A108000境外所得税收抵免明细表"/>
      <sheetName val="A107020所得减免优惠明细表"/>
      <sheetName val="A107030抵扣应纳税所得额明细表"/>
      <sheetName val="A106000企业所得税弥补亏损明细表"/>
      <sheetName val="A107040减免所得税优惠明细表"/>
      <sheetName val="A107050税额抵免优惠明细表"/>
      <sheetName val="6-01"/>
      <sheetName val="A109000跨地区经营汇总纳税企业年度分摊企业所得税明细表"/>
      <sheetName val="2-01"/>
      <sheetName val="2-02"/>
      <sheetName val="2-03"/>
      <sheetName val="2-04"/>
      <sheetName val="2-05"/>
      <sheetName val="2-06"/>
      <sheetName val="2-08"/>
      <sheetName val="2-10"/>
      <sheetName val="A105010视同销售和房地产开发企业特定业务纳税调整明细表"/>
      <sheetName val="A105020未按权责发生制确认收入纳税调整明细表"/>
      <sheetName val="A105030投资收益纳税调整明细表"/>
      <sheetName val="3-01-04"/>
      <sheetName val="3-01-05"/>
      <sheetName val="3-01-06"/>
      <sheetName val="3-01-08"/>
      <sheetName val="A105040专项用途财政性资金纳税调整表"/>
      <sheetName val="3-01-09"/>
      <sheetName val="3-01-10-01"/>
      <sheetName val="3-01-10-02"/>
      <sheetName val="A105050职工薪酬纳税调整明细表"/>
      <sheetName val="3-02-02"/>
      <sheetName val="A105060广告费和业务宣传费跨年度纳税调整明细表"/>
      <sheetName val="A105070捐赠支出纳税调整明细表"/>
      <sheetName val="3-02-05"/>
      <sheetName val="3-02-06"/>
      <sheetName val="3-02-07"/>
      <sheetName val="3-02-08"/>
      <sheetName val="3-02-09"/>
      <sheetName val="3-02-10"/>
      <sheetName val="3-02-11"/>
      <sheetName val="3-02-12"/>
      <sheetName val="3-02-13"/>
      <sheetName val="3-02-14-01"/>
      <sheetName val="3-02-14-02"/>
      <sheetName val="A105080资产折旧、摊销情况及纳税调整明细表"/>
      <sheetName val="3-03-08"/>
      <sheetName val="A105090资产损失税前扣除及纳税调整明细表"/>
      <sheetName val="3-03-11"/>
      <sheetName val="A105100企业重组纳税调整明细表"/>
      <sheetName val="A105110政策性搬迁纳税调整明细表"/>
      <sheetName val="A105120特殊行业准备金纳税调整明细表"/>
      <sheetName val="3-04-05"/>
      <sheetName val="3-05"/>
      <sheetName val="3-06"/>
      <sheetName val="3-02-01-01"/>
      <sheetName val="3-02-01-02"/>
      <sheetName val="3-02-01-03"/>
      <sheetName val="3-02-01-04"/>
      <sheetName val="3-02-01-05"/>
      <sheetName val="3-02-01-07"/>
      <sheetName val="3-02-01-06"/>
      <sheetName val="3-02-01-08"/>
      <sheetName val="3-02-03"/>
      <sheetName val="A105081固定资产加速折旧、扣除明细表"/>
      <sheetName val="3-03-02"/>
      <sheetName val="3-03-03"/>
      <sheetName val="3-03-05"/>
      <sheetName val="3-03-04"/>
      <sheetName val="3-03-06"/>
      <sheetName val="3-03-07"/>
      <sheetName val="3-03-10"/>
      <sheetName val="A105091资产损失（专项申报）税前扣除及纳税调整明细表"/>
      <sheetName val="5-01-08"/>
      <sheetName val="A100000中华人民共和国企业所得税年度纳税申报表（A类）"/>
      <sheetName val="5-01-01"/>
      <sheetName val="资本公积审定表"/>
      <sheetName val="表10"/>
      <sheetName val="目录 Index"/>
      <sheetName val="  mis-ple  "/>
      <sheetName val="5折旧预测ok"/>
      <sheetName val="COGS reconcile"/>
      <sheetName val="WC analysis Graph"/>
      <sheetName val="Group overview"/>
      <sheetName val="現金"/>
      <sheetName val="AJE Entry-活塞"/>
      <sheetName val="培训中心"/>
      <sheetName val="inf"/>
      <sheetName val="披露表(国资)"/>
      <sheetName val="4-货币资金-现金"/>
      <sheetName val="现金流量表"/>
      <sheetName val="S "/>
      <sheetName val="12201001"/>
      <sheetName val="refernce red invoice"/>
      <sheetName val="信用分析"/>
      <sheetName val="首先输入"/>
      <sheetName val="UFPrn20090223104227"/>
      <sheetName val="未展开"/>
      <sheetName val="A3.试算表"/>
      <sheetName val="5 Analysis"/>
      <sheetName val="1"/>
      <sheetName val="B13"/>
      <sheetName val="100172"/>
      <sheetName val="Sum sum Dep"/>
      <sheetName val="Summary 0701"/>
      <sheetName val="N201"/>
      <sheetName val="9100-PO"/>
      <sheetName val="12月到货_1"/>
      <sheetName val="Comp_equip"/>
      <sheetName val="Mach_&amp;_equip"/>
      <sheetName val="zero_(3)"/>
      <sheetName val="App1_Entities_sequence_number"/>
      <sheetName val="Consol_BS"/>
      <sheetName val="HO_&amp;_Aust_BS"/>
      <sheetName val="A_R_01"/>
      <sheetName val="BOX_SUM"/>
      <sheetName val="FIN_GOOD"/>
      <sheetName val="CY_sales_report"/>
      <sheetName val="T__B"/>
      <sheetName val="G102"/>
      <sheetName val="Chart of Account"/>
      <sheetName val="To tied 2001 opening RE"/>
      <sheetName val="Aging Datasheet"/>
      <sheetName val="ECCS_1 DataSheet"/>
      <sheetName val="KPI Datasheet"/>
      <sheetName val="KEY"/>
      <sheetName val="Customers"/>
      <sheetName val="DEFINITION"/>
      <sheetName val="ADMIN"/>
      <sheetName val="VAS_TB"/>
      <sheetName val="F40-Goodsin_transit"/>
      <sheetName val="SAD_Conclusion"/>
      <sheetName val="Pls_do_not_delete"/>
      <sheetName val="Mapping_table"/>
      <sheetName val="Data_List"/>
      <sheetName val="审计分工配置表"/>
      <sheetName val="U210'_1"/>
      <sheetName val="补贴收入(_other_income)"/>
      <sheetName val="Exp_-04"/>
      <sheetName val="TAX_COM"/>
      <sheetName val="Ideal_World_A3"/>
      <sheetName val="loan_database"/>
      <sheetName val="F100-RM list"/>
      <sheetName val="03-B4"/>
      <sheetName val="03-B10"/>
      <sheetName val="04-B5"/>
      <sheetName val="04-B11"/>
      <sheetName val="調査シート"/>
      <sheetName val="Basic Data"/>
      <sheetName val="Other Exp-13"/>
      <sheetName val="Purchase Order"/>
      <sheetName val="FN8"/>
      <sheetName val="DFMEA-DRBFM"/>
      <sheetName val="ye"/>
      <sheetName val="索引表"/>
      <sheetName val="LXGJC"/>
      <sheetName val="ARP"/>
      <sheetName val="Final sample listing"/>
      <sheetName val="Hotel"/>
      <sheetName val="UFPrn20070303114642"/>
      <sheetName val="收入"/>
      <sheetName val="所得税调整"/>
      <sheetName val="Item Info."/>
      <sheetName val="company"/>
      <sheetName val="0410"/>
      <sheetName val="IBA&amp;HP"/>
      <sheetName val="管理"/>
      <sheetName val="SHIP"/>
      <sheetName val="Summry Prod"/>
      <sheetName val="Info div"/>
      <sheetName val="Hardware Detail"/>
      <sheetName val="nada"/>
      <sheetName val="Paramètres"/>
      <sheetName val="Entities"/>
      <sheetName val="Q110"/>
      <sheetName val="序时账"/>
      <sheetName val="01 RM and PM"/>
      <sheetName val="0000"/>
      <sheetName val="Return Summary"/>
      <sheetName val="Material list"/>
      <sheetName val="Allgem. Angaben"/>
      <sheetName val="product"/>
      <sheetName val="struc_custom"/>
      <sheetName val="AP1998KX(estimated)"/>
      <sheetName val="核銷表"/>
      <sheetName val="Upload Template"/>
      <sheetName val="Breakdown"/>
      <sheetName val="E15"/>
      <sheetName val="Rules"/>
      <sheetName val="D5"/>
      <sheetName val="Equip.-FTY"/>
      <sheetName val="产品销售明细表"/>
      <sheetName val="GP Ratio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H053"/>
      <sheetName val="上月累计"/>
      <sheetName val="损益同期"/>
      <sheetName val="年初数"/>
      <sheetName val="其他科目_x005f_x0000__x005f_x0000__x005f_x000d_[分析表.X"/>
      <sheetName val="其他科目"/>
      <sheetName val="其他科目"/>
      <sheetName val="Ref"/>
      <sheetName val="K200"/>
      <sheetName val="B?_x005f_x0000__x005f_x0000__x005f_x0000__x005f_x0000__"/>
      <sheetName val="Listen"/>
      <sheetName val="Bilanz Aktiva"/>
      <sheetName val="Bil.Zu-Abgang"/>
      <sheetName val="Cash Flow"/>
      <sheetName val="Bilanz Passiva"/>
      <sheetName val="Item"/>
      <sheetName val="Bilanz"/>
      <sheetName val="Personal"/>
      <sheetName val="commentary"/>
      <sheetName val="Cash of Company"/>
      <sheetName val="New investment"/>
      <sheetName val="Stamp duty code"/>
      <sheetName val=" 弃"/>
      <sheetName val="ZI2存货"/>
      <sheetName val="调整分录"/>
      <sheetName val="科目库"/>
      <sheetName val="Liste"/>
      <sheetName val="102501 CFMA "/>
      <sheetName val="Stammdaten"/>
      <sheetName val="Interne Ergebnisrechnung (UKV)"/>
      <sheetName val="Kennzahlen"/>
      <sheetName val="Account"/>
      <sheetName val="Sales"/>
      <sheetName val="receivable"/>
      <sheetName val="其他利润明细"/>
      <sheetName val="期初调整"/>
      <sheetName val="本期调整"/>
      <sheetName val="基础表"/>
      <sheetName val="审定现金"/>
      <sheetName val="Checklist"/>
      <sheetName val="cover"/>
      <sheetName val="有效性"/>
      <sheetName val="营业费用多栏明细账"/>
      <sheetName val="046 Fixed Ass. mov."/>
      <sheetName val="应收明细"/>
      <sheetName val="存货明细"/>
      <sheetName val="1131.01.01"/>
      <sheetName val="Parameter"/>
      <sheetName val="初始设定"/>
      <sheetName val="Deutsch"/>
      <sheetName val="敏感"/>
      <sheetName val="报表项目列表"/>
      <sheetName val="填表人、评估人员（引用表）"/>
      <sheetName val="Income Statement"/>
      <sheetName val="Altman Z"/>
      <sheetName val="应付帐款帐龄分析表"/>
      <sheetName val="天海(國內)試算"/>
      <sheetName val="暂估"/>
      <sheetName val="应收账款贷方余额表"/>
      <sheetName val="应收账款借方余额表"/>
      <sheetName val="_2640"/>
      <sheetName val="2002年一般预算收入"/>
      <sheetName val="_3220"/>
      <sheetName val="资产评估结果分类汇总表 (2)"/>
      <sheetName val="11"/>
      <sheetName val="固定资产(原表)"/>
      <sheetName val="索赔（按车型）A4"/>
      <sheetName val="制造成本预算表A3"/>
      <sheetName val="销售收入A4"/>
      <sheetName val="销售费用预算表(A4)"/>
      <sheetName val="质量月报表"/>
      <sheetName val="基础信息表"/>
      <sheetName val="TB--附注"/>
      <sheetName val="储藏室"/>
      <sheetName val="科目余额表-总部及380"/>
      <sheetName val="递延所得税资产Dy"/>
      <sheetName val="营业税金及附加Dy"/>
      <sheetName val="Currency"/>
      <sheetName val="DropDown"/>
      <sheetName val="Non-Statistical Sampling"/>
      <sheetName val="百利包227g_20_"/>
      <sheetName val="Tabelle3"/>
      <sheetName val="低易品在库及低易品在用"/>
      <sheetName val="2014年折旧费预算"/>
      <sheetName val="销售毛利润表"/>
      <sheetName val="总公司2002_12_31"/>
      <sheetName val="Exp_Actual"/>
      <sheetName val="Rpt_Actual"/>
      <sheetName val="Exp_BAP"/>
      <sheetName val="Rpt_BAP"/>
      <sheetName val="Exp_LY"/>
      <sheetName val="Rpt_LY"/>
      <sheetName val="Sch PR-2"/>
      <sheetName val="Sch PR-3"/>
      <sheetName val="TB 1999-2000"/>
      <sheetName val="CoList"/>
      <sheetName val="L4"/>
      <sheetName val="Period"/>
      <sheetName val="BUD"/>
      <sheetName val="Namelist"/>
      <sheetName val="代码表"/>
      <sheetName val="信息"/>
      <sheetName val="汇总抵消 "/>
      <sheetName val="离石试算"/>
      <sheetName val="inputs"/>
      <sheetName val="2012年长期挂账"/>
      <sheetName val="收入查证表"/>
      <sheetName val="Consol"/>
      <sheetName val="货币资金审定表"/>
      <sheetName val="说明"/>
      <sheetName val="TB表"/>
      <sheetName val="Sch.1"/>
      <sheetName val="总利润表"/>
      <sheetName val="记账凭证测试表—应收账款"/>
      <sheetName val="机器设备计算表"/>
      <sheetName val="待摊费用明细表"/>
      <sheetName val="长期借款明细表1"/>
      <sheetName val="yb"/>
      <sheetName val="价格指数"/>
      <sheetName val="液氮"/>
      <sheetName val="成品入库05"/>
      <sheetName val="8-4函证结果汇总表"/>
      <sheetName val="销项税"/>
      <sheetName val="冲压领料"/>
      <sheetName val="2010.02"/>
      <sheetName val="存货整体结构12月"/>
      <sheetName val="存货整体结构7月"/>
      <sheetName val="预算科目"/>
      <sheetName val="制费-分月"/>
      <sheetName val="成都费用（未分部门）"/>
      <sheetName val="利息7月-8月"/>
      <sheetName val="A1-A3"/>
      <sheetName val="A1_人员计划2009"/>
      <sheetName val="销量"/>
      <sheetName val="CHART_E"/>
      <sheetName val="Yr_1997"/>
      <sheetName val="数据定义2"/>
      <sheetName val="Drop Down"/>
      <sheetName val="13应付账款明细表"/>
      <sheetName val="暂估分供应商汇总"/>
      <sheetName val="细节测试审计抽样"/>
      <sheetName val="405-10-2"/>
      <sheetName val="130-5-1（不打印)"/>
      <sheetName val="130-7（不打印）"/>
      <sheetName val="405-10-1"/>
      <sheetName val="填表说明"/>
      <sheetName val="评估假设"/>
      <sheetName val="审核2.XLS"/>
      <sheetName val="存货汇总表"/>
      <sheetName val="模块明细"/>
      <sheetName val="05_7工资分析"/>
      <sheetName val="TOTAL"/>
      <sheetName val="2012年营业收入审定表"/>
      <sheetName val="2012年主营业务收入毛利分析"/>
      <sheetName val="2011年主营业务收入毛利分析"/>
      <sheetName val=""/>
      <sheetName val="Validation"/>
      <sheetName val="Adjustment summary"/>
      <sheetName val="lx"/>
      <sheetName val="本期报表"/>
      <sheetName val="利润分析"/>
      <sheetName val="资产负债分析"/>
      <sheetName val="工时统计"/>
      <sheetName val="外地"/>
      <sheetName val="坯布"/>
      <sheetName val="材料"/>
      <sheetName val="外销"/>
      <sheetName val="2、利2010年"/>
      <sheetName val="附注索引"/>
      <sheetName val="日常摊销表"/>
      <sheetName val="抵消分录表"/>
      <sheetName val="合并资产负债过渡表"/>
      <sheetName val="合并利润过渡表"/>
      <sheetName val="子公司调整表"/>
      <sheetName val="合并现金流量过渡表"/>
      <sheetName val="母公司调整表"/>
      <sheetName val="227、JMJD佳美经典"/>
      <sheetName val="损电冶总部公司"/>
      <sheetName val="标准索引体系_CF当期档案"/>
      <sheetName val="分产品销售收入、成本分析表"/>
      <sheetName val="原材料-地方材料发出计价"/>
      <sheetName val="总目录"/>
      <sheetName val="Monetary assets 2007 (27a) "/>
      <sheetName val="合并利润表"/>
      <sheetName val="4-6-2-1机器设备"/>
      <sheetName val="附注表（二）"/>
      <sheetName val="广州库"/>
      <sheetName val="Investment Property"/>
      <sheetName val="xj"/>
      <sheetName val="5"/>
      <sheetName val="4"/>
      <sheetName val="3"/>
      <sheetName val="资产减值准备 "/>
      <sheetName val="程序表"/>
      <sheetName val="程序表2"/>
      <sheetName val="权益法审定表"/>
      <sheetName val="入库分类"/>
      <sheetName val="审定表G3-1"/>
      <sheetName val="原料油"/>
      <sheetName val="报表索引"/>
      <sheetName val="报表科目数据源"/>
      <sheetName val="数据有效性"/>
      <sheetName val="存货汇总表10"/>
      <sheetName val="总表"/>
      <sheetName val="10色母料"/>
      <sheetName val="清单"/>
      <sheetName val="产成品计价3"/>
      <sheetName val="存货差异分析表"/>
      <sheetName val="数字视频并帐"/>
      <sheetName val="附注汇总"/>
      <sheetName val="营业费用截止"/>
      <sheetName val=""/>
      <sheetName val="固定资产类别年统计表 (2)"/>
      <sheetName val="帐"/>
      <sheetName val="累计1"/>
      <sheetName val="qq"/>
      <sheetName val="新城资金明细"/>
      <sheetName val="申鑫大厦租金明细"/>
      <sheetName val="三林明细"/>
      <sheetName val="东陆明细"/>
      <sheetName val="设定"/>
      <sheetName val="53230"/>
      <sheetName val="63130"/>
      <sheetName val="应收票据检查表"/>
      <sheetName val="其他科目"/>
      <sheetName val="应收帐款"/>
      <sheetName val="其他应收单位"/>
      <sheetName val="预收帐款"/>
      <sheetName val="应付帐款"/>
      <sheetName val="预付帐款 (2)"/>
      <sheetName val="Purchase"/>
      <sheetName val="K3代码"/>
      <sheetName val="_"/>
      <sheetName val="其他科目_x005f_x0000__x005f_x0000__x005f_x000a_[分析表.X"/>
      <sheetName val="其他科目"/>
      <sheetName val="Quantity"/>
      <sheetName val="B Excess Calc"/>
      <sheetName val="B 05 Breakdown by Product"/>
      <sheetName val="domestic sales tests"/>
      <sheetName val="17应付票据明细表"/>
      <sheetName val="1-12月收入"/>
      <sheetName val="   函证设计表D2-5-2"/>
      <sheetName val="商务折扣"/>
      <sheetName val="2月收入成本明细表"/>
      <sheetName val="管理费用-业务招待费"/>
      <sheetName val="预付明细表04"/>
      <sheetName val="上年试算表"/>
      <sheetName val="基"/>
      <sheetName val="账上导出数（包括暂估）"/>
      <sheetName val="资产表"/>
      <sheetName val="负债表"/>
      <sheetName val="Basic_Data"/>
      <sheetName val="销售分客户 "/>
      <sheetName val="Profit and Loss"/>
      <sheetName val="审计说明"/>
      <sheetName val="示范99tzfl"/>
      <sheetName val="四月份月报"/>
      <sheetName val="农业用地"/>
      <sheetName val="利－合并"/>
      <sheetName val="负－合并"/>
      <sheetName val="5132"/>
      <sheetName val="Guidance-English"/>
      <sheetName val="目錄"/>
      <sheetName val="汇总"/>
      <sheetName val="锦江会 aud "/>
      <sheetName val="Salary_F2 &amp; B08"/>
      <sheetName val="Non-Statistical Sampling Master"/>
      <sheetName val="AR Drop Downs"/>
      <sheetName val="Two Step Revenue Testing Master"/>
      <sheetName val="Global Data"/>
      <sheetName val="Scoping"/>
      <sheetName val="inventory2002"/>
      <sheetName val="PPV2002"/>
      <sheetName val="合并试算宁波秉琨"/>
      <sheetName val="单体试算常州智业"/>
      <sheetName val="单体试算药业"/>
      <sheetName val="合同管理"/>
      <sheetName val="财务报告"/>
      <sheetName val="合并试算平衡表"/>
      <sheetName val="余额表200606"/>
      <sheetName val="200611"/>
      <sheetName val="200612"/>
      <sheetName val="固定资产卡片"/>
      <sheetName val="其他应收款Dy"/>
      <sheetName val="界面"/>
      <sheetName val="其他应收款审定表C7-1"/>
      <sheetName val="负债试算表"/>
      <sheetName val="低值易耗品"/>
      <sheetName val="劳务费"/>
      <sheetName val="折旧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存货明细表"/>
      <sheetName val="计价测试参数表"/>
      <sheetName val="商铺"/>
      <sheetName val="市场法测算表-商铺"/>
      <sheetName val="销售6.13"/>
      <sheetName val="TRSORNHY"/>
      <sheetName val="财务成本"/>
      <sheetName val="NFMSDLQJ"/>
      <sheetName val="SIPQLPXP"/>
      <sheetName val="运煤预算"/>
      <sheetName val="清单1.1"/>
      <sheetName val="QAD-面套库存"/>
      <sheetName val="AR Report B4"/>
      <sheetName val="Financials"/>
      <sheetName val="Council Staff"/>
      <sheetName val="INPUT SHEET"/>
      <sheetName val="Andy"/>
      <sheetName val="1380_3YR"/>
      <sheetName val="K200Motor"/>
      <sheetName val="K210F&amp;F"/>
      <sheetName val="K220-OE"/>
      <sheetName val="1390_3YR--not used"/>
      <sheetName val="1390_5YR"/>
      <sheetName val="1810_1010"/>
      <sheetName val="1810_1100-3 yr"/>
      <sheetName val="1810_1301_BP"/>
      <sheetName val="1810_1301_CASTROL"/>
      <sheetName val="2002 VS 2003"/>
      <sheetName val="chn01 e"/>
      <sheetName val="以前年度损益调整"/>
      <sheetName val="PM_TE"/>
      <sheetName val="PM-TE"/>
      <sheetName val="Detail Loan Move. &amp; Listing"/>
      <sheetName val="Client Data"/>
      <sheetName val="Shine Best con BS"/>
      <sheetName val="Balsheet"/>
      <sheetName val="CY BS"/>
      <sheetName val="Deferred Dev Cost"/>
      <sheetName val="2002-07"/>
      <sheetName val="Input"/>
      <sheetName val="Sch11"/>
      <sheetName val="PL-Accumulate"/>
      <sheetName val="PL-Current"/>
      <sheetName val="H101"/>
      <sheetName val="DLDB10"/>
      <sheetName val="9100_PO"/>
      <sheetName val="Interim ___ Top"/>
      <sheetName val="GL"/>
      <sheetName val="K310Breakdown of Additon in SH"/>
      <sheetName val="摊销表"/>
      <sheetName val="TB-累1"/>
      <sheetName val="TB-累2"/>
      <sheetName val="TB-当2"/>
      <sheetName val="A800"/>
      <sheetName val="UFPrn20070105155428"/>
      <sheetName val="1月回款"/>
      <sheetName val="1月销售"/>
      <sheetName val="Consol PRC"/>
      <sheetName val="CF"/>
      <sheetName val="F30.Nov.Price.Variance.For.Ref"/>
      <sheetName val="METHANOL"/>
      <sheetName val="DSCR"/>
      <sheetName val="敏感性"/>
      <sheetName val="OPSRESULTS"/>
      <sheetName val="DEBT"/>
      <sheetName val="投入产出汇总"/>
      <sheetName val="指标"/>
      <sheetName val="Calculations"/>
      <sheetName val="2171_FYbk"/>
      <sheetName val="2171-BK"/>
      <sheetName val="分期数据方案阶段"/>
      <sheetName val="一期分产品成本"/>
      <sheetName val="二期分产品成本"/>
      <sheetName val="三期分产品成本"/>
      <sheetName val="ARP-G101"/>
      <sheetName val="E221"/>
      <sheetName val="ARP-P101"/>
      <sheetName val="COA"/>
      <sheetName val="CA_new"/>
      <sheetName val="Lists"/>
      <sheetName val="母公司"/>
      <sheetName val="成本项目"/>
      <sheetName val="生产领料 _3_"/>
      <sheetName val="凭证记录"/>
      <sheetName val="_x005f_x0000_"/>
      <sheetName val="JE"/>
      <sheetName val="2000HW6Y"/>
      <sheetName val="Client Code"/>
      <sheetName val="Project Code"/>
      <sheetName val="21710101进项税额"/>
      <sheetName val="银行"/>
      <sheetName val="Additions to FA"/>
      <sheetName val="短期借款审定表"/>
      <sheetName val="Sample design"/>
      <sheetName val="L2-4100-a武汉海讯和海泰"/>
      <sheetName val="K701"/>
      <sheetName val="UPRICE"/>
      <sheetName val="BS-9.06"/>
      <sheetName val="Nov,01"/>
      <sheetName val="Category"/>
      <sheetName val="Client"/>
      <sheetName val="养路支出审定表"/>
      <sheetName val="养路支出明细表"/>
      <sheetName val="养路支出抽查表"/>
      <sheetName val="通用式抽查表"/>
      <sheetName val="借款工程支出审定表"/>
      <sheetName val="借款工程支出抽查表"/>
      <sheetName val="直接材料"/>
      <sheetName val="組目"/>
      <sheetName val="Reserves"/>
      <sheetName val="adj-v1"/>
      <sheetName val="Adm."/>
      <sheetName val="AP2004 ledger"/>
      <sheetName val="T6.1.1(old eeri  basket)"/>
      <sheetName val="T6.1.1(old basket, 11.1983=100)"/>
      <sheetName val="HK0203"/>
      <sheetName val="Shanxi Zhanpen"/>
      <sheetName val="其他科目__分析表_XLS_G9-1__分"/>
      <sheetName val="BDC_Raw_Data"/>
      <sheetName val="C01-1"/>
      <sheetName val="其他科目&#10;[分析表_XLS]G9-1&#10;[分"/>
      <sheetName val="FA_EB+YY"/>
      <sheetName val="Repayment_Summary"/>
      <sheetName val="8月份_帐套"/>
      <sheetName val="294B_b4_THAI_SALE"/>
      <sheetName val="产销量值_1"/>
      <sheetName val="Excess_Calc"/>
      <sheetName val="124301_查询"/>
      <sheetName val="OR_Aging_summary"/>
      <sheetName val="2_25"/>
      <sheetName val="其他货币资金_dbf"/>
      <sheetName val="银行存款_dbf"/>
      <sheetName val="Selection"/>
      <sheetName val="retrieve BRANCH fy98"/>
      <sheetName val="在建工程设备"/>
      <sheetName val="调整分录汇总"/>
      <sheetName val="关联方及集团内清单"/>
      <sheetName val="预付清单"/>
      <sheetName val="2014原材料总账"/>
      <sheetName val="accudepr1"/>
      <sheetName val="FE-0调整分录"/>
      <sheetName val="累计折旧复核表—房屋本期"/>
      <sheetName val="累计折旧明细表"/>
      <sheetName val="累计折旧复核(有减值准备时选用)"/>
      <sheetName val="应付帐款余额表"/>
      <sheetName val="FA-2"/>
      <sheetName val="数据字典"/>
      <sheetName val="基本参数"/>
      <sheetName val="22未审 利润表及利润分配表"/>
      <sheetName val="2002.1-6管理费用"/>
      <sheetName val="无形资产使用寿命分析表"/>
      <sheetName val="无形资产累计摊销计算表"/>
      <sheetName val="货币资金明细表"/>
      <sheetName val="119-4"/>
      <sheetName val="企业提供表"/>
      <sheetName val="商品收发总账"/>
      <sheetName val="存货整体结构11月 "/>
      <sheetName val="計算書（加）"/>
      <sheetName val="投資(加）"/>
      <sheetName val="期初帐龄辅助表MT"/>
      <sheetName val="坏账准备辅助表MT"/>
      <sheetName val="报表层次重要性水平"/>
      <sheetName val="所有者权益(股东权益)变动表(未审)"/>
      <sheetName val="报表项目"/>
      <sheetName val="非合并关联往来"/>
      <sheetName val="当期所得税"/>
      <sheetName val="生产性生物资产Dy"/>
      <sheetName val="公用信息"/>
      <sheetName val="原TB表"/>
      <sheetName val="4-6-4机器设备"/>
      <sheetName val="4-6-5车辆"/>
      <sheetName val="4-6-6电子设备"/>
      <sheetName val="商品零售价格指数"/>
      <sheetName val="机械设备步骤复核表"/>
      <sheetName val="PZTPLOPN"/>
      <sheetName val="_x005f_x0000__x005f"/>
      <sheetName val="B1-4001"/>
      <sheetName val="20041231"/>
      <sheetName val="20050131"/>
      <sheetName val="20050228"/>
      <sheetName val="20051130"/>
      <sheetName val="20051231"/>
      <sheetName val="20060131"/>
      <sheetName val="20060228"/>
      <sheetName val="20060331"/>
      <sheetName val="20060430"/>
      <sheetName val="20060531"/>
      <sheetName val="20060630"/>
      <sheetName val="20060731"/>
      <sheetName val="5-Key Ratios"/>
      <sheetName val="Sheet5"/>
      <sheetName val="21授信借款"/>
      <sheetName val="周转"/>
      <sheetName val="Time Series"/>
      <sheetName val="C-02 Cash &amp; Bank"/>
      <sheetName val="CMC"/>
      <sheetName val="12.31"/>
      <sheetName val="GP analysis Per month"/>
      <sheetName val="Sales breakdown "/>
      <sheetName val="MA Adj. Test"/>
      <sheetName val="CompanyData"/>
      <sheetName val="4-1"/>
      <sheetName val="3 AJE - 09-11未入帐工资清单"/>
      <sheetName val="外仓1"/>
      <sheetName val="外仓TEM1"/>
      <sheetName val="Loss"/>
      <sheetName val="Key Figures"/>
      <sheetName val="Menge"/>
      <sheetName val="披露表(标准)"/>
      <sheetName val="国家"/>
      <sheetName val="其他科目_x005f_x0000__x"/>
      <sheetName val="其他科目_x005f_x005f_x0"/>
      <sheetName val="Profit &amp; Loss"/>
      <sheetName val="English"/>
      <sheetName val="Z-01"/>
      <sheetName val="SysSheet"/>
      <sheetName val="M-01"/>
      <sheetName val="Movement(1)"/>
      <sheetName val="A_01"/>
      <sheetName val="A_03"/>
      <sheetName val="A_02"/>
      <sheetName val="A_1"/>
      <sheetName val="A_3"/>
      <sheetName val="A_2"/>
      <sheetName val="ZE预付供应商往来"/>
      <sheetName val="2008年"/>
      <sheetName val="余额表（终稿）"/>
      <sheetName val="应收账款Dy"/>
      <sheetName val="UFPrn20060111164230"/>
      <sheetName val="原材料Mx1"/>
      <sheetName val="Common Assumptions"/>
      <sheetName val="科目余额"/>
      <sheetName val="所得税费用"/>
      <sheetName val="“预收账款”余额明细表"/>
      <sheetName val="DWMC"/>
      <sheetName val="合并"/>
      <sheetName val="内部往来调节表6"/>
      <sheetName val="销售成本明细表19之一"/>
      <sheetName val="PRC_ 071231-Parent-Mgt-XX"/>
      <sheetName val="Questions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W3"/>
      <sheetName val="Q-purchase of RM test"/>
      <sheetName val="基础"/>
      <sheetName val="管理费用_波动分析"/>
      <sheetName val="折旧年限"/>
      <sheetName val="附A-7"/>
      <sheetName val="ZI-2-4计价汇总"/>
      <sheetName val="专项沔㧄匈"/>
      <sheetName val="值列表"/>
      <sheetName val="流动资产清查评估汇总表"/>
      <sheetName val="补贴收入明细表"/>
      <sheetName val="倍丰及关联方清册"/>
      <sheetName val="日报（扣除变更数）"/>
      <sheetName val="JY-4"/>
      <sheetName val="合同付款"/>
      <sheetName val="营销费用预算"/>
      <sheetName val="营销合约"/>
      <sheetName val="管道进度明细表"/>
      <sheetName val="附注"/>
      <sheetName val="差旅费"/>
      <sheetName val="关联方"/>
      <sheetName val="数据库"/>
      <sheetName val="底稿"/>
      <sheetName val="Custom"/>
      <sheetName val="Dic"/>
      <sheetName val="列表"/>
      <sheetName val="存货整体结构9月 "/>
      <sheetName val="审计说明7-3"/>
      <sheetName val="存货20"/>
      <sheetName val="原材料21"/>
      <sheetName val="包装物22"/>
      <sheetName val="产成品23"/>
      <sheetName val="在产品24"/>
      <sheetName val="存货账龄表25-1 "/>
      <sheetName val="08年未开票成本"/>
      <sheetName val="07年未开票成本"/>
      <sheetName val="生化公司6-7月发生额及余额表"/>
      <sheetName val="应付账款明细账"/>
      <sheetName val="1-7月应付账款余额表"/>
      <sheetName val="124-3-3"/>
      <sheetName val="405-3-1"/>
      <sheetName val="剥离前"/>
      <sheetName val="役"/>
      <sheetName val="Sheet Index"/>
      <sheetName val="PPE折旧测试"/>
      <sheetName val="自动化程序汇总"/>
      <sheetName val="信息表"/>
      <sheetName val="GB4-1应付账款"/>
      <sheetName val="GB10-2其他应付款明细"/>
      <sheetName val="分配表1(原.辅.协）"/>
      <sheetName val="IRDG-reval-trd"/>
      <sheetName val="多级销售汇总表（备用）"/>
      <sheetName val="2005.01-2005.11余额表"/>
      <sheetName val="应收"/>
      <sheetName val="合并信息数据表"/>
      <sheetName val="TT template"/>
      <sheetName val="F-2 AdjJournalEntries"/>
      <sheetName val="Provision"/>
      <sheetName val="1、存货跌价冲回"/>
      <sheetName val="重要关联方交易"/>
      <sheetName val="4-3开户行银行代码"/>
      <sheetName val="合并数据源"/>
      <sheetName val="数据源"/>
      <sheetName val="Movement format-Jun'12"/>
      <sheetName val="其他科目"/>
      <sheetName val="分吨位"/>
      <sheetName val="办公用品"/>
      <sheetName val="备品备件"/>
      <sheetName val="标签"/>
      <sheetName val="玻璃仪器"/>
      <sheetName val="辅料"/>
      <sheetName val="化剂"/>
      <sheetName val="瓶类"/>
      <sheetName val="其他材料"/>
      <sheetName val="燃料"/>
      <sheetName val="产成品"/>
      <sheetName val="纸箱纸盒"/>
      <sheetName val="中草药"/>
      <sheetName val="主料"/>
      <sheetName val="自制半成品"/>
      <sheetName val="其他科目"/>
      <sheetName val="其他科目"/>
      <sheetName val="应收账款审定表"/>
      <sheetName val="数量对比"/>
      <sheetName val="二级明细"/>
      <sheetName val="其他应收-导出"/>
      <sheetName val="KM"/>
      <sheetName val="08.8"/>
      <sheetName val="生产成本Dy"/>
      <sheetName val="原材料Dy"/>
      <sheetName val="t_Schema"/>
      <sheetName val="3306"/>
      <sheetName val="8042"/>
      <sheetName val="企财01表(12)"/>
      <sheetName val="企财02表(12)"/>
      <sheetName val="合并试算平衡"/>
      <sheetName val="其他科目"/>
      <sheetName val="2004 Audit adj"/>
      <sheetName val="其他科目"/>
      <sheetName val="其他科目_x005f_x0000__x005f_x0000_[分析表.XLS]G9-1"/>
      <sheetName val="普查库示例"/>
      <sheetName val="电子"/>
      <sheetName val="替代测试"/>
      <sheetName val="纳税调整计算表"/>
      <sheetName val="制造费用明细表"/>
      <sheetName val="生产成本检查表"/>
      <sheetName val="订单418"/>
      <sheetName val="申报表封面"/>
      <sheetName val="其他科目"/>
      <sheetName val="中国银行3"/>
      <sheetName val="2010.12.31-付总"/>
      <sheetName val="个人借款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基本信息 "/>
      <sheetName val="福利费1"/>
      <sheetName val="成本汇总表"/>
      <sheetName val="其他应收单位款板纸"/>
      <sheetName val="银行存款控制测试"/>
      <sheetName val="Erection"/>
      <sheetName val="LOV"/>
      <sheetName val="其它应收款"/>
      <sheetName val="预付货款"/>
      <sheetName val="其他科目_x005f_x0000__x005f_x0000__分析表.XLS_G9-1"/>
      <sheetName val="应付账款 (2)"/>
      <sheetName val="山西明细"/>
      <sheetName val="batch"/>
      <sheetName val="借款利息全年"/>
      <sheetName val="04.9.30"/>
      <sheetName val="地下室顶板~3.57"/>
      <sheetName val="金铜矿存货收发存汇总表1-9月"/>
      <sheetName val="公司TB"/>
      <sheetName val="应收票据Dy"/>
      <sheetName val="Comp"/>
      <sheetName val="1st Year Impact"/>
      <sheetName val="Total Impact"/>
      <sheetName val="K102"/>
      <sheetName val="NAV Summary"/>
      <sheetName val="이자"/>
      <sheetName val="변제"/>
      <sheetName val="상환대상"/>
      <sheetName val="预提费用Dy"/>
      <sheetName val="长期借款Dy"/>
      <sheetName val="基本情况"/>
      <sheetName val="其他业务收入Dy"/>
      <sheetName val="首表"/>
      <sheetName val="应收股利Dy"/>
      <sheetName val="其他应收款D8-7坏账测试"/>
      <sheetName val="明细表D29-2"/>
      <sheetName val="综合"/>
      <sheetName val="%E5%AE%A1%E6%A0%B82.XLS"/>
      <sheetName val="预付账款Dy"/>
      <sheetName val="取费表"/>
      <sheetName val="FAB별"/>
      <sheetName val="C_301"/>
      <sheetName val="C_311"/>
      <sheetName val="C_318"/>
      <sheetName val="注释汇总"/>
      <sheetName val="879099"/>
      <sheetName val="其他应交款Dy"/>
      <sheetName val="V300-PBOC SWAP"/>
      <sheetName val="2001"/>
      <sheetName val="Ex rate"/>
      <sheetName val="cholesky"/>
      <sheetName val="成本计算单_汇总显示_"/>
      <sheetName val="122101"/>
      <sheetName val="1221012"/>
      <sheetName val="122102"/>
      <sheetName val="1221022"/>
      <sheetName val="jg"/>
      <sheetName val="Sheet1 (2)"/>
      <sheetName val="laroux"/>
      <sheetName val="原材料发出计价测试-OK"/>
      <sheetName val="编码"/>
      <sheetName val="设置"/>
      <sheetName val="Adj. spreadsheet for June"/>
      <sheetName val="固定资产折旧表"/>
      <sheetName val="当月应收"/>
      <sheetName val="DDB Depr (Mths)"/>
      <sheetName val="销售-3（新药）"/>
      <sheetName val="_3062"/>
      <sheetName val="_3065"/>
      <sheetName val="_3066"/>
      <sheetName val="_3152"/>
      <sheetName val="_5326"/>
      <sheetName val="表三"/>
      <sheetName val="其他科目_x005f_x0000__x005f_x0000___分析表.XLS_G9-"/>
      <sheetName val="_x005f_x0000__x005f_x0000__x005f_x0000__x005f_x0000__x0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其他科目_x005f_x0000__x005f_x0000__x005f_x000d__分析表.X"/>
      <sheetName val="其他科目_x005f_x005f_x005f_x0000__x005f_x005f_x005f_x0000__"/>
      <sheetName val="其他科目_x005f_x005f_x005f_x005f_x005f_x005f_x005f_x0000__x"/>
      <sheetName val="_x005f_x005f_x005f_x0000__x005f_x005f_x005f_x0000__x005"/>
      <sheetName val="_x005f_x005f_x005f_x005f_x005f_x005f_x005f_x0000__x005f"/>
      <sheetName val="其他科目_x005f_x005f_x005f_x005f_x005f_x005f_x005f_x005f_x0"/>
      <sheetName val="_x005f_x005f_x005f_x005f_x005f_x005f_x005f_x005f_x005f_x005f_"/>
      <sheetName val="其他科目_x005f_x0000__x005f_x0000__x005f_x000a__分析表.X"/>
      <sheetName val="其他科目_x005f_x0000__x005f_x0000__x005f_x000d_[分析表.X"/>
      <sheetName val="B?_x005f_x0000__x005f_x0000__x005f_x0000__x005f_x0000__"/>
      <sheetName val="其他科目_x005f_x0000__x005f_x0000__x005f_x000a_[分析表.X"/>
      <sheetName val="其他科目_x005f_x0000__x005f_x0000_[分析表.XLS]G9-1"/>
      <sheetName val="其他科目_x005f_x0000__x005f_x0000__分析表.XLS_G9-1"/>
      <sheetName val="其他科目_x005f_x0000__x005f_x0000___分析表.XLS_G9-"/>
      <sheetName val="_x005f_x0000__x005f_x0000__x005f_x0000__x005f_x0000__x0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其他科目_x005f_x0000__x005f_x0000__x005f_x000d__分析表.X"/>
      <sheetName val="其他科目_x005f_x005f_x005f_x0000__x005f_x005f_x005f_x0000__"/>
      <sheetName val="其他科目_x005f_x005f_x005f_x005f_x005f_x005f_x005f_x0000__x"/>
      <sheetName val="_x005f_x005f_x005f_x0000__x005f_x005f_x005f_x0000__x005"/>
      <sheetName val="_x005f_x005f_x005f_x005f_x005f_x005f_x005f_x0000__x005f"/>
      <sheetName val="其他科目_x005f_x005f_x005f_x005f_x005f_x005f_x005f_x005f_x0"/>
      <sheetName val="_x005f_x005f_x005f_x005f_x005f_x005f_x005f_x005f_x005f_x005f_"/>
      <sheetName val="其他科目_x005f_x0000__x005f_x0000__x005f_x000a__分析表.X"/>
      <sheetName val="其他科目_x005f_x0000__x005f_x0000__x005f_x000d_[分析表.X"/>
      <sheetName val="B?_x005f_x0000__x005f_x0000__x005f_x0000__x005f_x0000__"/>
      <sheetName val="其他科目_x005f_x0000__x005f_x0000__x005f_x000a_[分析表.X"/>
      <sheetName val="其他科目_x005f_x0000__x005f_x0000_[分析表.XLS]G9-1"/>
      <sheetName val="其他科目_x005f_x0000__x005f_x0000__分析表.XLS_G9-1"/>
      <sheetName val="其他科目_x005f_x0000__x005f_x0000___分析表.XLS_G9-"/>
      <sheetName val="资产负债表-2017"/>
      <sheetName val="_x005f_x0000__x005f_x0000__x005f_x0000__x005f_x0000__x0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其他科目_x005f_x0000__x005f_x0000__x005f_x000d__分析表.X"/>
      <sheetName val="其他科目_x005f_x005f_x005f_x0000__x005f_x005f_x005f_x0000__"/>
      <sheetName val="其他科目_x005f_x005f_x005f_x005f_x005f_x005f_x005f_x0000__x"/>
      <sheetName val="_x005f_x005f_x005f_x0000__x005f_x005f_x005f_x0000__x005"/>
      <sheetName val="_x005f_x005f_x005f_x005f_x005f_x005f_x005f_x0000__x005f"/>
      <sheetName val="其他科目_x005f_x005f_x005f_x005f_x005f_x005f_x005f_x005f_x0"/>
      <sheetName val="_x005f_x005f_x005f_x005f_x005f_x005f_x005f_x005f_x005f_x005f_"/>
      <sheetName val="其他科目_x005f_x0000__x005f_x0000__x005f_x000a__分析表.X"/>
      <sheetName val="其他科目_x005f_x0000__x005f_x0000__x005f_x000d_[分析表.X"/>
      <sheetName val="B?_x005f_x0000__x005f_x0000__x005f_x0000__x005f_x0000__"/>
      <sheetName val="其他科目_x005f_x0000__x005f_x0000__x005f_x000a_[分析表.X"/>
      <sheetName val="其他科目_x005f_x0000__x005f_x0000_[分析表.XLS]G9-1"/>
      <sheetName val="其他科目_x005f_x0000__x005f_x0000__分析表.XLS_G9-1"/>
      <sheetName val="其他科目_x005f_x0000__x005f_x0000___分析表.XLS_G9-"/>
      <sheetName val="_x005f_x0000__x005f_x0000__x005f_x0000__x005f_x0000__x0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其他科目_x005f_x0000__x005f_x0000__x005f_x000d__分析表.X"/>
      <sheetName val="其他科目_x005f_x005f_x005f_x0000__x005f_x005f_x005f_x0000__"/>
      <sheetName val="其他科目_x005f_x005f_x005f_x005f_x005f_x005f_x005f_x0000__x"/>
      <sheetName val="_x005f_x005f_x005f_x0000__x005f_x005f_x005f_x0000__x005"/>
      <sheetName val="_x005f_x005f_x005f_x005f_x005f_x005f_x005f_x0000__x005f"/>
      <sheetName val="其他科目_x005f_x005f_x005f_x005f_x005f_x005f_x005f_x005f_x0"/>
      <sheetName val="_x005f_x005f_x005f_x005f_x005f_x005f_x005f_x005f_x005f_x005f_"/>
      <sheetName val="其他科目_x005f_x0000__x005f_x0000__x005f_x000a__分析表.X"/>
      <sheetName val="其他科目_x005f_x0000__x005f_x0000__x005f_x000d_[分析表.X"/>
      <sheetName val="B?_x005f_x0000__x005f_x0000__x005f_x0000__x005f_x0000__"/>
      <sheetName val="其他科目_x005f_x0000__x005f_x0000__x005f_x000a_[分析表.X"/>
      <sheetName val="其他科目_x005f_x0000__x005f_x0000_[分析表.XLS]G9-1"/>
      <sheetName val="其他科目_x005f_x0000__x005f_x0000__分析表.XLS_G9-1"/>
      <sheetName val="其他科目_x005f_x0000__x005f_x0000___分析表.XLS_G9-"/>
      <sheetName val="土建表三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"/>
      <sheetName val="损益表"/>
      <sheetName val="财务状况变动表"/>
      <sheetName val="利润分配表"/>
      <sheetName val="主营业务收支明细表"/>
      <sheetName val="短期借款审定表"/>
      <sheetName val="source"/>
      <sheetName val="Sheet1"/>
      <sheetName val="Validation source"/>
      <sheetName val="master"/>
      <sheetName val="个人欠款账龄分析表"/>
      <sheetName val="F110"/>
      <sheetName val="SFS(BUDGET)"/>
      <sheetName val="设备部房屋"/>
      <sheetName val="Financial Exp明细分类账"/>
      <sheetName val="Business Unit"/>
      <sheetName val="数外余额"/>
      <sheetName val="财务费用明细表"/>
      <sheetName val="长期待摊费用明细表"/>
      <sheetName val="财刡父儵単动表"/>
      <sheetName val="#REF"/>
      <sheetName val="F1"/>
      <sheetName val="Collateral"/>
      <sheetName val="B"/>
      <sheetName val="FF-1"/>
      <sheetName val="Marco"/>
      <sheetName val="工业企业财务报表"/>
      <sheetName val="Formula"/>
      <sheetName val="1998"/>
      <sheetName val="船舶日标准"/>
      <sheetName val="1999 Plan Summary"/>
      <sheetName val="12(762mm)套管"/>
      <sheetName val="incomestatement"/>
      <sheetName val="Main"/>
      <sheetName val="FSA"/>
      <sheetName val="Case"/>
      <sheetName val="PL"/>
      <sheetName val="loan database"/>
      <sheetName val="E1020"/>
      <sheetName val="附表6"/>
      <sheetName val="DATA"/>
      <sheetName val="所有制分类"/>
      <sheetName val="4-货币资金-现金"/>
      <sheetName val="SCH-U-5 以前年度损益调整"/>
      <sheetName val="XL4Poppy"/>
      <sheetName val="资料"/>
      <sheetName val="Estimated AP 9.03"/>
      <sheetName val="投资收益明细表"/>
      <sheetName val="封面"/>
      <sheetName val="岭头19-1"/>
      <sheetName val="H100"/>
      <sheetName val="选择报表"/>
      <sheetName val="Client Data"/>
      <sheetName val="Part_Datum"/>
      <sheetName val="BUSINESS OBJECTS"/>
      <sheetName val="A16"/>
      <sheetName val="eqpmad2"/>
      <sheetName val="SAD effects"/>
      <sheetName val="上报资产负债表"/>
      <sheetName val="上报损益表"/>
      <sheetName val="现金流量表（月报）"/>
      <sheetName val="补充表"/>
      <sheetName val="Dora"/>
      <sheetName val="关联交易-存款"/>
      <sheetName val="其他货币资金.dbf"/>
      <sheetName val="银行存款.dbf"/>
      <sheetName val="OutSum"/>
      <sheetName val="accode"/>
      <sheetName val="存货明细2002"/>
      <sheetName val="zero"/>
      <sheetName val="Lists"/>
      <sheetName val="钻井(调整)"/>
      <sheetName val="CS02表"/>
      <sheetName val="六期B区CS02"/>
      <sheetName val="CS01A汇总"/>
      <sheetName val="G102"/>
      <sheetName val="前提1-综合"/>
      <sheetName val="生产成本账"/>
      <sheetName val="低易品在库及低易品在用"/>
      <sheetName val="资产负债表弘通200504"/>
      <sheetName val="2001"/>
      <sheetName val="利润分析"/>
      <sheetName val="资产负债分析"/>
      <sheetName val="Sheet2"/>
      <sheetName val="Currencies and exchange rates"/>
      <sheetName val="K311 A_List02"/>
      <sheetName val="VCC 11110-461"/>
      <sheetName val="企业表一"/>
      <sheetName val="M-5C"/>
      <sheetName val="M-5A"/>
      <sheetName val="TOP10"/>
      <sheetName val="A300-2014-futrue"/>
      <sheetName val="本部"/>
      <sheetName val="AFEMAI"/>
      <sheetName val="A300_Shining Investment (HK)"/>
      <sheetName val="WORKING"/>
      <sheetName val="CONTRACT REGISTER"/>
      <sheetName val="数字视频并帐"/>
      <sheetName val="户名"/>
      <sheetName val="IV-2-4"/>
      <sheetName val="IV-2-6"/>
      <sheetName val="IV-2-5"/>
      <sheetName val="IV-2-17"/>
      <sheetName val="结果汇总表 (万元)"/>
      <sheetName val="核算项目余额表"/>
      <sheetName val="AGENT"/>
      <sheetName val="现金流量表"/>
      <sheetName val="明细账"/>
      <sheetName val="条件"/>
      <sheetName val="COMMON"/>
      <sheetName val="Salary"/>
      <sheetName val="应付帐款帐龄分析表"/>
      <sheetName val="A3.1 2012"/>
      <sheetName val="合同库"/>
      <sheetName val="公司间应收RMB香港"/>
      <sheetName val="未完工合同成本安装"/>
      <sheetName val="应付帐款安装费"/>
      <sheetName val=""/>
      <sheetName val="示范99tzfl"/>
      <sheetName val="1月"/>
      <sheetName val="외화금융(97-03)"/>
      <sheetName val="一般管理费用基础表01"/>
      <sheetName val="2003海工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科目余额表"/>
      <sheetName val="清单定稿"/>
      <sheetName val="资产负债表(97)"/>
      <sheetName val="M_1_1"/>
      <sheetName val="货币资金主表"/>
      <sheetName val="差异调整97"/>
      <sheetName val="差异调整95"/>
      <sheetName val="差异调整96"/>
      <sheetName val="三家其他应付公司"/>
      <sheetName val="成本"/>
      <sheetName val="材料消耗"/>
      <sheetName val="Breakdown"/>
      <sheetName val="Purchase"/>
      <sheetName val="4-2.销售分公司应收帐款"/>
      <sheetName val="生产成本明细账"/>
      <sheetName val="符号标识"/>
      <sheetName val="资产负债表汇编"/>
      <sheetName val="Repayment Summary"/>
      <sheetName val="预付款项RMB租金"/>
      <sheetName val="未完工合同成本设备"/>
      <sheetName val="H053"/>
      <sheetName val="W"/>
      <sheetName val="Equip.-FTY"/>
      <sheetName val="LJSZ BS"/>
      <sheetName val="W3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出库截至测试"/>
      <sheetName val="入库截至测试"/>
      <sheetName val="物料收发汇总表"/>
      <sheetName val="标准零件库"/>
      <sheetName val="中山低值"/>
      <sheetName val="工时统计"/>
      <sheetName val="BS"/>
      <sheetName val="明细分类账"/>
      <sheetName val="VE20"/>
      <sheetName val="GB"/>
      <sheetName val="NE"/>
      <sheetName val="初选车间基础资料"/>
      <sheetName val="HQ-AP,Prep.NP"/>
      <sheetName val="资产类"/>
      <sheetName val="负债类"/>
      <sheetName val="损益类"/>
      <sheetName val="A3_conso"/>
      <sheetName val="BALANCE SHEET"/>
      <sheetName val="管理费用明细"/>
      <sheetName val="清单12.31"/>
      <sheetName val="Sheet1 (11)"/>
      <sheetName val="申报表封面"/>
      <sheetName val="银行借款询证"/>
      <sheetName val="KM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预付帐龄"/>
      <sheetName val="开户参数表"/>
      <sheetName val="退货余额表"/>
      <sheetName val="PRC 13"/>
      <sheetName val="末交增值税"/>
      <sheetName val="PER SALES ORG"/>
      <sheetName val="库存商品余额表.dbf"/>
      <sheetName val="总分类账"/>
      <sheetName val="P&amp;L Report-S"/>
      <sheetName val="P&amp;L Report-M"/>
      <sheetName val="Staff Welfare"/>
      <sheetName val="Summary"/>
      <sheetName val="N220"/>
      <sheetName val="INVDAYS"/>
      <sheetName val="表三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.R 01"/>
      <sheetName val="Part_Datum"/>
      <sheetName val="数外余额"/>
      <sheetName val="Sheet1"/>
      <sheetName val="资产负债表-2017"/>
      <sheetName val="土建表三乙"/>
      <sheetName val="短期借款审定表"/>
      <sheetName val="调整凭证"/>
      <sheetName val="INV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明细分类账"/>
      <sheetName val="18年优酷返点合计"/>
      <sheetName val="调整凭证"/>
      <sheetName val="B"/>
      <sheetName val="关联交易-存款"/>
      <sheetName val="Part_Datum"/>
      <sheetName val="t_Schema"/>
      <sheetName val="资产负债表-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age1"/>
      <sheetName val="t_Schema"/>
      <sheetName val="短期借款审定表"/>
      <sheetName val="INVDAYS"/>
      <sheetName val="调整凭证"/>
      <sheetName val="F101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F"/>
      <sheetName val="F10"/>
      <sheetName val="F20"/>
      <sheetName val="F100"/>
      <sheetName val="F110&quot;"/>
      <sheetName val="F110"/>
      <sheetName val="F120&quot;"/>
      <sheetName val="F120"/>
      <sheetName val="F130&quot;"/>
      <sheetName val="F130"/>
      <sheetName val="F140&quot;"/>
      <sheetName val="F140"/>
      <sheetName val="F150&quot;"/>
      <sheetName val="F150"/>
      <sheetName val="F160&quot;"/>
      <sheetName val="F160"/>
      <sheetName val="F170&quot;"/>
      <sheetName val="F170"/>
      <sheetName val="F200"/>
      <sheetName val="F201&quot;"/>
      <sheetName val="F201"/>
      <sheetName val="F202"/>
      <sheetName val="F210"/>
      <sheetName val="F211&quot;"/>
      <sheetName val="F211"/>
      <sheetName val="F212"/>
      <sheetName val="F221&quot;"/>
      <sheetName val="F220"/>
      <sheetName val="F221"/>
      <sheetName val="F222"/>
      <sheetName val="F300"/>
      <sheetName val="F310"/>
      <sheetName val="F400"/>
      <sheetName val="F410"/>
      <sheetName val="F500"/>
      <sheetName val="F600"/>
      <sheetName val="F610&quot;"/>
      <sheetName val="F610"/>
      <sheetName val="F700"/>
      <sheetName val="F710&quot;"/>
      <sheetName val="F710"/>
      <sheetName val="F800"/>
      <sheetName val="F810&quot;"/>
      <sheetName val="F810"/>
      <sheetName val="F820"/>
      <sheetName val="F101"/>
      <sheetName val="F2100-半成品"/>
      <sheetName val="F2000-委托加工物资"/>
      <sheetName val="F1000芯片"/>
      <sheetName val="F1100芯片测试费 "/>
      <sheetName val="A.R 01"/>
      <sheetName val="Part_Datum"/>
      <sheetName val="资产负债表-2017"/>
      <sheetName val="t_Schema"/>
      <sheetName val="其他应付款4-12月份明细表"/>
      <sheetName val="短期借款审定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余额表"/>
      <sheetName val="数外余额"/>
      <sheetName val="其他应付款4-12月份明细表"/>
      <sheetName val="Data"/>
      <sheetName val="master"/>
      <sheetName val="2weeeks All  Excess and Shortag"/>
      <sheetName val="Business Unit"/>
      <sheetName val="10.1.1参数"/>
      <sheetName val="ARP-U301"/>
      <sheetName val="U411"/>
      <sheetName val="U201"/>
      <sheetName val="资产负债表"/>
      <sheetName val="DWMC"/>
      <sheetName val="C_301"/>
      <sheetName val="C_311"/>
      <sheetName val="C_318"/>
      <sheetName val="大楼分录"/>
      <sheetName val="真实性U120C"/>
      <sheetName val="CRITERIA1"/>
      <sheetName val="CRITERIA2"/>
      <sheetName val="XL4Poppy"/>
      <sheetName val="数量对比"/>
      <sheetName val="ycl"/>
      <sheetName val="kcsp"/>
      <sheetName val="4-货币资金-现金"/>
      <sheetName val="A4-2"/>
      <sheetName val=""/>
      <sheetName val="（27）实收资本"/>
      <sheetName val="2002年管理费用"/>
      <sheetName val="_x005f_x0000__x005f_x0000__x005f_x0000__x005f_x0000__x0"/>
      <sheetName val="2004年总务部库存变动情况表"/>
      <sheetName val="L1-1"/>
      <sheetName val="Distrib cost"/>
      <sheetName val="KKKKKKKK"/>
      <sheetName val="BS"/>
      <sheetName val="资债比较原"/>
      <sheetName val="1461（12.6）"/>
      <sheetName val="货币资金主表"/>
      <sheetName val="符号标识"/>
      <sheetName val="主营业务成本明细表"/>
      <sheetName val="银行存款明细G2001"/>
      <sheetName val="在产品2001"/>
      <sheetName val="07-所得税"/>
      <sheetName val="06-所得税"/>
      <sheetName val="05-所得税"/>
      <sheetName val="基本情况表"/>
      <sheetName val="索引"/>
      <sheetName val="流资汇总"/>
      <sheetName val="数量金额总账"/>
      <sheetName val="FA-06-不看"/>
      <sheetName val="FA-05-不看"/>
      <sheetName val="物业调整"/>
      <sheetName val="利润表"/>
      <sheetName val="2009 调整分录"/>
      <sheetName val="YS02-02"/>
      <sheetName val="DA-1"/>
      <sheetName val="固定资产2001年折旧"/>
      <sheetName val="所得税凭证抽查"/>
      <sheetName val="调整凭证"/>
      <sheetName val="B"/>
      <sheetName val="_x005f_x0000__x005f_x0000__x005f_x0000__x005f_x0000__x0"/>
      <sheetName val="_x005f_x0000__x005f_x0000__x005f_x0000__x005f_x0000__x0"/>
      <sheetName val="F101"/>
      <sheetName val="_x005f_x0000__x005f_x0000__x005f_x0000__x005f_x0000__x0"/>
      <sheetName val="_x005f_x0000__x005f_x0000__x005f_x0000__x005f_x0000__x0"/>
      <sheetName val="Part_Dat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资料"/>
      <sheetName val="重要事项"/>
      <sheetName val="应付股利"/>
      <sheetName val="短期借款"/>
      <sheetName val="短期借款审定表"/>
      <sheetName val="财务费用"/>
      <sheetName val="长期借款审定表"/>
      <sheetName val="长期投资(母审定)"/>
      <sheetName val="长期投资（母公司）"/>
      <sheetName val="盈余公积"/>
      <sheetName val="盈余公积审定表"/>
      <sheetName val="退货收入"/>
      <sheetName val="凭证库"/>
      <sheetName val="代码"/>
      <sheetName val="余额表"/>
      <sheetName val="数外余额"/>
      <sheetName val="Invested Capital"/>
      <sheetName val="BALANCE SHEET"/>
      <sheetName val="Source"/>
      <sheetName val="资产负债表"/>
      <sheetName val="B"/>
      <sheetName val="FF-3"/>
      <sheetName val="Control"/>
      <sheetName val="Vlookup table"/>
      <sheetName val="discount bank detail"/>
      <sheetName val="其他应付款4-12月份明细表"/>
      <sheetName val="INDEX"/>
      <sheetName val="Tables"/>
      <sheetName val="master"/>
      <sheetName val="选择报表"/>
      <sheetName val="工时统计"/>
      <sheetName val="Export31.03.05"/>
      <sheetName val="FY02"/>
      <sheetName val="Sheet1"/>
      <sheetName val="B2-2001"/>
      <sheetName val="4-货币资金-现金"/>
      <sheetName val="投资收益"/>
      <sheetName val="剥离前"/>
      <sheetName val="BS"/>
      <sheetName val="引用数据"/>
      <sheetName val="C_301"/>
      <sheetName val="C_311"/>
      <sheetName val="C_318"/>
      <sheetName val="original"/>
      <sheetName val="XL4Poppy"/>
      <sheetName val="A4-2"/>
      <sheetName val="Detail BS 1.98"/>
      <sheetName val="P&amp;L"/>
      <sheetName val=""/>
      <sheetName val="销售数量50台以上两年对比情况"/>
      <sheetName val="银行存款明细G2001"/>
      <sheetName val="Distrib cost"/>
      <sheetName val="FA lead"/>
      <sheetName val="_x005f_x0000__x005f_x0000__x005f_x0000__x005f_x0000__x0"/>
      <sheetName val="凤县折旧测算"/>
      <sheetName val="待转内赊销收入"/>
      <sheetName val="改装车系列"/>
      <sheetName val="收入对应付"/>
      <sheetName val="收入对应付2004"/>
      <sheetName val="分项收入明细账12"/>
      <sheetName val="分项成本明细账"/>
      <sheetName val="主营收入明细12"/>
      <sheetName val="中山低值"/>
      <sheetName val="Adm."/>
      <sheetName val="销售毛利润汇总表"/>
      <sheetName val="Erection"/>
      <sheetName val="FA-06-不看"/>
      <sheetName val="FA-05-不看"/>
      <sheetName val="1"/>
      <sheetName val="RSPEC graphs"/>
      <sheetName val="CFD EST"/>
      <sheetName val="Pg Cases RSPEC"/>
      <sheetName val="Sum Table"/>
      <sheetName val="SCORE"/>
      <sheetName val="内部往来"/>
      <sheetName val="备忘录"/>
      <sheetName val="AR-BS"/>
      <sheetName val="#REF"/>
      <sheetName val="ARP"/>
      <sheetName val="A4d"/>
      <sheetName val="2004核对表"/>
      <sheetName val="KKKKKKKK"/>
      <sheetName val="固定资产清单"/>
      <sheetName val="07-所得税"/>
      <sheetName val="06-所得税"/>
      <sheetName val="05-所得税"/>
      <sheetName val="O adj"/>
      <sheetName val="CRITERIA1"/>
      <sheetName val="CRITERIA2"/>
      <sheetName val="5-2-1机器设备"/>
      <sheetName val="5-2-3电子设备等"/>
      <sheetName val="现金流量表2"/>
      <sheetName val="资债比较原"/>
      <sheetName val="#REF!"/>
      <sheetName val="索引"/>
      <sheetName val="Income Statement"/>
      <sheetName val="XREF"/>
      <sheetName val="J1-4002"/>
      <sheetName val="0506合并附注"/>
      <sheetName val="基本情况表"/>
      <sheetName val="货币资金主表"/>
      <sheetName val="2010 AJE"/>
      <sheetName val="企业表一"/>
      <sheetName val="M-5A"/>
      <sheetName val="M-5C"/>
      <sheetName val="Co. Inf."/>
      <sheetName val=""/>
      <sheetName val="t_Schema"/>
      <sheetName val="_x005f_x0000__x005f_x0000__x005f_x0000__x005f_x0000__x0"/>
      <sheetName val="_x005f_x0000__x005f_x0000__x005f_x0000__x005f_x0000__x0"/>
      <sheetName val="_x005f_x0000__x005f_x0000__x005f_x0000__x005f_x0000__x0"/>
      <sheetName val="_x005f_x0000__x005f_x0000__x005f_x0000__x005f_x0000__x0"/>
      <sheetName val="A.R 01"/>
      <sheetName val="调整凭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"/>
      <sheetName val="C100"/>
      <sheetName val="C -02"/>
      <sheetName val="C100-02"/>
      <sheetName val="G"/>
      <sheetName val="G200"/>
      <sheetName val="M"/>
      <sheetName val="M100"/>
      <sheetName val="N"/>
      <sheetName val="N 10"/>
      <sheetName val="N100"/>
      <sheetName val="N300"/>
      <sheetName val="N400"/>
      <sheetName val="N500"/>
      <sheetName val="I"/>
      <sheetName val="I -02"/>
      <sheetName val="J"/>
      <sheetName val="J100"/>
      <sheetName val="J110"/>
      <sheetName val="J111"/>
      <sheetName val="J112"/>
      <sheetName val="J113"/>
      <sheetName val="J114"/>
      <sheetName val="J115"/>
      <sheetName val="J116"/>
      <sheetName val="J117"/>
      <sheetName val="J118"/>
      <sheetName val="J119"/>
      <sheetName val="J120"/>
      <sheetName val="J121"/>
      <sheetName val="J122"/>
      <sheetName val="J200"/>
      <sheetName val="J210"/>
      <sheetName val="J220"/>
      <sheetName val="J230"/>
      <sheetName val="J240"/>
      <sheetName val="J300"/>
      <sheetName val="S"/>
      <sheetName val="S100"/>
      <sheetName val="S200 "/>
      <sheetName val="K"/>
      <sheetName val="K100"/>
      <sheetName val="K110"/>
      <sheetName val="K130"/>
      <sheetName val="K120"/>
      <sheetName val="K140"/>
      <sheetName val="K200"/>
      <sheetName val="K300"/>
      <sheetName val="K400"/>
      <sheetName val="L"/>
      <sheetName val="L100"/>
      <sheetName val="L -02"/>
      <sheetName val="L100 -02"/>
      <sheetName val="U"/>
      <sheetName val="U200"/>
      <sheetName val="U300"/>
      <sheetName val="U400"/>
      <sheetName val="U500"/>
      <sheetName val="U600"/>
      <sheetName val="U700"/>
      <sheetName val="A.R 01"/>
      <sheetName val="Source"/>
      <sheetName val="F130&quot;"/>
      <sheetName val="master"/>
      <sheetName val="选择报表"/>
      <sheetName val="部门折旧"/>
      <sheetName val="F101"/>
      <sheetName val="Part_Datum"/>
      <sheetName val="数外余额"/>
      <sheetName val="企业表一"/>
      <sheetName val="M-5C"/>
      <sheetName val="M-5A"/>
      <sheetName val="t_Sche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320-welfare notup"/>
      <sheetName val="P420-welfare notup"/>
      <sheetName val="O230_DT_00"/>
      <sheetName val="XO240_DT_01"/>
      <sheetName val="XO250_DT_02"/>
      <sheetName val="XO260_DT_03"/>
      <sheetName val="XO270_DT_nts"/>
      <sheetName val="Financial Exp明细分类账"/>
      <sheetName val="Ã«ÀûÂÊ·ÖÎö±í"/>
      <sheetName val="PNL"/>
      <sheetName val="M-5C"/>
      <sheetName val="企业表一"/>
      <sheetName val="M-5A"/>
      <sheetName val="资产负债表"/>
      <sheetName val="source"/>
      <sheetName val="其他应付款4-12月份明细表"/>
      <sheetName val="调整凭证"/>
      <sheetName val="A.R 01"/>
      <sheetName val="F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目录"/>
      <sheetName val="参数表"/>
      <sheetName val="未审资产负债表 "/>
      <sheetName val="未审利润表 "/>
      <sheetName val="资产负债表汇总（合并报表格式）"/>
      <sheetName val="资产负债表汇总（个别报表格式）"/>
      <sheetName val="利润表汇总（合并报表格式）"/>
      <sheetName val="利润表汇总（个别报表格式）"/>
      <sheetName val="未分配利润汇总"/>
      <sheetName val="投资抵销分录原始数据"/>
      <sheetName val="本年抵消分录汇总"/>
      <sheetName val="上年抵消分录汇总"/>
      <sheetName val="合并、母公司资产负债表"/>
      <sheetName val="合并资产负债表 "/>
      <sheetName val="合并、母公司利润表"/>
      <sheetName val="合并利润表 "/>
      <sheetName val="合并、母公司现金流量表 "/>
      <sheetName val="合并现金流量表"/>
      <sheetName val="合并所有者权益变动表 (分年打印)"/>
      <sheetName val="合并所有者权益变动表"/>
      <sheetName val="资产负债表合并底稿"/>
      <sheetName val="期初资产负债表试算平衡表"/>
      <sheetName val="本年利润表合并底稿"/>
      <sheetName val="期初利润表试算平衡"/>
      <sheetName val="合并现金流量表合并底稿"/>
      <sheetName val="现金流量表（个别报表）"/>
      <sheetName val="未分配利润合并底稿"/>
      <sheetName val="Sheet2"/>
      <sheetName val="数外余额"/>
      <sheetName val="t_Schema"/>
      <sheetName val="企业表一"/>
      <sheetName val="M-5C"/>
      <sheetName val="M-5A"/>
      <sheetName val="其他应付款4-12月份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核算项目明细账"/>
      <sheetName val="A.R 01"/>
      <sheetName val="F101"/>
      <sheetName val="数外余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00.3.31 (2)"/>
      <sheetName val="应收帐款(贸易部预混料合并)2004.1中牧 "/>
      <sheetName val="应付帐款底稿2004.1月排序 "/>
      <sheetName val="其他应付款2004年1月"/>
      <sheetName val="应收分类2004.1"/>
      <sheetName val="内部采购 2004.1 "/>
      <sheetName val="应收款内部往来2004.1 "/>
      <sheetName val="预提费用 2004.1 "/>
      <sheetName val="长期待摊费用2004.1 "/>
      <sheetName val="预付帐款2004.1 "/>
      <sheetName val="预收帐款2004.1   "/>
      <sheetName val="其他应收款2004年1月"/>
      <sheetName val="固定资产 2004年1月 "/>
      <sheetName val="财务费(汇总)2004年1月 "/>
      <sheetName val="管理费(汇总)2004年1月"/>
      <sheetName val="营业费(汇总）2004年1月 "/>
      <sheetName val="应交税金 (2003.12月)  (新)"/>
      <sheetName val="现金流量表(2003.12月) (新)"/>
      <sheetName val="应收帐款(贸易部预混料合并)2003.12底稿"/>
      <sheetName val="财务快报 (12月) "/>
      <sheetName val="经济指标月报 (12月) "/>
      <sheetName val="资产负债表(2003.12月x "/>
      <sheetName val="损益表 (2003.12月)x "/>
      <sheetName val="现金流量表2003.12"/>
      <sheetName val="现金流量表(2003.12月)"/>
      <sheetName val="应交税金 (2003.12月) "/>
      <sheetName val="营业费(汇总）2003年12月 "/>
      <sheetName val="管理费(汇总)2003年12月 "/>
      <sheetName val="产品销售明细表( 二部12月)x"/>
      <sheetName val="产品销售明细表( 二部12月)(22)"/>
      <sheetName val="产品销售明细表（三部12月）(22)"/>
      <sheetName val="利润比较 (12月三部)  (22)"/>
      <sheetName val="库存商品（12月二部）   (22)"/>
      <sheetName val="库存商品（12月三部）  (22)"/>
      <sheetName val="利润比较表（12月二部）  (22)"/>
      <sheetName val="固定资产 2003年12月 "/>
      <sheetName val="财务费(汇总)2003年12月 "/>
      <sheetName val="其他应收款2003年12月"/>
      <sheetName val="预收帐款2003.12  "/>
      <sheetName val="预付帐款2003.12 "/>
      <sheetName val="长期待摊费用2003.12 "/>
      <sheetName val="预提费用 2002.12 "/>
      <sheetName val="应收款内部往来2003.12 "/>
      <sheetName val="内部采购 2003.12"/>
      <sheetName val="应收分类2003.12"/>
      <sheetName val="其他应付款2003年12月 "/>
      <sheetName val="应付帐款底稿12月排序 "/>
      <sheetName val="应收帐款(贸易部预混料合并)2003.12中牧"/>
      <sheetName val="营业费(贸易部）2003.12 "/>
      <sheetName val="营业费(预混料）2003.12"/>
      <sheetName val="营业费2003年12月 储运部 "/>
      <sheetName val="管理费2003年12月  行政部"/>
      <sheetName val="管理费2003年12月 贸易部"/>
      <sheetName val="管理费2003年12月 预混料部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ࠄ"/>
      <sheetName val="资产负债表"/>
      <sheetName val="11-1"/>
      <sheetName val="#REF!"/>
      <sheetName val="设备部房屋"/>
      <sheetName val="4-货币资金-现金"/>
      <sheetName val="Financial Exp明细分类账"/>
      <sheetName val="E1020"/>
      <sheetName val="标准零件库"/>
      <sheetName val="A430"/>
      <sheetName val="企业表一"/>
      <sheetName val="M-5C"/>
      <sheetName val="M-5A"/>
      <sheetName val="其他应付款4-12月份明细表"/>
      <sheetName val="核算项目明细账"/>
      <sheetName val="A.R 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REXM-L"/>
      <sheetName val="RGSZ-U"/>
      <sheetName val="REXM-P (2)"/>
      <sheetName val="REXM-T"/>
      <sheetName val="TSNJ-E"/>
      <sheetName val="RGXM-J"/>
      <sheetName val="REXM-C"/>
      <sheetName val="TSNJ-C"/>
      <sheetName val="TSSZ-C"/>
      <sheetName val="RGSZ-F"/>
      <sheetName val="RESZ-C"/>
      <sheetName val="REXM-P"/>
      <sheetName val="TSNJ-K"/>
      <sheetName val="TSNJ-G"/>
      <sheetName val="REXM-K"/>
      <sheetName val="TSNJ-L"/>
      <sheetName val="RESZ-L"/>
      <sheetName val="Given"/>
      <sheetName val="Sheet1"/>
      <sheetName val="设备部房屋"/>
      <sheetName val="RESZ-S"/>
      <sheetName val="RESZ-P"/>
      <sheetName val="rgsz-g"/>
      <sheetName val="RGSZ-U (2)"/>
      <sheetName val="resz-n"/>
      <sheetName val="N1040 (2)"/>
      <sheetName val="RGSZ-K"/>
      <sheetName val="E400_F (2)"/>
      <sheetName val="RGSZ-C"/>
      <sheetName val="TSSZ-u"/>
      <sheetName val="tssz-s"/>
      <sheetName val="TSSZ-P"/>
      <sheetName val="N-TSSZ"/>
      <sheetName val="N1040"/>
      <sheetName val="c-tssz"/>
      <sheetName val="U-TSNJ"/>
      <sheetName val="E100_F SS"/>
      <sheetName val="RGSZ-E"/>
      <sheetName val="OS (2)"/>
      <sheetName val="E400_F"/>
      <sheetName val="E100_Fss"/>
      <sheetName val="TSNJ-k (2)"/>
      <sheetName val="REXM-Lf"/>
      <sheetName val="RGXM-K"/>
      <sheetName val="OS"/>
      <sheetName val="TSNJ-U-Update"/>
      <sheetName val="sss"/>
      <sheetName val="TSNJ-P"/>
      <sheetName val="U-TSSZ"/>
      <sheetName val="Q-RESZ-P"/>
      <sheetName val="Q-TSSZ-P"/>
      <sheetName val="TSMT-K"/>
      <sheetName val="TSSZ-E"/>
      <sheetName val="TSSZ-F"/>
      <sheetName val="resz-f"/>
      <sheetName val="RESZ-T"/>
      <sheetName val="rgsz-o"/>
      <sheetName val="ARP-U501"/>
      <sheetName val="企业表一"/>
      <sheetName val="M-5C"/>
      <sheetName val="M-5A"/>
      <sheetName val="K140"/>
      <sheetName val="Source"/>
      <sheetName val="数外余额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设备部房屋"/>
      <sheetName val="设备部构筑物"/>
      <sheetName val="M-5C"/>
      <sheetName val="企业表一"/>
      <sheetName val="M-5A"/>
      <sheetName val="Financial Exp明细分类账"/>
      <sheetName val="B"/>
      <sheetName val="资产负债表"/>
      <sheetName val="Source"/>
      <sheetName val="G102"/>
      <sheetName val="F1910"/>
      <sheetName val="核算项目明细账"/>
      <sheetName val="A.R 01"/>
      <sheetName val="K14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rgsz-o"/>
      <sheetName val="resz-f"/>
      <sheetName val="RESZ-S"/>
      <sheetName val="RESZ-P"/>
      <sheetName val="rgsz-g"/>
      <sheetName val="RGSZ-U (2)"/>
      <sheetName val="resz-n"/>
      <sheetName val="N1040 (2)"/>
      <sheetName val="RGSZ-K"/>
      <sheetName val="E400_F (2)"/>
      <sheetName val="RGSZ-C"/>
      <sheetName val="TSSZ-u"/>
      <sheetName val="tssz-s"/>
      <sheetName val="TSSZ-P"/>
      <sheetName val="N-TSSZ"/>
      <sheetName val="N1040"/>
      <sheetName val="c-tssz"/>
      <sheetName val="U-TSNJ"/>
      <sheetName val="E100_F SS"/>
      <sheetName val="RGSZ-E"/>
      <sheetName val="OS (2)"/>
      <sheetName val="E400_F"/>
      <sheetName val="E100_Fss"/>
      <sheetName val="TSNJ-k (2)"/>
      <sheetName val="REXM-Lf"/>
      <sheetName val="RGXM-K"/>
      <sheetName val="OS"/>
      <sheetName val="TSNJ-U-Update"/>
      <sheetName val="sss"/>
      <sheetName val="TSNJ-P"/>
      <sheetName val="U-TSSZ"/>
      <sheetName val="Q-RESZ-P"/>
      <sheetName val="Q-TSSZ-P"/>
      <sheetName val="TSMT-K"/>
      <sheetName val="TSSZ-E"/>
      <sheetName val="TSSZ-F"/>
      <sheetName val="REXM-L"/>
      <sheetName val="RGSZ-U"/>
      <sheetName val="REXM-P (2)"/>
      <sheetName val="REXM-T"/>
      <sheetName val="TSNJ-E"/>
      <sheetName val="RGXM-J"/>
      <sheetName val="REXM-C"/>
      <sheetName val="TSNJ-C"/>
      <sheetName val="TSSZ-C"/>
      <sheetName val="RGSZ-F"/>
      <sheetName val="RESZ-C"/>
      <sheetName val="REXM-P"/>
      <sheetName val="TSNJ-K"/>
      <sheetName val="TSNJ-G"/>
      <sheetName val="REXM-K"/>
      <sheetName val="TSNJ-L"/>
      <sheetName val="RESZ-L"/>
      <sheetName val="Given"/>
      <sheetName val="RESZ-T"/>
      <sheetName val="K140"/>
      <sheetName val="F101"/>
      <sheetName val="资产负债表"/>
      <sheetName val="设备部房屋"/>
      <sheetName val="M-5C"/>
      <sheetName val="企业表一"/>
      <sheetName val="M-5A"/>
      <sheetName val="核算项目明细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扣除IPO)"/>
      <sheetName val="权责制经营报表-EAS 2204（审计口径）-分析"/>
      <sheetName val="权责制经营报表-EAS 2208（审计口径）"/>
      <sheetName val="财务报表--EAS（原表）"/>
      <sheetName val="投资公司"/>
      <sheetName val="IPO费用"/>
      <sheetName val="毛利收入同期比较"/>
      <sheetName val="季度收入对比"/>
      <sheetName val="成本费用分布（EAS）"/>
      <sheetName val="2020年代运营收入"/>
      <sheetName val="20年代运营费用"/>
      <sheetName val="2022年BI费用"/>
      <sheetName val="2022年店铺费用 "/>
      <sheetName val="2021年1-12月店铺费用"/>
      <sheetName val="2021年1-8月店铺"/>
      <sheetName val="2022年办公费"/>
      <sheetName val="2021年办公费"/>
      <sheetName val="2022年中介费用"/>
      <sheetName val="2021年中介费用"/>
      <sheetName val="22年市场推广费"/>
      <sheetName val="21年市场推广费"/>
      <sheetName val="Sheet1"/>
      <sheetName val="设备部房屋"/>
      <sheetName val="资产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22年抵消（控股） "/>
      <sheetName val="22年关联交易抵消明细（福禄集团）"/>
      <sheetName val="22年分月利润汇总（控股）"/>
      <sheetName val="福禄控股"/>
      <sheetName val="22年分月利润汇总 (香港)"/>
      <sheetName val="福禄（香港）"/>
      <sheetName val="22年分月利润汇总 (科技)"/>
      <sheetName val="福禄（武汉）"/>
      <sheetName val="天津如意"/>
      <sheetName val="海南福禄"/>
      <sheetName val="海南一分"/>
      <sheetName val="海南二分"/>
      <sheetName val="22年分月利润汇总 (福禄)"/>
      <sheetName val="武汉福禄"/>
      <sheetName val="武汉一起游"/>
      <sheetName val="武汉立硕"/>
      <sheetName val="武汉天识"/>
      <sheetName val="武汉搜卡"/>
      <sheetName val="新疆福禄"/>
      <sheetName val="喀什一起玩"/>
      <sheetName val="武汉亿禄"/>
      <sheetName val="新疆葫芦娃"/>
      <sheetName val="西藏葫芦娃"/>
      <sheetName val="武汉福禄私募基金"/>
      <sheetName val="杭州分公司"/>
      <sheetName val="鄂州福禄"/>
      <sheetName val="22年分月利润汇总 (西藏) "/>
      <sheetName val="湖北氪金"/>
      <sheetName val="西藏福禄"/>
      <sheetName val="武汉福禄创新"/>
      <sheetName val="福建福禄"/>
      <sheetName val="资产负债表"/>
      <sheetName val="核算项目明细账"/>
      <sheetName val="设备部房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扣除IPO)"/>
      <sheetName val="权责制经营报表-EAS 2204（审计口径）-分析"/>
      <sheetName val="权责制经营报表-EAS 2209（审计口径）"/>
      <sheetName val="财务报表--EAS（原表）"/>
      <sheetName val="投资公司"/>
      <sheetName val="IPO费用"/>
      <sheetName val="毛利收入同期比较"/>
      <sheetName val="季度收入对比"/>
      <sheetName val="成本费用分布（EAS）"/>
      <sheetName val="2020年代运营收入"/>
      <sheetName val="20年代运营费用"/>
      <sheetName val="2022年BI费用"/>
      <sheetName val="2022年店铺费用 "/>
      <sheetName val="2021年1-12月店铺费用"/>
      <sheetName val="2021年1-9月店铺"/>
      <sheetName val="2022年办公费"/>
      <sheetName val="2021年办公费"/>
      <sheetName val="2022年中介费用"/>
      <sheetName val="2021年中介费用"/>
      <sheetName val="22年市场推广费"/>
      <sheetName val="21年市场推广费"/>
      <sheetName val="Sheet1"/>
      <sheetName val="K140"/>
      <sheetName val="资产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1"/>
      <sheetName val="挽风"/>
      <sheetName val="练练"/>
      <sheetName val="游云"/>
      <sheetName val="映月"/>
      <sheetName val="云时"/>
      <sheetName val="中智"/>
      <sheetName val="灵活用工-企管"/>
      <sheetName val="企业福利"/>
      <sheetName val="小幅"/>
      <sheetName val="揽星"/>
      <sheetName val="特特"/>
      <sheetName val="灵活用工-推广"/>
      <sheetName val="客服"/>
      <sheetName val="康海-资金组"/>
      <sheetName val="灵活用工项目-行政"/>
      <sheetName val="履约消费项目"/>
      <sheetName val="一卡通"/>
      <sheetName val="普麦"/>
      <sheetName val="灵活用工-上海灵盟"/>
      <sheetName val="设备部房屋"/>
      <sheetName val="K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挽风"/>
      <sheetName val="练练"/>
      <sheetName val="游云"/>
      <sheetName val="映月"/>
      <sheetName val="云时"/>
      <sheetName val="企业福利"/>
      <sheetName val="小福"/>
      <sheetName val="揽星"/>
      <sheetName val="特特"/>
      <sheetName val="灵活用工-推广"/>
      <sheetName val="客服"/>
      <sheetName val="康海-资金组"/>
      <sheetName val="灵活用工项目-行政"/>
      <sheetName val="履约消费项目"/>
      <sheetName val="一卡通"/>
      <sheetName val="普麦"/>
      <sheetName val="LC"/>
      <sheetName val="中智"/>
      <sheetName val="灵活用工-企管"/>
      <sheetName val="灵活用工-上海灵盟"/>
      <sheetName val="供应商毛利23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代运营店铺GMV统计2023年1-12月"/>
      <sheetName val="维缇1-6月"/>
      <sheetName val="创想1-6月"/>
      <sheetName val="维缇7-10月"/>
      <sheetName val="创想7-10"/>
      <sheetName val="Sheet1"/>
      <sheetName val="广州金逸6月代运营收入"/>
      <sheetName val="朝夕光年3-5月汇总"/>
      <sheetName val="西瓜视频代运营"/>
      <sheetName val="GMV+收入成本（改）"/>
      <sheetName val="应收代运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范围确认"/>
      <sheetName val="GMV-战略需求"/>
      <sheetName val="毛利-战略需求"/>
      <sheetName val="上市公司经营概况"/>
      <sheetName val="投资公司"/>
      <sheetName val="利润组成"/>
      <sheetName val="GMV销售额波动分析（分月、年）"/>
      <sheetName val="GMV销售平台占比"/>
      <sheetName val="GMV表-品牌"/>
      <sheetName val="GMV表-商品大类"/>
      <sheetName val="毛利-收入组成"/>
      <sheetName val="毛利-留存率"/>
      <sheetName val="毛利-品牌"/>
      <sheetName val="毛利-供应商"/>
      <sheetName val="前十大供应商"/>
      <sheetName val="肯德基残值收入"/>
      <sheetName val="立减金税损"/>
      <sheetName val="腾讯&amp;爱奇艺成本"/>
      <sheetName val="返点中间单据"/>
      <sheetName val="代运营中间单据"/>
      <sheetName val="代运营成本"/>
      <sheetName val="服务合单"/>
      <sheetName val="2020年收入底稿"/>
      <sheetName val="2020年游戏开发"/>
      <sheetName val="20年推广收入整理"/>
      <sheetName val="2021年收入底稿"/>
      <sheetName val="2021年游戏收入"/>
      <sheetName val="2022年收入底稿"/>
      <sheetName val="代运营店铺GMV统计2023年1-12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yiqiwan0924@163.com-汇总透视"/>
      <sheetName val="BI费用明细表"/>
      <sheetName val="代运营中间单据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取值范围"/>
      <sheetName val="供应商毛利2501"/>
      <sheetName val="供应商毛利2502"/>
      <sheetName val="供应商毛利2503"/>
      <sheetName val="供应商毛利2504"/>
      <sheetName val="供应商毛利2505"/>
      <sheetName val="供应商毛利25年1-5月"/>
      <sheetName val="供应商毛利24年1-12月"/>
      <sheetName val="供应商毛利23.1-12月合计"/>
      <sheetName val="品牌分类底稿"/>
      <sheetName val="留存率汇总"/>
      <sheetName val="盈利能力汇总"/>
      <sheetName val="合并毛利波动"/>
      <sheetName val="通信推广毛利"/>
      <sheetName val="库存档案错误"/>
    </sheetNames>
    <sheetDataSet>
      <sheetData sheetId="0"/>
      <sheetData sheetId="1"/>
      <sheetData sheetId="2"/>
      <sheetData sheetId="3"/>
      <sheetData sheetId="4"/>
      <sheetData sheetId="5">
        <row r="1">
          <cell r="R1" t="str">
            <v>品牌分类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代运营店铺GMV统计2023年1-12月"/>
      <sheetName val="代运营店铺GMV统计2025年1-12月"/>
    </sheetNames>
    <sheetDataSet>
      <sheetData sheetId="0"/>
      <sheetData sheetId="1">
        <row r="14">
          <cell r="AR14">
            <v>1479460726.7717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投资报表注意事项"/>
      <sheetName val="贴PPT数据"/>
      <sheetName val="简报PPT--现金收支分析"/>
      <sheetName val="投资公司对账"/>
      <sheetName val="简表底稿 (万元)"/>
      <sheetName val="简表底稿"/>
      <sheetName val="项目重分类利润-云时调整12月"/>
      <sheetName val="注销清理"/>
      <sheetName val="拆分点单平台"/>
      <sheetName val="长沙星合"/>
      <sheetName val="武汉铭柏"/>
      <sheetName val="武汉双立"/>
      <sheetName val="渠道线项目"/>
    </sheetNames>
    <sheetDataSet>
      <sheetData sheetId="0"/>
      <sheetData sheetId="1"/>
      <sheetData sheetId="2"/>
      <sheetData sheetId="3"/>
      <sheetData sheetId="4">
        <row r="2">
          <cell r="L2">
            <v>666.334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取值范围"/>
      <sheetName val="供应商毛利2501"/>
      <sheetName val="供应商毛利2502"/>
      <sheetName val="供应商毛利2503"/>
      <sheetName val="供应商毛利2504"/>
      <sheetName val="供应商毛利2505"/>
      <sheetName val="供应商毛利2506"/>
      <sheetName val="供应商毛利2507"/>
      <sheetName val="供应商毛利25年1-7月"/>
      <sheetName val="2024调整"/>
      <sheetName val="调整24年"/>
      <sheetName val="供应商毛利24年1-12月"/>
      <sheetName val="2023调整"/>
      <sheetName val="供应商毛利23.1-12月合计"/>
      <sheetName val="品牌分类底稿"/>
      <sheetName val="留存率汇总"/>
      <sheetName val="盈利能力汇总"/>
      <sheetName val="合并毛利波动"/>
      <sheetName val="品牌毛利波动"/>
      <sheetName val="武汉立硕-上海宽娱"/>
      <sheetName val="上海宽娱-返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0">
          <cell r="K30">
            <v>-4236035.96394205</v>
          </cell>
        </row>
        <row r="564">
          <cell r="K564">
            <v>-14841863.2712</v>
          </cell>
        </row>
      </sheetData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697.8734027778" refreshedBy="wjj526" recordCount="691">
  <cacheSource type="worksheet">
    <worksheetSource ref="A1:H692" sheet="2020年收入底稿"/>
  </cacheSource>
  <cacheFields count="8">
    <cacheField name="公司主体" numFmtId="0">
      <sharedItems count="13">
        <s v="武汉福禄"/>
        <s v="武汉搜卡"/>
        <s v="武汉天识"/>
        <s v="武汉立硕"/>
        <s v="西藏福禄"/>
        <s v="一起玩"/>
        <s v="一起游"/>
        <s v="湖北氪金"/>
        <s v="新疆福禄"/>
        <s v="武汉亿禄"/>
        <s v="新疆葫芦娃"/>
        <s v="西藏葫芦娃"/>
        <s v="集团汇总"/>
      </sharedItems>
    </cacheField>
    <cacheField name="月份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收入组成项" numFmtId="0">
      <sharedItems count="13">
        <s v="寄售销售额"/>
        <s v="寄售成本额"/>
        <s v="购销收入"/>
        <s v="购销成本"/>
        <s v="佣金服务收入"/>
        <s v="平台服务收入"/>
        <s v="推广服务收入"/>
        <s v="逾期权益收入"/>
        <s v="平台服务收入（抵消）"/>
        <s v="佣金服务收入（抵消）"/>
        <s v="推广服务收入（抵消）"/>
        <s v="购销收入（抵消）"/>
        <s v="购销成本（抵消）"/>
      </sharedItems>
    </cacheField>
    <cacheField name="游戏" numFmtId="176">
      <sharedItems containsString="0" containsBlank="1" containsNumber="1" minValue="-15113624.0002" maxValue="187429414.76" count="373">
        <n v="187429414.76"/>
        <n v="157125703.94"/>
        <n v="113254170.87"/>
        <n v="82022638.3799998"/>
        <n v="107503941.53"/>
        <n v="92902926.07"/>
        <n v="108033681.1"/>
        <n v="111255797.63"/>
        <n v="69931879.84"/>
        <n v="64669929.5499999"/>
        <n v="65763024.83"/>
        <n v="59364616.9199999"/>
        <n v="185046360.35"/>
        <n v="155617144.02"/>
        <n v="111723550.15"/>
        <n v="80873789.3299999"/>
        <n v="105996579.25"/>
        <n v="91408437.85"/>
        <n v="106287508.0372"/>
        <n v="108882683.6702"/>
        <n v="68979598.22"/>
        <n v="63966129.0982"/>
        <n v="64782923.64"/>
        <n v="58380138.2142"/>
        <n v="406744.56"/>
        <n v="51903.65"/>
        <n v="235363.52"/>
        <n v="254365.06"/>
        <n v="1000068.97"/>
        <n v="56843.38"/>
        <n v="42045.88"/>
        <n v="31949.81"/>
        <n v="15943.71"/>
        <n v="2222.14"/>
        <n v="-843.57"/>
        <n v="18109.97"/>
        <n v="424581.81"/>
        <n v="55057.48"/>
        <n v="249126.36"/>
        <n v="265089.44"/>
        <n v="1037065.55"/>
        <n v="56732.58"/>
        <n v="52779.9"/>
        <n v="38870.69"/>
        <n v="20063.44"/>
        <n v="8657.9"/>
        <n v="5067.18"/>
        <n v="19872.17"/>
        <n v="16874.34"/>
        <n v="29620"/>
        <n v="40373.9"/>
        <n v="36961.5"/>
        <n v="395037.53"/>
        <n v="25744.64"/>
        <n v="115670.33"/>
        <n v="25708.13"/>
        <n v="24702.1"/>
        <n v="26136.3"/>
        <n v="40594.48"/>
        <n v="26165.84"/>
        <n v="0"/>
        <n v="4871.96"/>
        <n v="2096.15"/>
        <n v="23.58"/>
        <n v="336.11"/>
        <n v="219.66"/>
        <n v="700.8"/>
        <n v="2664.13"/>
        <n v="25409.04"/>
        <n v="82143.28"/>
        <n v="12301.45"/>
        <n v="206672.91"/>
        <n v="8965069.339"/>
        <n v="4191181.4188"/>
        <n v="2732998.71"/>
        <n v="2645212.77"/>
        <n v="4709975.83"/>
        <n v="2484889.77"/>
        <n v="2084085.64"/>
        <n v="1949959.0304"/>
        <n v="2191280.48"/>
        <n v="2902718.99"/>
        <n v="4063447.82"/>
        <n v="3370008.94"/>
        <n v="8710459.83"/>
        <n v="3824332.4"/>
        <n v="2535540.86"/>
        <n v="2508128.27"/>
        <n v="4557335.45"/>
        <n v="2371151.49"/>
        <n v="1941174.02"/>
        <n v="1851032.65"/>
        <n v="1836729.2"/>
        <n v="2440073.5876"/>
        <n v="3678907.76"/>
        <n v="3321942.46"/>
        <m/>
        <n v="-39.62"/>
        <n v="187.92"/>
        <n v="2629.65"/>
        <n v="-0.399999999994179"/>
        <n v="0.0499999999883585"/>
        <n v="6317965.55"/>
        <n v="-50051.0099999998"/>
        <n v="-3754269.33"/>
        <n v="7065.87"/>
        <n v="6317724.5"/>
        <n v="-50058.0099999998"/>
        <n v="-3754278.93"/>
        <n v="7029.09"/>
        <n v="1008731.34"/>
        <n v="1129796.75"/>
        <n v="2797346.14"/>
        <n v="1890565.91"/>
        <n v="2293795.12"/>
        <n v="2871828.76"/>
        <n v="1481856.47"/>
        <n v="1318778.67"/>
        <n v="1752812.02"/>
        <n v="2801002.58"/>
        <n v="1889087.93"/>
        <n v="2291609.35"/>
        <n v="2855097.64"/>
        <n v="1503994.82"/>
        <n v="1287960.53"/>
        <n v="1775162.81"/>
        <n v="13224813.02"/>
        <n v="10407995.49"/>
        <n v="22257146.88"/>
        <n v="20861933.49"/>
        <n v="21786925.13"/>
        <n v="16737973.36"/>
        <n v="25691813.1"/>
        <n v="29726634.31"/>
        <n v="17855028.85"/>
        <n v="22835274.5"/>
        <n v="15410640.88"/>
        <n v="14218202.83"/>
        <n v="13046817.2"/>
        <n v="10260995.75"/>
        <n v="21939656.86"/>
        <n v="20522726.4"/>
        <n v="21449050.4"/>
        <n v="16433390.06"/>
        <n v="25147088.85"/>
        <n v="29091046.44"/>
        <n v="17440681.33"/>
        <n v="22320980.9"/>
        <n v="15064641.2"/>
        <n v="13875994.1514"/>
        <n v="48225392.8"/>
        <n v="-2835115.44"/>
        <n v="17697756.865"/>
        <n v="32680171.0102"/>
        <n v="15518343.4776"/>
        <n v="9160023.06"/>
        <n v="6091003.28"/>
        <n v="-14988727.99"/>
        <n v="25472635.01"/>
        <n v="21699253.83"/>
        <n v="-13749241.94"/>
        <n v="8588434.18999999"/>
        <n v="48097059.8399999"/>
        <n v="-2934766.12999999"/>
        <n v="17565850.12"/>
        <n v="32581036.89"/>
        <n v="15312384.4"/>
        <n v="9003786.772"/>
        <n v="5909964.13"/>
        <n v="-15113624.0002"/>
        <n v="25203165.35"/>
        <n v="21563803.9"/>
        <n v="-14005538.9"/>
        <n v="8283964.04"/>
        <n v="13466111.85"/>
        <n v="21611259.41"/>
        <n v="16725732.77"/>
        <n v="15150108.2"/>
        <n v="11012453.93"/>
        <n v="8670720.41"/>
        <n v="14965471.36"/>
        <n v="10986640.22"/>
        <n v="8604992.07"/>
        <n v="10606202.94"/>
        <n v="11907596.62"/>
        <n v="9411164.56"/>
        <n v="12987453.54"/>
        <n v="20994266.95"/>
        <n v="16042927.33"/>
        <n v="14852661.09"/>
        <n v="10844943.75"/>
        <n v="8495923.84"/>
        <n v="14643004.52"/>
        <n v="10587869.91"/>
        <n v="8412935.48"/>
        <n v="10211525.94"/>
        <n v="11533223.17"/>
        <n v="8986776.05"/>
        <n v="1046.5"/>
        <n v="61.8"/>
        <n v="324.7"/>
        <n v="296.9"/>
        <n v="680"/>
        <n v="120"/>
        <n v="98.5"/>
        <n v="15"/>
        <n v="78.9"/>
        <n v="128.8"/>
        <n v="56.8"/>
        <n v="135.8"/>
        <n v="128.64"/>
        <n v="42.51"/>
        <n v="235.27"/>
        <n v="217.01"/>
        <n v="497.5"/>
        <n v="82.5"/>
        <n v="65.13"/>
        <n v="10"/>
        <n v="58.75"/>
        <n v="95.75"/>
        <n v="41.75"/>
        <n v="100.99"/>
        <n v="9525719.92"/>
        <n v="14227189.39"/>
        <n v="11453834.67"/>
        <n v="10080886.77"/>
        <n v="9550419.96999999"/>
        <n v="10495631.5"/>
        <n v="11361305.09"/>
        <n v="12584431.45"/>
        <n v="11426315.45"/>
        <n v="8758297.13999999"/>
        <n v="6752994.51"/>
        <n v="3107841.2"/>
        <n v="9190925.3"/>
        <n v="13801889.67"/>
        <n v="11114672.47"/>
        <n v="9867350.75"/>
        <n v="9362465.26"/>
        <n v="10326871.27"/>
        <n v="11126743.84"/>
        <n v="12302284.9782"/>
        <n v="11197547.47"/>
        <n v="8590138.67"/>
        <n v="6649551.74"/>
        <n v="2993366.542"/>
        <n v="363214.66"/>
        <n v="390.54"/>
        <n v="67505.66"/>
        <n v="12045.76"/>
        <n v="-45.28"/>
        <n v="352455.43"/>
        <n v="337.05"/>
        <n v="66687.78"/>
        <n v="11915.46"/>
        <n v="-0.02"/>
        <n v="130299.44"/>
        <n v="25005.52"/>
        <n v="38646.01"/>
        <n v="35882.09"/>
        <n v="61129.84"/>
        <n v="9950.78"/>
        <n v="20897.92"/>
        <n v="29354.64"/>
        <n v="14420.44"/>
        <n v="22690.43"/>
        <n v="21109.25"/>
        <n v="20796.06"/>
        <n v="1676.65"/>
        <n v="308821.7"/>
        <n v="-305991.51"/>
        <n v="47169.81"/>
        <n v="1886.79"/>
        <n v="31"/>
        <n v="12.75"/>
        <n v="26.35"/>
        <n v="135650341.04"/>
        <n v="96303779.51"/>
        <n v="131176714.34"/>
        <n v="78640224.3184"/>
        <n v="85979582.67"/>
        <n v="71103055.76"/>
        <n v="74849530.75"/>
        <n v="93868480.41"/>
        <n v="110969549.66"/>
        <n v="21604890.54"/>
        <n v="83152018.22"/>
        <n v="102107658.87"/>
        <n v="137996408.9"/>
        <n v="93796382.11"/>
        <n v="133347787.47"/>
        <n v="80494964.93"/>
        <n v="87632960.59"/>
        <n v="72405492.42"/>
        <n v="76583814.67"/>
        <n v="95186852.137"/>
        <n v="114694772.7892"/>
        <n v="21832982.15"/>
        <n v="84804636.6346"/>
        <n v="104420928.85"/>
        <n v="13062371.8"/>
        <n v="4033639.04"/>
        <n v="10760021.95"/>
        <n v="7510191.22"/>
        <n v="7570611.74"/>
        <n v="5850722.92"/>
        <n v="4768845.22"/>
        <n v="6437348.06"/>
        <n v="11149139.25"/>
        <n v="-89235.36"/>
        <n v="5264543.5"/>
        <n v="8268741.3"/>
        <n v="35052.79"/>
        <n v="39220.01"/>
        <n v="32728.83"/>
        <n v="57396.55"/>
        <n v="69054.44"/>
        <n v="93595.81"/>
        <n v="232545.61"/>
        <n v="165115.09"/>
        <n v="59314.98"/>
        <n v="129234.05"/>
        <n v="94330.22"/>
        <n v="68640.51"/>
        <n v="23717.12"/>
        <n v="26894.63"/>
        <n v="22802.41"/>
        <n v="40723.87"/>
        <n v="49778"/>
        <n v="79967.64"/>
        <n v="213972.3"/>
        <n v="147146.73"/>
        <n v="49434.1746"/>
        <n v="117432.57"/>
        <n v="81787.0712"/>
        <n v="57829"/>
        <n v="211189.85"/>
        <n v="214586.71"/>
        <n v="683253.91"/>
        <n v="573548.56"/>
        <n v="1387503.12"/>
        <n v="2417050.71"/>
        <n v="1313410.29"/>
        <n v="1412200.18"/>
        <n v="1228329.79"/>
        <n v="1072030.19"/>
        <n v="1920338.59"/>
        <n v="1644389.38"/>
        <n v="173073.02"/>
        <n v="154061.09"/>
        <n v="497938.6"/>
        <n v="387814.11"/>
        <n v="1124111.77"/>
        <n v="2095109.71"/>
        <n v="1065857.71"/>
        <n v="1170828.42"/>
        <n v="973327.03"/>
        <n v="767079.24"/>
        <n v="1641976.07"/>
        <n v="1398894.98"/>
        <n v="25484.62"/>
        <n v="79776.54"/>
        <n v="206687.19"/>
        <n v="2443.02"/>
        <n v="39466.37"/>
        <n v="1131247.83"/>
        <n v="3820.15"/>
        <n v="1997244.72"/>
        <n v="249034.24"/>
        <n v="1240182.55"/>
        <n v="890883.48"/>
        <n v="231345.44"/>
        <n v="159804.34"/>
      </sharedItems>
    </cacheField>
    <cacheField name="通信" numFmtId="176">
      <sharedItems containsString="0" containsBlank="1" containsNumber="1" minValue="-527490.12" maxValue="798162167.74" count="247">
        <n v="533610426.269998"/>
        <n v="666984893.580001"/>
        <n v="615193802.67"/>
        <n v="611000255.89"/>
        <n v="661515108.259998"/>
        <n v="761208210.74"/>
        <n v="615241295.020003"/>
        <n v="569915062.779998"/>
        <n v="670717491.250001"/>
        <n v="798162167.74"/>
        <n v="788119169.840005"/>
        <n v="788569650.139998"/>
        <n v="531794990.889999"/>
        <n v="665239857.899999"/>
        <n v="612375063.029999"/>
        <n v="608983764.459999"/>
        <n v="657226194.049998"/>
        <n v="756884172.940001"/>
        <n v="610218184.509998"/>
        <n v="566674709.5362"/>
        <n v="667188628.15"/>
        <n v="793808937.382798"/>
        <n v="784336429.920001"/>
        <n v="785464753.9666"/>
        <n v="5150393.82"/>
        <n v="3972940.72"/>
        <n v="1481937.17"/>
        <n v="12032.96"/>
        <n v="358018.55"/>
        <n v="0"/>
        <n v="2389151.59"/>
        <n v="170298.39"/>
        <n v="159664.43"/>
        <n v="545781.78"/>
        <n v="1911037.91"/>
        <n v="-527490.12"/>
        <n v="5148154.79"/>
        <n v="4141974.87"/>
        <n v="1520726.88"/>
        <n v="12115.41"/>
        <n v="356683.15"/>
        <n v="2384397.7"/>
        <n v="168134.5"/>
        <n v="183687.96"/>
        <n v="545910.77"/>
        <n v="2048771.6"/>
        <n v="-455879.94"/>
        <n v="635984.4"/>
        <n v="846099.94"/>
        <n v="227448.86"/>
        <n v="332855.89"/>
        <n v="350912.47"/>
        <n v="621224.81"/>
        <n v="240331.24"/>
        <n v="358554.05"/>
        <n v="360098.64"/>
        <n v="425835.81"/>
        <n v="431850.9"/>
        <n v="567888.52"/>
        <n v="7202"/>
        <n v="2317"/>
        <m/>
        <n v="132666181.47"/>
        <n v="210241183.65"/>
        <n v="308809050.05"/>
        <n v="303537937.45"/>
        <n v="163415596.95"/>
        <n v="94236766.79"/>
        <n v="38610871.39"/>
        <n v="15796429.55"/>
        <n v="29884691.9"/>
        <n v="32958738.33"/>
        <n v="38933178.56"/>
        <n v="10005565.56"/>
        <n v="132327125.34"/>
        <n v="210155704.88"/>
        <n v="308702697.08"/>
        <n v="303392358.41"/>
        <n v="163341160.61"/>
        <n v="94122092.16"/>
        <n v="38415901.91"/>
        <n v="15605181.34"/>
        <n v="29394988.57"/>
        <n v="32311401.7042"/>
        <n v="38451634.1636"/>
        <n v="10096007.99"/>
        <n v="6159769.05"/>
        <n v="3961561.13"/>
        <n v="6395987.34"/>
        <n v="3918116.78"/>
        <n v="1460657.48"/>
        <n v="2048764.83"/>
        <n v="2150508.1"/>
        <n v="1871502.24"/>
        <n v="2003978.73"/>
        <n v="3692634.32"/>
        <n v="2831833.58"/>
        <n v="2458842.71"/>
        <n v="6227300.78"/>
        <n v="3994372.55"/>
        <n v="6472367.76"/>
        <n v="3820725.95"/>
        <n v="691687.15"/>
        <n v="2691229.2"/>
        <n v="2105133.95"/>
        <n v="1860856.77"/>
        <n v="1967423.06"/>
        <n v="3620755.44"/>
        <n v="2819800.2"/>
        <n v="2479573.16"/>
        <n v="598.12"/>
        <n v="1174.4694"/>
        <n v="886.4"/>
        <n v="47.33"/>
        <n v="45.74"/>
        <n v="220.18"/>
        <n v="680.36"/>
        <n v="491.64"/>
        <n v="30"/>
        <n v="805.14"/>
        <n v="1580.46"/>
        <n v="1192.81"/>
        <n v="1182.87"/>
        <n v="223.01"/>
        <n v="213.04"/>
        <n v="659.83"/>
        <n v="458.86"/>
        <n v="27"/>
        <n v="760032.06"/>
        <n v="760032.05"/>
        <n v="42806494.7200001"/>
        <n v="51735372.41"/>
        <n v="54472249.0400001"/>
        <n v="51398289.5500001"/>
        <n v="54309972.1500001"/>
        <n v="55031015.47"/>
        <n v="43999253.09"/>
        <n v="39212153.9"/>
        <n v="41597425.65"/>
        <n v="30569298.05"/>
        <n v="22786840.65"/>
        <n v="21225946.9700001"/>
        <n v="42929181.62"/>
        <n v="51822994.36"/>
        <n v="54521290.15"/>
        <n v="51472365.17"/>
        <n v="54528054.2600001"/>
        <n v="55282183.8399999"/>
        <n v="44173629.53"/>
        <n v="39350298.73"/>
        <n v="41771356.22"/>
        <n v="30685711.31"/>
        <n v="22805554.94"/>
        <n v="21226883.112"/>
        <n v="461162.83"/>
        <n v="351168.55"/>
        <n v="618188.44"/>
        <n v="523954.14"/>
        <n v="1005328.69"/>
        <n v="2645616.73"/>
        <n v="3032947.92"/>
        <n v="1358491.84"/>
        <n v="1790975.94"/>
        <n v="1944927.4"/>
        <n v="2320915.02"/>
        <n v="2018689.85"/>
        <n v="453981.74"/>
        <n v="344861.05"/>
        <n v="609971.51"/>
        <n v="516838.17"/>
        <n v="975180.79"/>
        <n v="2613585.92"/>
        <n v="2993477.47"/>
        <n v="1337839"/>
        <n v="1765304.96"/>
        <n v="1915529.09"/>
        <n v="2292652.82"/>
        <n v="2154858.15"/>
        <n v="365"/>
        <n v="-36990"/>
        <n v="229.75"/>
        <n v="310.39"/>
        <n v="840.96"/>
        <n v="790.93"/>
        <n v="728.79"/>
        <n v="4868.09"/>
        <n v="1221.43"/>
        <n v="1039.66"/>
        <n v="871.01"/>
        <n v="1618.33"/>
        <n v="942.22"/>
        <n v="983.57"/>
        <n v="799.16"/>
        <n v="308.14"/>
        <n v="834.96"/>
        <n v="785.22"/>
        <n v="722.7"/>
        <n v="4811.4"/>
        <n v="1208.49"/>
        <n v="1031.61"/>
        <n v="862.05"/>
        <n v="1605.75"/>
        <n v="943.11"/>
        <n v="981"/>
        <n v="793.65"/>
        <n v="87735.85"/>
        <n v="500"/>
        <n v="36898.6"/>
        <n v="25207"/>
        <n v="37835173.44"/>
        <n v="330874191.65"/>
        <n v="298623746.05"/>
        <n v="499.51"/>
        <n v="36435.1"/>
        <n v="24822.79"/>
        <n v="37605527.1288"/>
        <n v="329058817.7682"/>
        <n v="296939389"/>
        <n v="47.57"/>
        <n v="31.72"/>
        <n v="3.48"/>
        <n v="1095"/>
        <n v="2.55"/>
        <n v="689.25"/>
        <n v="199603.08"/>
        <n v="78459.51"/>
        <n v="327761.22"/>
        <n v="49905.68"/>
        <n v="317441.38"/>
        <n v="968728.75"/>
        <n v="2390343.54"/>
        <n v="171658.87"/>
        <n v="194123.41"/>
        <n v="581375.05"/>
        <n v="315132.3"/>
        <n v="942789.13"/>
        <n v="153638.86"/>
        <n v="60830.19"/>
        <n v="294055.85"/>
        <n v="50"/>
        <n v="298191.89"/>
        <n v="782115.53"/>
        <n v="2408812.01"/>
        <n v="212888.18"/>
        <n v="156376.88"/>
        <n v="211104.05"/>
        <n v="932532.15"/>
      </sharedItems>
    </cacheField>
    <cacheField name="网娱" numFmtId="176">
      <sharedItems containsString="0" containsBlank="1" containsNumber="1" minValue="-1364015.81" maxValue="195257845.6" count="509">
        <n v="54033466.6000001"/>
        <n v="85540308.7799996"/>
        <n v="112676909.08"/>
        <n v="116551278.98"/>
        <n v="120904063.23"/>
        <n v="177436920.12"/>
        <n v="162978588.76"/>
        <n v="169199209.23"/>
        <n v="153787589.56"/>
        <n v="140239931.45"/>
        <n v="195257845.6"/>
        <n v="159335548.340001"/>
        <n v="51497008.4500002"/>
        <n v="82134021.67"/>
        <n v="109733495.18"/>
        <n v="113600777.209999"/>
        <n v="119325586.07"/>
        <n v="176014467.299999"/>
        <n v="160068359.87"/>
        <n v="164322595.3158"/>
        <n v="151955326.28"/>
        <n v="136721448.1588"/>
        <n v="190096722.6996"/>
        <n v="157553876.2216"/>
        <n v="4129815.94"/>
        <n v="279553"/>
        <n v="795696.71"/>
        <n v="1007160.5"/>
        <n v="1790483.78"/>
        <n v="1258644.81"/>
        <n v="1454076.07"/>
        <n v="1079588.84"/>
        <n v="1370957.68"/>
        <n v="305162.58"/>
        <n v="4322463.02"/>
        <n v="7607512.53"/>
        <n v="3938588.18"/>
        <n v="260134.83"/>
        <n v="752400.18"/>
        <n v="854478.78"/>
        <n v="1671502.46"/>
        <n v="1573160.57"/>
        <n v="1527914.45"/>
        <n v="1067493.11"/>
        <n v="1220537.12"/>
        <n v="295498.35"/>
        <n v="4998220.52"/>
        <n v="7386619.96"/>
        <n v="35318.6"/>
        <n v="36145.28"/>
        <n v="63192.28"/>
        <n v="17913.98"/>
        <n v="75088.36"/>
        <n v="405547.84"/>
        <n v="282952.51"/>
        <n v="56955.25"/>
        <n v="48636"/>
        <n v="-66046.33"/>
        <n v="1107501.14"/>
        <n v="203104.79"/>
        <n v="86103.47"/>
        <n v="88845.38"/>
        <n v="85093.94"/>
        <n v="0"/>
        <n v="709.23"/>
        <n v="269600.58"/>
        <n v="60154.53"/>
        <n v="317989.86"/>
        <n v="571248.61"/>
        <n v="1306876.3"/>
        <n v="3753774.69"/>
        <n v="95807.89"/>
        <m/>
        <n v="572335.5268"/>
        <n v="12542.4156"/>
        <n v="1527.3"/>
        <n v="567.9"/>
        <n v="1293.9"/>
        <n v="4295.7"/>
        <n v="12779.2"/>
        <n v="102644.66"/>
        <n v="5817774.87"/>
        <n v="23398275.77"/>
        <n v="47403612.25"/>
        <n v="46572210.77"/>
        <n v="568555.27"/>
        <n v="10334.16"/>
        <n v="972.26"/>
        <n v="516.2"/>
        <n v="1196.6"/>
        <n v="4126.7"/>
        <n v="8175.6"/>
        <n v="95054.72"/>
        <n v="5745406.18"/>
        <n v="22968556.3564"/>
        <n v="46371858.0042"/>
        <n v="45392921.9346"/>
        <n v="375.48"/>
        <n v="1926.48"/>
        <n v="2750.77"/>
        <n v="1879.43"/>
        <n v="428.27"/>
        <n v="1712.16"/>
        <n v="2435.87"/>
        <n v="1548.93"/>
        <n v="363.55"/>
        <n v="3.52000000048429"/>
        <n v="2288217.09"/>
        <n v="43652.8799999999"/>
        <n v="235019.07"/>
        <n v="551503.67"/>
        <n v="3.46999999924446"/>
        <n v="2287495.47"/>
        <n v="35164.54"/>
        <n v="218516.560000001"/>
        <n v="520715.06"/>
        <n v="8300832.97"/>
        <n v="4203051.26"/>
        <n v="2411740.42"/>
        <n v="2338498.87"/>
        <n v="3638229.13"/>
        <n v="5945569.7"/>
        <n v="5800502.58"/>
        <n v="6679262.44"/>
        <n v="2151059.91"/>
        <n v="3769341.1"/>
        <n v="9671494.61"/>
        <n v="1208.98"/>
        <n v="8267613.79"/>
        <n v="4203044.72"/>
        <n v="2338479.96"/>
        <n v="3638229"/>
        <n v="5953298.45"/>
        <n v="5800501.95"/>
        <n v="6679193.61"/>
        <n v="2149648.2"/>
        <n v="3735266.39"/>
        <n v="9671491.91"/>
        <n v="2323.72"/>
        <n v="300337.73"/>
        <n v="1564903.73"/>
        <n v="1482335.724"/>
        <n v="1423464.61"/>
        <n v="948523.58"/>
        <n v="941433.76"/>
        <n v="629018.169999999"/>
        <n v="673456.49"/>
        <n v="5758830.53"/>
        <n v="2768489.81"/>
        <n v="3202531.16"/>
        <n v="2040211.56"/>
        <n v="2755851.54"/>
        <n v="1479769.89"/>
        <n v="1452622.44"/>
        <n v="1298433.12"/>
        <n v="911612.33"/>
        <n v="925238.53"/>
        <n v="619544.366"/>
        <n v="663378.59"/>
        <n v="5618188.2644"/>
        <n v="2702456.8014"/>
        <n v="3134894.9344"/>
        <n v="2011272.33"/>
        <n v="2784291.279"/>
        <n v="14359332.22"/>
        <n v="10946616.08"/>
        <n v="13740125.29"/>
        <n v="17608330.25"/>
        <n v="13299182.66"/>
        <n v="15077545.01"/>
        <n v="11567351.9"/>
        <n v="20409136.16"/>
        <n v="7811499.59"/>
        <n v="8718027.12"/>
        <n v="11990965.34"/>
        <n v="19889309.79"/>
        <n v="14805312.9"/>
        <n v="10876162.27"/>
        <n v="13770487.98"/>
        <n v="17854084.99"/>
        <n v="13888318.76"/>
        <n v="15741036.83"/>
        <n v="11965551.4"/>
        <n v="20287416.69"/>
        <n v="8491148.16"/>
        <n v="8791178.18"/>
        <n v="12468648.54"/>
        <n v="19983148.4"/>
        <n v="33929.94"/>
        <n v="22425.76"/>
        <n v="916785.55"/>
        <n v="671427.11"/>
        <n v="602801.61"/>
        <n v="827735.83"/>
        <n v="864429.55"/>
        <n v="119281.53"/>
        <n v="761295.93"/>
        <n v="492799.21"/>
        <n v="665980.25"/>
        <n v="541430.7"/>
        <n v="38898.33"/>
        <n v="18973.14"/>
        <n v="66503.2"/>
        <n v="51234.16"/>
        <n v="91353.76"/>
        <n v="34104.74"/>
        <n v="34902.46"/>
        <n v="95920.46"/>
        <n v="284960.2"/>
        <n v="3432521.07"/>
        <n v="38664216.61"/>
        <n v="65551421.665"/>
        <n v="65922619.7876001"/>
        <n v="67628001.265"/>
        <n v="99801639.0999999"/>
        <n v="88842395.6699999"/>
        <n v="64740364.12"/>
        <n v="113960767.5"/>
        <n v="93186836.11"/>
        <n v="103174000.27"/>
        <n v="82804262.7800001"/>
        <n v="3217271.825"/>
        <n v="38716355.45"/>
        <n v="65626594.9349999"/>
        <n v="65983121.8331999"/>
        <n v="67861463.48"/>
        <n v="100019156.86"/>
        <n v="88874576.8200002"/>
        <n v="65150808.81"/>
        <n v="114769227.89"/>
        <n v="92976331.2746"/>
        <n v="101423385.675"/>
        <n v="82864385.6582"/>
        <n v="42380479.74"/>
        <n v="43331976.27"/>
        <n v="38432054.77"/>
        <n v="34054480.44"/>
        <n v="48325523.6"/>
        <n v="77956095.32"/>
        <n v="58986323.46"/>
        <n v="86724431.29"/>
        <n v="40515138.59"/>
        <n v="28145616.34"/>
        <n v="65140713.1"/>
        <n v="106715254.31"/>
        <n v="40060406.64"/>
        <n v="42179245.53"/>
        <n v="36727993.2"/>
        <n v="32195930.02"/>
        <n v="45045651.39"/>
        <n v="73802426.37"/>
        <n v="60509296.63"/>
        <n v="87829862.65"/>
        <n v="36052588.5"/>
        <n v="29308005.01"/>
        <n v="60454476.45"/>
        <n v="95489358.23"/>
        <n v="1241654.22"/>
        <n v="2165646.4"/>
        <n v="1433933.19"/>
        <n v="1324819.91"/>
        <n v="1228832.96"/>
        <n v="3369282.76"/>
        <n v="2703555.91"/>
        <n v="2401542.62"/>
        <n v="3937643.05"/>
        <n v="2745251.83"/>
        <n v="2763163.39"/>
        <n v="2243197.91"/>
        <n v="77555.92"/>
        <n v="87558.2"/>
        <n v="64557.17"/>
        <n v="33835.65"/>
        <n v="28453.11"/>
        <n v="387249.53"/>
        <n v="30387.99"/>
        <n v="114812.83"/>
        <n v="355018.76"/>
        <n v="50854.1"/>
        <n v="469282.05"/>
        <n v="469459.88"/>
        <n v="1262006.26"/>
        <n v="693601.489999999"/>
        <n v="421448.61"/>
        <n v="543092.78"/>
        <n v="752624.12"/>
        <n v="2087584.45"/>
        <n v="1833413.99"/>
        <n v="3972843.61"/>
        <n v="5768584.93"/>
        <n v="4708581.40000001"/>
        <n v="4831479.38"/>
        <n v="6672564.95"/>
        <n v="1085393.92"/>
        <n v="535833.2"/>
        <n v="379232.73"/>
        <n v="469307.21"/>
        <n v="711272.3"/>
        <n v="2068254.09"/>
        <n v="1807891.78"/>
        <n v="3897997.25"/>
        <n v="5695886.571"/>
        <n v="4655773.0328"/>
        <n v="4795173.2052"/>
        <n v="6674830.22"/>
        <n v="1272445.28"/>
        <n v="1579450.85"/>
        <n v="2895581.12"/>
        <n v="2360826.65"/>
        <n v="1600753.95"/>
        <n v="7256270.87"/>
        <n v="1231524.92"/>
        <n v="2280405.06"/>
        <n v="3303722.02"/>
        <n v="937752.18"/>
        <n v="1946794.42"/>
        <n v="3499313.84"/>
        <n v="1473154.69"/>
        <n v="1606267.36"/>
        <n v="2930279.26"/>
        <n v="3103774.86"/>
        <n v="2024523.46"/>
        <n v="10032742.08"/>
        <n v="1463731.27"/>
        <n v="3121090.49"/>
        <n v="4692809.29"/>
        <n v="1022529.51"/>
        <n v="2539876.13"/>
        <n v="3857392.36"/>
        <n v="410057"/>
        <n v="85790.57"/>
        <n v="4010580.79"/>
        <n v="441968.17"/>
        <n v="650954.61"/>
        <n v="4688387.74"/>
        <n v="-1364015.81"/>
        <n v="1257784.02"/>
        <n v="1656334.19"/>
        <n v="258115.98"/>
        <n v="839154.55"/>
        <n v="1646206.78"/>
        <n v="2055899.49"/>
        <n v="666811.75"/>
        <n v="747573.83"/>
        <n v="926451.09"/>
        <n v="944375.83"/>
        <n v="335745.68"/>
        <n v="854435.74"/>
        <n v="1350668.28"/>
        <n v="796695.14"/>
        <n v="336245.07"/>
        <n v="1330500.26"/>
        <n v="526709.83"/>
        <n v="615697.89"/>
        <n v="644461.87"/>
        <n v="609159.08"/>
        <n v="743997.720000001"/>
        <n v="723794.92"/>
        <n v="628039.34"/>
        <n v="1532343.02"/>
        <n v="1296669.27"/>
        <n v="10525260.39"/>
        <n v="29550736.56"/>
        <n v="61618338.8799999"/>
        <n v="55116697.48"/>
        <n v="605094.51"/>
        <n v="626554.22"/>
        <n v="583945.63"/>
        <n v="714480.66"/>
        <n v="696583.55"/>
        <n v="607552"/>
        <n v="1502821.48"/>
        <n v="1274822.11"/>
        <n v="10444503.5284"/>
        <n v="29362459.3928"/>
        <n v="61302711.0904"/>
        <n v="55353541.65"/>
        <n v="196.2"/>
        <n v="120.72"/>
        <n v="150.93"/>
        <n v="135.81"/>
        <n v="209.35"/>
        <n v="90.54"/>
        <n v="297.12"/>
        <n v="158.69"/>
        <n v="90.37"/>
        <n v="123.4"/>
        <n v="104.41"/>
        <n v="146.1"/>
        <n v="168.24"/>
        <n v="68.69"/>
        <n v="202.14"/>
        <n v="772.4"/>
        <n v="657.6"/>
        <n v="377.7"/>
        <n v="350.1"/>
        <n v="25206899.22"/>
        <n v="18777018.81"/>
        <n v="16157566.86"/>
        <n v="19041687.4936"/>
        <n v="15573310.42"/>
        <n v="19207102.46"/>
        <n v="18900261.74"/>
        <n v="14804765.27"/>
        <n v="14921626.23"/>
        <n v="10633654.64"/>
        <n v="21207173.59"/>
        <n v="15196801.3"/>
        <n v="27888188.53"/>
        <n v="18845085"/>
        <n v="16287593.29"/>
        <n v="20199610.23"/>
        <n v="16092940.78"/>
        <n v="21724167"/>
        <n v="20643513.1"/>
        <n v="16319482.37"/>
        <n v="15132501.93"/>
        <n v="10638640.44"/>
        <n v="27988215.67"/>
        <n v="15247641.43"/>
        <n v="4607542.89"/>
        <n v="3317705.46"/>
        <n v="7437885.8"/>
        <n v="3460906.82"/>
        <n v="3541824.47"/>
        <n v="4596722.47"/>
        <n v="5499358.21"/>
        <n v="3743964.54"/>
        <n v="3266533.23"/>
        <n v="1634631.73"/>
        <n v="9821366.17"/>
        <n v="7414261.16"/>
        <n v="207934.2"/>
        <n v="3639502.48"/>
        <n v="1008846.95"/>
        <n v="1006059.66"/>
        <n v="399625.92"/>
        <n v="873067.43"/>
        <n v="725395.03"/>
        <n v="796520.41"/>
        <n v="377417.92"/>
        <n v="1891382.8"/>
        <n v="501855.05"/>
        <n v="29867.42"/>
        <n v="21237.34"/>
        <n v="227704.76"/>
        <n v="888413.88"/>
        <n v="950381.95"/>
        <n v="2013047.59"/>
        <n v="972708.38"/>
        <n v="2039484.92"/>
        <n v="670874.96"/>
        <n v="491815.95"/>
        <n v="1338404.5"/>
        <n v="537104.04"/>
        <n v="23311.57"/>
        <n v="16423.49"/>
        <n v="175023.84"/>
        <n v="765466"/>
        <n v="855528.46"/>
        <n v="1940155.93"/>
        <n v="889003.87"/>
        <n v="1984089.32"/>
        <n v="604737.66"/>
        <n v="393726.2316"/>
        <n v="1187369.9786"/>
        <n v="423695.52"/>
        <n v="10462.32"/>
        <n v="20619.81"/>
        <n v="6901.79"/>
        <n v="914.15"/>
        <n v="36981.13"/>
        <n v="37674.53"/>
        <n v="19235.88"/>
        <n v="1389841.03"/>
        <n v="376287.33"/>
        <n v="8026.43"/>
        <n v="14891.97"/>
        <n v="3109.05"/>
        <n v="520.9"/>
        <n v="27767.45"/>
        <n v="30645.61"/>
        <n v="20585.24"/>
        <n v="1384575.75"/>
        <n v="371458.68"/>
        <n v="942939.01"/>
        <n v="-0.03"/>
        <n v="103346.96"/>
        <n v="93379.06"/>
        <n v="1006059.65"/>
        <n v="399479.04"/>
        <n v="871411.69"/>
        <n v="2223289.11"/>
        <n v="377260.56"/>
        <n v="3694480.58"/>
        <n v="13657749.85"/>
        <n v="6407493.14"/>
        <n v="5272748.16"/>
        <n v="5513518.58"/>
        <n v="7244950.96"/>
        <n v="13327917.68"/>
        <n v="7848099.34"/>
        <n v="20313796.45"/>
        <n v="9473153.16"/>
        <n v="8297271.32"/>
        <n v="16405722.9"/>
        <n v="6239094.09"/>
        <n v="16390768.1"/>
        <n v="6238316.35"/>
      </sharedItems>
    </cacheField>
    <cacheField name="生活服务" numFmtId="176">
      <sharedItems containsString="0" containsBlank="1" containsNumber="1" minValue="-1009936.35" maxValue="62949162.5499999" count="296">
        <n v="2509839.67000001"/>
        <n v="5663419.53"/>
        <n v="8896127.58999999"/>
        <n v="9741044.67999998"/>
        <n v="10818533.89"/>
        <n v="44034641.6900001"/>
        <n v="18440306.72"/>
        <n v="15416182.23"/>
        <n v="22599479.65"/>
        <n v="20460758.01"/>
        <n v="49404781.49"/>
        <n v="62949162.5499999"/>
        <n v="2409235.04"/>
        <n v="5584462.43"/>
        <n v="8579444.92000001"/>
        <n v="9700467.64"/>
        <n v="10585627.26"/>
        <n v="41310817.89"/>
        <n v="16886614.48"/>
        <n v="15034036.5248"/>
        <n v="22456154.3"/>
        <n v="19550370.6028"/>
        <n v="49420670.14"/>
        <n v="62231319.3724"/>
        <n v="153163.83"/>
        <n v="44457.69"/>
        <n v="120072.44"/>
        <n v="91325.97"/>
        <n v="212176.76"/>
        <n v="21988.31"/>
        <n v="734631.87"/>
        <n v="532579.54"/>
        <n v="-858859.56"/>
        <n v="335601.18"/>
        <n v="2156013.34"/>
        <n v="2641358.75"/>
        <n v="141656.44"/>
        <n v="43985.01"/>
        <n v="113606.99"/>
        <n v="83456.53"/>
        <n v="170843.21"/>
        <n v="42408.5"/>
        <n v="740950.33"/>
        <n v="532754.67"/>
        <n v="-1009936.35"/>
        <n v="292058.04"/>
        <n v="2143108.78"/>
        <n v="2597744.6"/>
        <n v="0"/>
        <n v="60604.72"/>
        <m/>
        <n v="4008.92"/>
        <n v="135656.69"/>
        <n v="135801.16"/>
        <n v="374462.14"/>
        <n v="593170.76"/>
        <n v="2666.39"/>
        <n v="2208.05"/>
        <n v="2113.47"/>
        <n v="24266.62"/>
        <n v="196008.24"/>
        <n v="38400"/>
        <n v="400"/>
        <n v="1392"/>
        <n v="128"/>
        <n v="12590"/>
        <n v="350"/>
        <n v="1218"/>
        <n v="112"/>
        <n v="12388.5388"/>
        <n v="2700.72"/>
        <n v="464562.1"/>
        <n v="808005.97"/>
        <n v="688053.57"/>
        <n v="226953.88"/>
        <n v="2265.79999999999"/>
        <n v="463519.2"/>
        <n v="799837.37"/>
        <n v="738020.16"/>
        <n v="270095.43"/>
        <n v="213152.98"/>
        <n v="433746.28"/>
        <n v="623144.42"/>
        <n v="259898.69"/>
        <n v="312949.65"/>
        <n v="622230.53"/>
        <n v="259391.81"/>
        <n v="384554.69"/>
        <n v="116.22"/>
        <n v="50.3562"/>
        <n v="1252.18"/>
        <n v="342.02"/>
        <n v="648.71"/>
        <n v="286.61"/>
        <n v="699.99"/>
        <n v="1024.72"/>
        <n v="48448.42"/>
        <n v="848.69"/>
        <n v="15337.36"/>
        <n v="13362.16"/>
        <n v="90"/>
        <n v="40"/>
        <n v="1228.65"/>
        <n v="4361.34"/>
        <n v="8992.35"/>
        <n v="42470.8"/>
        <n v="17289.9"/>
        <n v="914.85"/>
        <n v="48427.8"/>
        <n v="3672.718"/>
        <n v="15220.8"/>
        <n v="13334.58"/>
        <n v="396.13"/>
        <n v="78.58"/>
        <n v="1108.19"/>
        <n v="4465.75"/>
        <n v="4705.5"/>
        <n v="2631.84"/>
        <n v="2949.34"/>
        <n v="764.16"/>
        <n v="1499247.14"/>
        <n v="68789.07"/>
        <n v="21084.94"/>
        <n v="13780.64"/>
        <n v="1470518.83"/>
        <n v="68775.78"/>
        <n v="21084.54"/>
        <n v="13790.07"/>
        <n v="1052.45"/>
        <n v="17823047.91"/>
        <n v="6997361.11"/>
        <n v="38768240.4146"/>
        <n v="14600083.1398"/>
        <n v="16401706.0752"/>
        <n v="29796036"/>
        <n v="18286290.5"/>
        <n v="13621918.59"/>
        <n v="23406865.56"/>
        <n v="44642505.13"/>
        <n v="61878927.7800001"/>
        <n v="62501535.27"/>
        <n v="17906922.9242"/>
        <n v="7003160.55"/>
        <n v="38626186.7178"/>
        <n v="14658515.1146"/>
        <n v="16344370.73"/>
        <n v="29678750.24"/>
        <n v="18238720.04"/>
        <n v="13508338.65"/>
        <n v="23243940.99"/>
        <n v="44308949"/>
        <n v="61561012.4799999"/>
        <n v="61909209.4384"/>
        <n v="10332766.49"/>
        <n v="5487602.23"/>
        <n v="16228955.01"/>
        <n v="12633953.95"/>
        <n v="12777313.6"/>
        <n v="6668209.28"/>
        <n v="13721282.57"/>
        <n v="19686549.12"/>
        <n v="21809452.62"/>
        <n v="14091091.98"/>
        <n v="18908187.71"/>
        <n v="32978818.11"/>
        <n v="10252103.1"/>
        <n v="5309451.81"/>
        <n v="16040107.52"/>
        <n v="12047388.53"/>
        <n v="12818915.6"/>
        <n v="6418896.27"/>
        <n v="13599836.98"/>
        <n v="16610748.49"/>
        <n v="20129673.05"/>
        <n v="11304336.93"/>
        <n v="17849826.25"/>
        <n v="31200662.94"/>
        <n v="410377.37"/>
        <n v="40881.13"/>
        <n v="-34229.24"/>
        <n v="9669.81"/>
        <n v="1307143.88"/>
        <n v="-39437.75"/>
        <n v="518.87"/>
        <n v="415041.03"/>
        <n v="23629.25"/>
        <n v="4349.87"/>
        <n v="24350.92"/>
        <n v="42794.15"/>
        <n v="33531.45"/>
        <n v="13.5"/>
        <n v="1236.67"/>
        <n v="1787.35"/>
        <n v="2095.7"/>
        <n v="1798.15"/>
        <n v="947.17"/>
        <n v="67.6"/>
        <n v="135.2"/>
        <n v="2575.19"/>
        <n v="1067.75"/>
        <n v="1709.3"/>
        <n v="2008.99"/>
        <n v="1739.37"/>
        <n v="804.69"/>
        <n v="60"/>
        <n v="119.98"/>
        <n v="87"/>
        <n v="22077.3"/>
        <n v="4652.2"/>
        <n v="306.8"/>
        <n v="138098"/>
        <n v="1853203"/>
        <n v="327125.15"/>
        <n v="509608.73"/>
        <n v="1804355.63"/>
        <n v="926243.17"/>
        <n v="456104.77"/>
        <n v="219938.79"/>
        <n v="74"/>
        <n v="22029.6"/>
        <n v="4611.2"/>
        <n v="299.6"/>
        <n v="136592"/>
        <n v="1832837"/>
        <n v="318598"/>
        <n v="431337.06"/>
        <n v="1686336.28"/>
        <n v="880621.490000001"/>
        <n v="457996.55"/>
        <n v="220642.37"/>
        <n v="2788.68"/>
        <n v="471698.11"/>
        <n v="0.51"/>
        <n v="2166.04"/>
        <n v="0.01"/>
        <n v="101.5"/>
        <n v="118.9"/>
        <n v="228.9"/>
        <n v="97.5"/>
        <n v="96"/>
        <n v="192"/>
        <n v="41.88"/>
        <n v="2168.21"/>
        <n v="1376.64"/>
        <n v="193.22"/>
        <n v="-11.17"/>
        <n v="1.71"/>
        <n v="459.99"/>
        <n v="2.46"/>
        <n v="460.64"/>
        <n v="236.81"/>
        <n v="284.22"/>
        <n v="1042.14"/>
        <n v="360"/>
        <n v="3132"/>
        <n v="1211.8"/>
        <n v="1074.61"/>
        <n v="630.08"/>
        <n v="286.1"/>
        <n v="4.21"/>
        <n v="386.81"/>
        <n v="3350.22"/>
        <n v="521.05"/>
        <n v="0.18"/>
        <n v="5.65"/>
        <n v="21795.95"/>
        <n v="1794.7"/>
        <n v="55733.58"/>
        <n v="85.4"/>
        <n v="499.8"/>
        <n v="114012.47"/>
        <n v="48919.11"/>
        <n v="9925.4312"/>
        <n v="6097.6"/>
        <n v="3.6"/>
        <n v="21465.3"/>
        <n v="1440.04"/>
        <n v="54158.22"/>
        <n v="27.6"/>
        <n v="355"/>
        <n v="87656"/>
        <n v="36037.02"/>
        <n v="9130"/>
        <n v="5920"/>
        <n v="-0.19"/>
        <n v="49394.05"/>
        <n v="157.17"/>
        <n v="81058.92"/>
        <n v="147640.04"/>
        <n v="213995.72"/>
        <n v="1933391.99"/>
        <n v="657188.56"/>
        <n v="821839.12"/>
        <n v="721722.47"/>
        <n v="620183.37"/>
        <n v="710463.6"/>
      </sharedItems>
    </cacheField>
    <cacheField name="合计" numFmtId="176">
      <sharedItems containsString="0" containsBlank="1" containsNumber="1" minValue="-1364015.81" maxValue="1098544821.76" count="581">
        <n v="777583147.299998"/>
        <n v="915314325.830001"/>
        <n v="850021010.21"/>
        <n v="819315217.93"/>
        <n v="900741646.909998"/>
        <n v="1075582698.62"/>
        <n v="904693871.600003"/>
        <n v="865786251.869998"/>
        <n v="917036440.300001"/>
        <n v="1023532786.75"/>
        <n v="1098544821.76"/>
        <n v="1070218977.95"/>
        <n v="770747594.729999"/>
        <n v="908575486.019999"/>
        <n v="842411553.279999"/>
        <n v="813158798.639998"/>
        <n v="893133986.629998"/>
        <n v="1065617895.98"/>
        <n v="893460666.897198"/>
        <n v="854914025.047"/>
        <n v="910579706.95"/>
        <n v="1014046885.2426"/>
        <n v="1088636746.3996"/>
        <n v="1063630087.7748"/>
        <n v="9840118.15"/>
        <n v="4348855.06"/>
        <n v="2633069.84"/>
        <n v="1364884.49"/>
        <n v="3360748.06"/>
        <n v="1337476.5"/>
        <n v="4619905.41"/>
        <n v="1814416.58"/>
        <n v="687706.26"/>
        <n v="1188767.68"/>
        <n v="8388670.7"/>
        <n v="9739491.13"/>
        <n v="9652981.22"/>
        <n v="4501152.19"/>
        <n v="2635860.41"/>
        <n v="1215140.16"/>
        <n v="3236094.37"/>
        <n v="1672301.65"/>
        <n v="4706042.38"/>
        <n v="1807252.97"/>
        <n v="414352.17"/>
        <n v="1142125.06"/>
        <n v="9195168.08"/>
        <n v="9548356.79"/>
        <n v="688177.34"/>
        <n v="911865.22"/>
        <n v="331015.04"/>
        <n v="387731.37"/>
        <n v="821038.36"/>
        <n v="1113122.01"/>
        <n v="638954.08"/>
        <n v="445226.35"/>
        <n v="569093.43"/>
        <n v="521726.94"/>
        <n v="1954408.66"/>
        <n v="1390329.91"/>
        <n v="86103.47"/>
        <n v="88845.38"/>
        <n v="89965.9"/>
        <n v="2096.15"/>
        <n v="732.81"/>
        <n v="269936.69"/>
        <n v="60374.19"/>
        <n v="325892.66"/>
        <n v="578896.13"/>
        <n v="1334493.39"/>
        <n v="3838031.44"/>
        <n v="132375.96"/>
        <n v="206672.91"/>
        <n v="196008.24"/>
        <n v="9575804.8658"/>
        <n v="4203723.8344"/>
        <n v="2734526.01"/>
        <n v="2645780.67"/>
        <n v="4711269.73"/>
        <n v="2489185.47"/>
        <n v="2096864.84"/>
        <n v="2052603.6904"/>
        <n v="8009455.35"/>
        <n v="26302386.76"/>
        <n v="51467188.07"/>
        <n v="49954809.71"/>
        <n v="9317415.1"/>
        <n v="3834666.56"/>
        <n v="2536513.12"/>
        <n v="2508644.47"/>
        <n v="4558532.05"/>
        <n v="2375278.19"/>
        <n v="1949349.62"/>
        <n v="1946087.37"/>
        <n v="7582485.38"/>
        <n v="25409847.944"/>
        <n v="50050877.7642"/>
        <n v="48727252.9334"/>
        <n v="375.48"/>
        <n v="0"/>
        <n v="1926.48"/>
        <n v="2711.15"/>
        <n v="1879.43"/>
        <n v="428.27"/>
        <n v="1712.16"/>
        <n v="2435.87"/>
        <n v="1548.93"/>
        <n v="363.55"/>
        <n v="187.92"/>
        <n v="2629.65"/>
        <n v="132666181.47"/>
        <n v="210241183.65"/>
        <m/>
        <n v="303537937.45"/>
        <n v="163415596.95"/>
        <n v="94236766.79"/>
        <n v="38610874.51"/>
        <n v="15799130.32"/>
        <n v="38955436.64"/>
        <n v="33760346.17"/>
        <n v="36101981.87"/>
        <n v="10791088.98"/>
        <n v="132327125.34"/>
        <n v="210155704.88"/>
        <n v="303392358.41"/>
        <n v="163341160.61"/>
        <n v="94122092.16"/>
        <n v="38415904.98"/>
        <n v="15607447.14"/>
        <n v="38463727.74"/>
        <n v="33096345.6042"/>
        <n v="35653891.9536"/>
        <n v="10893847.57"/>
        <n v="14460602.02"/>
        <n v="8164612.39"/>
        <n v="8807727.76"/>
        <n v="7265346.99"/>
        <n v="6228683.36"/>
        <n v="10791680.67"/>
        <n v="9841576.59"/>
        <n v="11057712.78"/>
        <n v="7460613.68"/>
        <n v="9566976.31"/>
        <n v="14082005.55"/>
        <n v="4525813.36"/>
        <n v="14494914.57"/>
        <n v="8197417.27"/>
        <n v="8884108.18"/>
        <n v="7167937.25"/>
        <n v="5459712.9"/>
        <n v="11445530.23"/>
        <n v="9794723.83"/>
        <n v="11044812.71"/>
        <n v="7405915.18"/>
        <n v="9482247.18"/>
        <n v="14038644.45"/>
        <n v="4641614.38"/>
        <n v="300337.73"/>
        <n v="14790431.09"/>
        <n v="11891556.0396"/>
        <n v="23682750.07"/>
        <n v="21810846.42"/>
        <n v="22729053.34"/>
        <n v="17367498.32"/>
        <n v="26366649.94"/>
        <n v="35486981.2"/>
        <n v="20671997.08"/>
        <n v="26038654.35"/>
        <n v="17466189.8"/>
        <n v="16987416.53"/>
        <n v="14527482.23"/>
        <n v="11715238.65"/>
        <n v="23240511.44"/>
        <n v="21439882.94"/>
        <n v="22383504.29"/>
        <n v="17095618.266"/>
        <n v="25828417.17"/>
        <n v="34710608.4144"/>
        <n v="20191592.9314"/>
        <n v="25459548.5524"/>
        <n v="17091134.33"/>
        <n v="16673620.0104"/>
        <n v="14359728.35"/>
        <n v="10946694.66"/>
        <n v="13741233.48"/>
        <n v="17612796"/>
        <n v="13303888.16"/>
        <n v="15840208.91"/>
        <n v="11570301.24"/>
        <n v="20409900.32"/>
        <n v="9310746.73"/>
        <n v="8786816.19"/>
        <n v="12012050.28"/>
        <n v="19903090.43"/>
        <n v="14805709.03"/>
        <n v="10876240.85"/>
        <n v="13771596.17"/>
        <n v="17858550.74"/>
        <n v="13893024.26"/>
        <n v="16503700.72"/>
        <n v="11968500.74"/>
        <n v="20288180.85"/>
        <n v="9961666.99"/>
        <n v="8859953.96"/>
        <n v="12489733.08"/>
        <n v="19996938.47"/>
        <n v="33929.94"/>
        <n v="22425.76"/>
        <n v="916785.55"/>
        <n v="671427.11"/>
        <n v="602801.61"/>
        <n v="827735.83"/>
        <n v="864429.55"/>
        <n v="119281.53"/>
        <n v="761295.93"/>
        <n v="492799.21"/>
        <n v="665980.25"/>
        <n v="541430.7"/>
        <n v="38898.33"/>
        <n v="18973.14"/>
        <n v="66503.2"/>
        <n v="51234.16"/>
        <n v="91353.76"/>
        <n v="34104.74"/>
        <n v="34902.46"/>
        <n v="95920.46"/>
        <n v="284960.2"/>
        <n v="1052.45"/>
        <n v="112287456.5"/>
        <n v="94561834.69"/>
        <n v="176489667.9846"/>
        <n v="164601163.4876"/>
        <n v="153858022.9678"/>
        <n v="193788713.63"/>
        <n v="157218942.54"/>
        <n v="102585708.62"/>
        <n v="204437693.72"/>
        <n v="190097893.12"/>
        <n v="174090526.76"/>
        <n v="175120179.21"/>
        <n v="112150436.2092"/>
        <n v="94607744.23"/>
        <n v="176339921.9228"/>
        <n v="164695039.0078"/>
        <n v="154046272.87"/>
        <n v="193983877.712"/>
        <n v="157196890.52"/>
        <n v="102895822.1898"/>
        <n v="204987690.45"/>
        <n v="189534795.4846"/>
        <n v="171784414.195"/>
        <n v="174284442.2486"/>
        <n v="66640520.91"/>
        <n v="70782006.46"/>
        <n v="72004930.99"/>
        <n v="62362496.73"/>
        <n v="73120619.82"/>
        <n v="95940641.74"/>
        <n v="90706025.31"/>
        <n v="118756112.47"/>
        <n v="72720559.22"/>
        <n v="54787838.66"/>
        <n v="98277412.45"/>
        <n v="151123926.83"/>
        <n v="63753945.02"/>
        <n v="68827825.34"/>
        <n v="69420999.56"/>
        <n v="59612817.81"/>
        <n v="69684691.53"/>
        <n v="91330832.4"/>
        <n v="91745615.6"/>
        <n v="116366320.05"/>
        <n v="66360501.99"/>
        <n v="52739396.97"/>
        <n v="92130178.69"/>
        <n v="137831655.37"/>
        <n v="1652031.59"/>
        <n v="2206527.53"/>
        <n v="1399703.95"/>
        <n v="1334489.72"/>
        <n v="2535976.84"/>
        <n v="3329845.01"/>
        <n v="2704074.78"/>
        <n v="2816583.65"/>
        <n v="3961272.3"/>
        <n v="2749601.7"/>
        <n v="2787514.31"/>
        <n v="2285992.06"/>
        <n v="77555.92"/>
        <n v="87558.2"/>
        <n v="64557.17"/>
        <n v="33835.65"/>
        <n v="28453.11"/>
        <n v="387249.53"/>
        <n v="30387.99"/>
        <n v="114812.83"/>
        <n v="355018.76"/>
        <n v="50854.1"/>
        <n v="469282.05"/>
        <n v="469459.88"/>
        <n v="33531.45"/>
        <n v="1263066.26"/>
        <n v="693663.289999999"/>
        <n v="421773.31"/>
        <n v="543389.68"/>
        <n v="753304.12"/>
        <n v="2088941.12"/>
        <n v="1835299.84"/>
        <n v="3974954.31"/>
        <n v="5770461.98"/>
        <n v="4709657.37000001"/>
        <n v="4831968.78"/>
        <n v="6635845.95"/>
        <n v="1088097.75"/>
        <n v="535875.71"/>
        <n v="379468"/>
        <n v="469524.22"/>
        <n v="711769.8"/>
        <n v="2069404.34"/>
        <n v="1809666.21"/>
        <n v="3900016.24"/>
        <n v="5697684.691"/>
        <n v="4656673.4728"/>
        <n v="4795504.7052"/>
        <n v="6675051.19"/>
        <n v="1272445.28"/>
        <n v="1579450.85"/>
        <n v="2895581.12"/>
        <n v="2360826.65"/>
        <n v="1600753.95"/>
        <n v="7256270.87"/>
        <n v="1231524.92"/>
        <n v="2280405.06"/>
        <n v="3303722.02"/>
        <n v="937752.18"/>
        <n v="1946794.42"/>
        <n v="3499313.84"/>
        <n v="1473154.69"/>
        <n v="1606267.36"/>
        <n v="2930279.26"/>
        <n v="3103774.86"/>
        <n v="2024523.46"/>
        <n v="10032742.08"/>
        <n v="1463731.27"/>
        <n v="3121090.49"/>
        <n v="4692809.29"/>
        <n v="1022529.51"/>
        <n v="2539876.13"/>
        <n v="3857392.36"/>
        <n v="410057"/>
        <n v="85790.57"/>
        <n v="4010580.79"/>
        <n v="441968.17"/>
        <n v="650954.61"/>
        <n v="4688387.74"/>
        <n v="-1364015.81"/>
        <n v="1257784.02"/>
        <n v="1656334.19"/>
        <n v="258115.98"/>
        <n v="839154.55"/>
        <n v="1646206.78"/>
        <n v="2055899.49"/>
        <n v="666811.75"/>
        <n v="747573.83"/>
        <n v="926451.09"/>
        <n v="944375.83"/>
        <n v="335745.68"/>
        <n v="854435.74"/>
        <n v="1350668.28"/>
        <n v="796695.14"/>
        <n v="336245.07"/>
        <n v="1330500.26"/>
        <n v="526709.83"/>
        <n v="10141815.2"/>
        <n v="14894569.52"/>
        <n v="12068436.88"/>
        <n v="10825920.08"/>
        <n v="10417180.98"/>
        <n v="12978095.27"/>
        <n v="13221812.92"/>
        <n v="14391580.46"/>
        <n v="23757549.8"/>
        <n v="39236219.09"/>
        <n v="68828421.7299999"/>
        <n v="58445276.63"/>
        <n v="9796401.95"/>
        <n v="14451308.45"/>
        <n v="11704014.52"/>
        <n v="10582853.71"/>
        <n v="10200452.21"/>
        <n v="12768468.76"/>
        <n v="12949194.93"/>
        <n v="14009306.1982"/>
        <n v="23329993.0284"/>
        <n v="38834162.6628"/>
        <n v="68411240.3804"/>
        <n v="58568344.212"/>
        <n v="363214.66"/>
        <n v="390.54"/>
        <n v="67505.66"/>
        <n v="12045.76"/>
        <n v="196.2"/>
        <n v="87811.29"/>
        <n v="150.93"/>
        <n v="135.81"/>
        <n v="2998.03"/>
        <n v="471788.65"/>
        <n v="297.63"/>
        <n v="352455.43"/>
        <n v="337.05"/>
        <n v="66687.78"/>
        <n v="11915.46"/>
        <n v="158.69"/>
        <n v="87826.22"/>
        <n v="123.4"/>
        <n v="104.41"/>
        <n v="146.1"/>
        <n v="2334.28"/>
        <n v="471766.8"/>
        <n v="202.13"/>
        <n v="130299.44"/>
        <n v="25005.52"/>
        <n v="38646.01"/>
        <n v="35882.09"/>
        <n v="61129.84"/>
        <n v="9950.78"/>
        <n v="20897.92"/>
        <n v="29354.64"/>
        <n v="14420.44"/>
        <n v="22690.43"/>
        <n v="21109.25"/>
        <n v="20796.06"/>
        <n v="1676.65"/>
        <n v="308821.7"/>
        <n v="-305991.51"/>
        <n v="47169.81"/>
        <n v="1886.79"/>
        <n v="500"/>
        <n v="36898.6"/>
        <n v="25207"/>
        <n v="37835274.94"/>
        <n v="330875097.95"/>
        <n v="298624663.55"/>
        <n v="499.51"/>
        <n v="36435.1"/>
        <n v="24822.79"/>
        <n v="37605624.6288"/>
        <n v="329059304.2182"/>
        <n v="296939957.45"/>
        <n v="160857282.14"/>
        <n v="115082966.53"/>
        <n v="147335657.84"/>
        <n v="97682105.032"/>
        <n v="101552881.92"/>
        <n v="90310159.93"/>
        <n v="93750300.05"/>
        <n v="108673248.14"/>
        <n v="125891636.53"/>
        <n v="32238781.99"/>
        <n v="104359476.03"/>
        <n v="117305502.31"/>
        <n v="165884957.43"/>
        <n v="112644599.11"/>
        <n v="149636592.56"/>
        <n v="100695649.77"/>
        <n v="103726531.45"/>
        <n v="94129945.52"/>
        <n v="97227363.7"/>
        <n v="111506721.317"/>
        <n v="129830624.9392"/>
        <n v="32471859.4"/>
        <n v="112793136.5246"/>
        <n v="119669091.33"/>
        <n v="0.18"/>
        <n v="17669914.69"/>
        <n v="7351344.5"/>
        <n v="18197907.75"/>
        <n v="10971098.04"/>
        <n v="11112436.21"/>
        <n v="10447445.39"/>
        <n v="10268203.43"/>
        <n v="10181312.6"/>
        <n v="14415672.48"/>
        <n v="1545396.37"/>
        <n v="15085909.67"/>
        <n v="15683002.46"/>
        <n v="207934.2"/>
        <n v="3639502.48"/>
        <n v="1008846.95"/>
        <n v="1006059.66"/>
        <n v="399625.92"/>
        <n v="873067.43"/>
        <n v="725395.03"/>
        <n v="796520.41"/>
        <n v="377417.92"/>
        <n v="1891382.8"/>
        <n v="501855.05"/>
        <n v="64925.86"/>
        <n v="82253.3"/>
        <n v="262228.29"/>
        <n v="1001544.01"/>
        <n v="1019521.79"/>
        <n v="2106643.4"/>
        <n v="1205257.47"/>
        <n v="2205099.81"/>
        <n v="844202.41"/>
        <n v="671064.11"/>
        <n v="1442660.1512"/>
        <n v="611842.15"/>
        <n v="47032.29"/>
        <n v="64783.42"/>
        <n v="199266.29"/>
        <n v="860348.09"/>
        <n v="905334.06"/>
        <n v="2020123.57"/>
        <n v="1102978.72"/>
        <n v="2131591.05"/>
        <n v="741827.8346"/>
        <n v="547885.0716"/>
        <n v="1278287.0498"/>
        <n v="487444.52"/>
        <n v="211189.66"/>
        <n v="214586.71"/>
        <n v="683253.91"/>
        <n v="584010.88"/>
        <n v="1408122.93"/>
        <n v="2423952.5"/>
        <n v="1314324.44"/>
        <n v="1449181.31"/>
        <n v="1266004.32"/>
        <n v="1091266.07"/>
        <n v="3310179.62"/>
        <n v="2020676.71"/>
        <n v="173073.02"/>
        <n v="154061.09"/>
        <n v="497938.6"/>
        <n v="395840.54"/>
        <n v="1139003.74"/>
        <n v="2098218.76"/>
        <n v="1066378.61"/>
        <n v="1198595.87"/>
        <n v="1003972.64"/>
        <n v="787664.48"/>
        <n v="3026551.82"/>
        <n v="1770353.66"/>
        <n v="942939.01"/>
        <n v="-0.03"/>
        <n v="103346.96"/>
        <n v="93379.06"/>
        <n v="1006059.65"/>
        <n v="399479.04"/>
        <n v="871411.69"/>
        <n v="2223289.11"/>
        <n v="402745.18"/>
        <n v="1971159.34"/>
        <n v="3694480.58"/>
        <n v="207739.64"/>
        <n v="13909190"/>
        <n v="6486031.23"/>
        <n v="5600666.55"/>
        <n v="5683949.55"/>
        <n v="8841280.21"/>
        <n v="14300545.16"/>
        <n v="12235687.6"/>
        <n v="20948485.28"/>
        <n v="12840851.11"/>
        <n v="10426718.41"/>
        <n v="17774039.76"/>
        <n v="8063410.03"/>
        <n v="13863225.78"/>
        <n v="6468401.91"/>
        <n v="5566961.18"/>
        <n v="5634093.87"/>
        <n v="8822030.72"/>
        <n v="14113931.94"/>
        <n v="12254156.07"/>
        <n v="20989714.59"/>
        <n v="12803104.58"/>
        <n v="10354248.94"/>
        <n v="17655056.71"/>
        <n v="8041116.4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697.8864930556" refreshedBy="wjj526" recordCount="1056">
  <cacheSource type="worksheet">
    <worksheetSource ref="A1:H1057" sheet="2021年收入底稿"/>
  </cacheSource>
  <cacheFields count="8">
    <cacheField name="公司主体" numFmtId="0">
      <sharedItems count="13">
        <s v="武汉福禄"/>
        <s v="武汉搜卡"/>
        <s v="武汉天识"/>
        <s v="武汉立硕"/>
        <s v="西藏福禄"/>
        <s v="一起玩"/>
        <s v="一起游"/>
        <s v="湖北氪金"/>
        <s v="新疆福禄"/>
        <s v="武汉亿禄"/>
        <s v="福禄(香港)"/>
        <s v="海南福禄"/>
        <s v="集团汇总"/>
      </sharedItems>
    </cacheField>
    <cacheField name="月份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收入组成项" numFmtId="0">
      <sharedItems count="15">
        <s v="寄售销售额"/>
        <s v="寄售成本额"/>
        <s v="购销收入"/>
        <s v="购销成本"/>
        <s v="佣金服务收入"/>
        <s v="代运营服务收入"/>
        <s v="推广服务收入"/>
        <s v="逾期权益收入"/>
        <s v="代运营服务费"/>
        <s v="推广服务费"/>
        <s v="佣金服务收入（抵消）"/>
        <s v="推广服务收入（抵消）"/>
        <s v="推广服务费（抵消）"/>
        <s v="购销收入（抵消）"/>
        <s v="购销成本（抵消）"/>
      </sharedItems>
    </cacheField>
    <cacheField name="游戏" numFmtId="176">
      <sharedItems containsString="0" containsBlank="1" containsNumber="1" minValue="-1021202.39" maxValue="110654596.9" count="464">
        <n v="83391186.34"/>
        <n v="104226378.37"/>
        <n v="74054577.99"/>
        <n v="78588831.4"/>
        <n v="110654596.9"/>
        <n v="66141046.75"/>
        <n v="100143833.96"/>
        <n v="72400538.67"/>
        <n v="47237988.4499999"/>
        <n v="46548086.97"/>
        <n v="43305894.5"/>
        <n v="83734917"/>
        <n v="82089980.6072"/>
        <n v="102839406.517"/>
        <n v="73059310.94"/>
        <n v="77799842.1842"/>
        <n v="109561245"/>
        <n v="68211133.75"/>
        <n v="99700306.5"/>
        <n v="71873527.7"/>
        <n v="46873956.6874"/>
        <n v="46398379.2276"/>
        <n v="42886801"/>
        <n v="83284799.152"/>
        <n v="2855.76"/>
        <n v="-10285.42"/>
        <n v="-477.36"/>
        <n v="201.89"/>
        <n v="-13114.28"/>
        <n v="6690.49"/>
        <n v="14095.79"/>
        <n v="25263.78"/>
        <n v="10654.48"/>
        <n v="12894.04"/>
        <n v="15001.74"/>
        <n v="13797.14"/>
        <n v="10259.47"/>
        <n v="221.56"/>
        <m/>
        <n v="184"/>
        <n v="3659.43"/>
        <n v="4042.94"/>
        <n v="9988.77"/>
        <n v="20649.7"/>
        <n v="8219.73"/>
        <n v="4850.04"/>
        <n v="11422.28"/>
        <n v="11377.46"/>
        <n v="-153402.17"/>
        <n v="24472.54"/>
        <n v="26099.84"/>
        <n v="26479.38"/>
        <n v="61963.04"/>
        <n v="105660.7"/>
        <n v="151604.99"/>
        <n v="151212.51"/>
        <n v="129643.77"/>
        <n v="202795.4"/>
        <n v="175146.79"/>
        <n v="266496.77"/>
        <n v="0"/>
        <n v="4167.1"/>
        <n v="3116947.85"/>
        <n v="2471924.9"/>
        <n v="1997341.82"/>
        <n v="1824095.55"/>
        <n v="2555797.05"/>
        <n v="3342900.99"/>
        <n v="3655181.8"/>
        <n v="3661345.85"/>
        <n v="3923156.2"/>
        <n v="3522165.29"/>
        <n v="4290444.85"/>
        <n v="5338929"/>
        <n v="2752337.98"/>
        <n v="2119005.26"/>
        <n v="1655044.6"/>
        <n v="1550458.95"/>
        <n v="2271924.8"/>
        <n v="3018493.59"/>
        <n v="3185434.1"/>
        <n v="3194914.65"/>
        <n v="3409593.35"/>
        <n v="3114304.69"/>
        <n v="3934836.7"/>
        <n v="5109167.85"/>
        <n v="-101.89"/>
        <n v="272526.4"/>
        <n v="264350.62"/>
        <n v="775.44"/>
        <n v="931.92"/>
        <n v="704.97"/>
        <n v="486.04"/>
        <n v="484.61"/>
        <n v="901.87"/>
        <n v="518.4"/>
        <n v="506.45"/>
        <n v="226.23"/>
        <n v="249.02"/>
        <n v="159.19"/>
        <n v="172.78"/>
        <n v="47169.81"/>
        <n v="47883.27"/>
        <n v="-20919.37"/>
        <n v="43.35"/>
        <n v="137.88"/>
        <n v="67.16"/>
        <n v="261.03"/>
        <n v="17.34"/>
        <n v="36"/>
        <n v="3.96"/>
        <n v="34812.38"/>
        <n v="237"/>
        <n v="51"/>
        <n v="153"/>
        <n v="93.5"/>
        <n v="257"/>
        <n v="34"/>
        <n v="34811.38"/>
        <n v="136.43"/>
        <n v="2744207.1"/>
        <n v="1410838.01"/>
        <n v="1493269.14"/>
        <n v="1244409.41"/>
        <n v="1146330.23"/>
        <n v="1225122.6"/>
        <n v="1104090.31"/>
        <n v="468032.74"/>
        <n v="603983.34"/>
        <n v="612348.25"/>
        <n v="353556.02"/>
        <n v="170659.29"/>
        <n v="3167406.5"/>
        <n v="1408884.45"/>
        <n v="1498062.7"/>
        <n v="1236122.64"/>
        <n v="1153056.58"/>
        <n v="1225971.65"/>
        <n v="1103537.75"/>
        <n v="479735.4"/>
        <n v="605867.92"/>
        <n v="632867.93"/>
        <n v="359796.24"/>
        <n v="174424.52"/>
        <n v="28948086.86"/>
        <n v="28326458.86"/>
        <n v="16365109.22"/>
        <n v="17763504.46"/>
        <n v="15801681.1"/>
        <n v="11665393.93"/>
        <n v="18498462.1"/>
        <n v="19803093.86"/>
        <n v="11694344"/>
        <n v="15374734.94"/>
        <n v="11415821.7"/>
        <n v="18941778.72"/>
        <n v="28352643.08"/>
        <n v="27851027.7"/>
        <n v="16056388.83"/>
        <n v="17435735.6"/>
        <n v="15442173.5"/>
        <n v="11439489"/>
        <n v="18116266.25"/>
        <n v="19447858.9238"/>
        <n v="11491134.0774"/>
        <n v="15089993.7"/>
        <n v="11228313.5"/>
        <n v="18552160.326"/>
        <n v="-709.43"/>
        <n v="-335.09"/>
        <n v="7405175.35"/>
        <n v="5229402.31"/>
        <n v="5361451.62"/>
        <n v="9768057.59"/>
        <n v="16940163.79"/>
        <n v="21062532"/>
        <n v="29947674.4"/>
        <n v="30064201.97"/>
        <n v="20081110.17"/>
        <n v="21620556.45"/>
        <n v="20635361.38"/>
        <n v="29292961.86"/>
        <n v="7270872.9078"/>
        <n v="5161246.4"/>
        <n v="5128834.1"/>
        <n v="9608435.7274"/>
        <n v="16684219"/>
        <n v="20960480.5"/>
        <n v="29392387.1"/>
        <n v="29778495.25"/>
        <n v="19817915.215"/>
        <n v="21301098.3004"/>
        <n v="20374432.72"/>
        <n v="29502630.14"/>
        <n v="6281020.94"/>
        <n v="6232822.4"/>
        <n v="5720636.85"/>
        <n v="5734954.72"/>
        <n v="9546157.32"/>
        <n v="9354251.49"/>
        <n v="6943902.96"/>
        <n v="6429932.26"/>
        <n v="7341432.34"/>
        <n v="6770108.09"/>
        <n v="9441986.49"/>
        <n v="6540201.34"/>
        <n v="4589204.14"/>
        <n v="5485818.48"/>
        <n v="6288516.49"/>
        <n v="5181236.79"/>
        <n v="9057852.11"/>
        <n v="6025740.23"/>
        <n v="6294457.08"/>
        <n v="6012547.71"/>
        <n v="6649156.72"/>
        <n v="6240707.15"/>
        <n v="8990012.4"/>
        <n v="5889238.67"/>
        <n v="4297.16"/>
        <n v="9716.16"/>
        <n v="-14013.29"/>
        <n v="4304.45"/>
        <n v="-9977.35"/>
        <n v="141.8"/>
        <n v="383"/>
        <n v="35303.75"/>
        <n v="94449.8"/>
        <n v="132270.84"/>
        <n v="277039.4"/>
        <n v="221028.6"/>
        <n v="194667.56"/>
        <n v="66353.59"/>
        <n v="59718.77"/>
        <n v="84818.37"/>
        <n v="321278.3"/>
        <n v="105.4976"/>
        <n v="287.25"/>
        <n v="32187.6"/>
        <n v="86395.2"/>
        <n v="120700.15"/>
        <n v="265298.46"/>
        <n v="221877.8"/>
        <n v="176418.95"/>
        <n v="38605.5854"/>
        <n v="30236.7598"/>
        <n v="59426.52"/>
        <n v="281069.5"/>
        <n v="191.88"/>
        <n v="2897.37"/>
        <n v="6473.63"/>
        <n v="53357.05"/>
        <n v="437300.32"/>
        <n v="386878.79"/>
        <n v="649225.73"/>
        <n v="1054773.35"/>
        <n v="1043397.85"/>
        <n v="182.26"/>
        <n v="2320.34"/>
        <n v="3672.05"/>
        <n v="44024.93"/>
        <n v="413714.69"/>
        <n v="360865.17"/>
        <n v="613538.61"/>
        <n v="999946.49"/>
        <n v="971437.63"/>
        <n v="3486564.5"/>
        <n v="5561982.66"/>
        <n v="3886724.89"/>
        <n v="2528415.54"/>
        <n v="2063944.5"/>
        <n v="2997841.21"/>
        <n v="19558447.87"/>
        <n v="13367096.5"/>
        <n v="9133219.16999999"/>
        <n v="10751136.85"/>
        <n v="7414338.62"/>
        <n v="41094465.5200001"/>
        <n v="3379622.9578"/>
        <n v="5473970.7"/>
        <n v="3845875.3"/>
        <n v="2432513.5"/>
        <n v="2115299.5"/>
        <n v="2963696.3"/>
        <n v="19317706.37"/>
        <n v="13258356.3524"/>
        <n v="9203863.8024"/>
        <n v="10690948"/>
        <n v="7605552.42"/>
        <n v="41243936.2754"/>
        <n v="137.08"/>
        <n v="6201.31"/>
        <n v="4668.12"/>
        <n v="2968.19"/>
        <n v="29.38"/>
        <n v="131.27"/>
        <n v="147.9"/>
        <n v="4666.09"/>
        <n v="10941"/>
        <n v="22746.13"/>
        <n v="71134.69"/>
        <n v="4.98"/>
        <n v="6197.91"/>
        <n v="4942.06"/>
        <n v="3053.09"/>
        <n v="81.25"/>
        <n v="132.24"/>
        <n v="2361.09"/>
        <n v="6921.19"/>
        <n v="12826.67"/>
        <n v="61305.51"/>
        <n v="30402.62"/>
        <n v="36686.64"/>
        <n v="33060.4"/>
        <n v="15321.31"/>
        <n v="12838.17"/>
        <n v="14386.9"/>
        <n v="3800.95"/>
        <n v="9558.81"/>
        <n v="9581.58"/>
        <n v="14320.36"/>
        <n v="15680.76"/>
        <n v="24951.67"/>
        <n v="1021202.39"/>
        <n v="-1021202.39"/>
        <n v="56945.57"/>
        <n v="925390.36"/>
        <n v="-925390.36"/>
        <n v="80"/>
        <n v="303"/>
        <n v="202400"/>
        <n v="-182893"/>
        <n v="-19518.01"/>
        <n v="93"/>
        <n v="1395.77"/>
        <n v="1741.72"/>
        <n v="-66697.63"/>
        <n v="-4654.3"/>
        <n v="220.76"/>
        <n v="-172"/>
        <n v="68"/>
        <n v="244.8424"/>
        <n v="20.23"/>
        <n v="80.54"/>
        <n v="146.5"/>
        <n v="1363"/>
        <n v="1685.9"/>
        <n v="1028"/>
        <n v="136.9"/>
        <n v="325.5"/>
        <n v="78.2"/>
        <n v="931967.93"/>
        <n v="869447.17"/>
        <n v="-15970.43"/>
        <n v="13173142.48"/>
        <n v="22014244.84"/>
        <n v="19621815.8"/>
        <n v="23163331.5"/>
        <n v="43092426.55"/>
        <n v="24385491.7"/>
        <n v="44568269.6"/>
        <n v="57491023.53"/>
        <n v="20155269.15"/>
        <n v="22969672.96"/>
        <n v="9742420.3"/>
        <n v="63561194.41"/>
        <n v="13481492.3"/>
        <n v="22785875.33"/>
        <n v="20338880.32"/>
        <n v="23803210.46"/>
        <n v="44500544.4"/>
        <n v="25042536.44"/>
        <n v="45428175.6"/>
        <n v="58058360.3"/>
        <n v="20073063.3"/>
        <n v="22929153.7"/>
        <n v="9737685.8"/>
        <n v="65735919.72"/>
        <n v="321698.35"/>
        <n v="1730935.92"/>
        <n v="2305232.66"/>
        <n v="561069.31"/>
        <n v="1174464.2"/>
        <n v="2589114.54"/>
        <n v="478271.7"/>
        <n v="506736.76"/>
        <n v="2493557.1"/>
        <n v="109349.35"/>
        <n v="2636680.98"/>
        <n v="-212933.33"/>
        <n v="845198.75"/>
        <n v="6412111.91"/>
        <n v="4185599.46"/>
        <n v="974422.3"/>
        <n v="3189996.61"/>
        <n v="5316501.68"/>
        <n v="2241359.29"/>
        <n v="2166780.71"/>
        <n v="3452943.58"/>
        <n v="1485441.52"/>
        <n v="5614675.39"/>
        <n v="2276043.3"/>
        <n v="711389.2"/>
        <n v="1256614.37"/>
        <n v="1069304.56"/>
        <n v="705754.33"/>
        <n v="1052515.46"/>
        <n v="1660768.21"/>
        <n v="1153561.63"/>
        <n v="1032678.79"/>
        <n v="890542.74"/>
        <n v="634650.98"/>
        <n v="1328289.21"/>
        <n v="980646.38"/>
        <n v="78543.2"/>
        <n v="101397.5"/>
        <n v="74174.95"/>
        <n v="77344.8"/>
        <n v="71878"/>
        <n v="91249.28"/>
        <n v="117767"/>
        <n v="117597.4"/>
        <n v="87619.82"/>
        <n v="83165.42"/>
        <n v="93445.76"/>
        <n v="48441.47"/>
        <n v="65352.1134"/>
        <n v="91760.57"/>
        <n v="53878.18"/>
        <n v="53452"/>
        <n v="49172.96"/>
        <n v="70406.55"/>
        <n v="93308.1"/>
        <n v="91752.1"/>
        <n v="76694.47"/>
        <n v="73268.9"/>
        <n v="78984"/>
        <n v="46158.6"/>
        <n v="1364200.24"/>
        <n v="4017620.82"/>
        <n v="685805.5"/>
        <n v="570237.01"/>
        <n v="536710.83"/>
        <n v="728461.3"/>
        <n v="599150.9"/>
        <n v="553210.9"/>
        <n v="4034.68"/>
        <n v="5374.34"/>
        <n v="5098.08"/>
        <n v="8743.96"/>
        <n v="1111672.16"/>
        <n v="3458294.77"/>
        <n v="461813.42"/>
        <n v="377016.39"/>
        <n v="357178.73"/>
        <n v="519269.76"/>
        <n v="399057.04"/>
        <n v="518518.91"/>
        <n v="2232.08"/>
        <n v="2838"/>
        <n v="1975.45"/>
        <n v="3120.32"/>
        <n v="14968"/>
        <n v="50973.46"/>
        <n v="18809.25"/>
      </sharedItems>
    </cacheField>
    <cacheField name="通信" numFmtId="176">
      <sharedItems containsString="0" containsBlank="1" containsNumber="1" minValue="-3988.07" maxValue="1838760478.25" count="243">
        <n v="722362958.34"/>
        <n v="757780650.870001"/>
        <n v="1094204504.58"/>
        <n v="995483307.64"/>
        <n v="1280978338.58"/>
        <n v="1403158022.77"/>
        <n v="1454848240.5"/>
        <n v="1838760478.25"/>
        <n v="849304691"/>
        <n v="746414894.930004"/>
        <n v="918215246.870001"/>
        <n v="626414207.12"/>
        <n v="717478536.3014"/>
        <n v="752686158.23"/>
        <n v="1087741495.68"/>
        <n v="988082592.5728"/>
        <n v="1270698639.4"/>
        <n v="1392627417.23"/>
        <n v="1446752973.2"/>
        <n v="1828430667.65"/>
        <n v="844188502.5292"/>
        <n v="742169366.05"/>
        <n v="915186595.14"/>
        <n v="624711242.599"/>
        <n v="400727.59"/>
        <n v="733035.9"/>
        <n v="807095.78"/>
        <n v="293340.59"/>
        <n v="181741.8"/>
        <n v="280331.36"/>
        <n v="481539.26"/>
        <n v="540776.09"/>
        <n v="476880.35"/>
        <n v="417490.03"/>
        <n v="202796.1"/>
        <n v="1886371.56"/>
        <n v="408291.83"/>
        <n v="727382.17"/>
        <n v="625934.28"/>
        <n v="293253.97"/>
        <n v="181948.43"/>
        <n v="280411.2"/>
        <n v="516550.13"/>
        <n v="537333.31"/>
        <n v="470659.61"/>
        <n v="410146.9"/>
        <n v="199937.32"/>
        <n v="1861690.3"/>
        <n v="-3988.07"/>
        <m/>
        <n v="327.35"/>
        <n v="4867.92"/>
        <n v="245.28"/>
        <n v="591.51"/>
        <n v="66.04"/>
        <n v="464.93"/>
        <n v="400.29"/>
        <n v="398.9"/>
        <n v="5.95"/>
        <n v="7.07"/>
        <n v="4.83"/>
        <n v="5.69"/>
        <n v="-0.02"/>
        <n v="17574010"/>
        <n v="18694160"/>
        <n v="25157070"/>
        <n v="5909174.4"/>
        <n v="4460150.3"/>
        <n v="1322982.4"/>
        <n v="2661740"/>
        <n v="7118631"/>
        <n v="4438941.5"/>
        <n v="99739361.94"/>
        <n v="197434258"/>
        <n v="91857171.64"/>
        <n v="17516197.3"/>
        <n v="18638064.85"/>
        <n v="25063016.33"/>
        <n v="5884465.69"/>
        <n v="4442414.9"/>
        <n v="1313995.88"/>
        <n v="2642788.7"/>
        <n v="7085760.82"/>
        <n v="4440114.9"/>
        <n v="99098933.37"/>
        <n v="195791064.96"/>
        <n v="91094522.2848"/>
        <n v="1901141.78"/>
        <n v="1680062.61"/>
        <n v="2331558.42"/>
        <n v="3097488.32"/>
        <n v="2778033.98"/>
        <n v="2638107.49"/>
        <n v="2645178.73"/>
        <n v="2420283.42"/>
        <n v="2306461.65"/>
        <n v="2704548.12"/>
        <n v="1692263.44"/>
        <n v="1676122.43"/>
        <n v="1887061.26"/>
        <n v="1651151.93"/>
        <n v="2300772.69"/>
        <n v="3064350.88"/>
        <n v="2737160.04"/>
        <n v="2595112.26"/>
        <n v="2617005.98"/>
        <n v="2421294.8"/>
        <n v="2282096.77"/>
        <n v="2632660.99"/>
        <n v="1682872.7"/>
        <n v="1688294.24"/>
        <n v="209822.8"/>
        <n v="32385.8"/>
        <n v="1045"/>
        <n v="9509.36"/>
        <n v="246365"/>
        <n v="51392.22"/>
        <n v="156583.65"/>
        <n v="48700.65"/>
        <n v="1092.3"/>
        <n v="17675.4"/>
        <n v="452780.05"/>
        <n v="95328"/>
        <n v="82.26"/>
        <n v="0"/>
        <n v="15995112.99"/>
        <n v="17083711"/>
        <n v="20865893.66"/>
        <n v="14662826.07"/>
        <n v="15401360"/>
        <n v="28410794.92"/>
        <n v="19676272.6"/>
        <n v="15612699.28"/>
        <n v="13930485.99"/>
        <n v="15049932.53"/>
        <n v="9245766.45000002"/>
        <n v="7427005.24"/>
        <n v="15959411.61"/>
        <n v="17048134.4108"/>
        <n v="20780900.6"/>
        <n v="14612070.5988"/>
        <n v="15285960.86"/>
        <n v="28421633.987"/>
        <n v="19486848.7"/>
        <n v="15459988.11"/>
        <n v="13770801.9996"/>
        <n v="14912592.36"/>
        <n v="9212035.68"/>
        <n v="7386434.5174"/>
        <n v="1757302.41"/>
        <n v="1082154.81"/>
        <n v="3763176.25"/>
        <n v="2600536.07"/>
        <n v="2920035.17"/>
        <n v="6770801.43"/>
        <n v="5175568.22"/>
        <n v="5350416.21"/>
        <n v="6928932.71"/>
        <n v="6323991.77"/>
        <n v="7505388.12"/>
        <n v="10002144.6"/>
        <n v="1674621.9"/>
        <n v="1073146.26"/>
        <n v="3742833.98"/>
        <n v="2580685.62"/>
        <n v="2894408.71"/>
        <n v="6690075.73"/>
        <n v="5136902.46"/>
        <n v="5294439.5"/>
        <n v="6899102.95"/>
        <n v="6042400.8"/>
        <n v="7439732.83"/>
        <n v="9584947.82"/>
        <n v="405.69"/>
        <n v="776.3"/>
        <n v="815.15"/>
        <n v="563.9"/>
        <n v="553.5"/>
        <n v="1042795.87"/>
        <n v="298.35"/>
        <n v="379.35"/>
        <n v="28.53"/>
        <n v="50.1"/>
        <n v="406.45"/>
        <n v="773.6"/>
        <n v="814.2"/>
        <n v="564.95"/>
        <n v="565.5"/>
        <n v="1031332.97"/>
        <n v="297.1"/>
        <n v="376.25"/>
        <n v="29.7"/>
        <n v="49"/>
        <n v="2929.58"/>
        <n v="104203673.65"/>
        <n v="30575630.8"/>
        <n v="64525500.95"/>
        <n v="98700571.1"/>
        <n v="94034768"/>
        <n v="70201358.38"/>
        <n v="35568764.7"/>
        <n v="50172791.8"/>
        <n v="41003340"/>
        <n v="14101815.06"/>
        <n v="4854420.32"/>
        <n v="1978877.65"/>
        <n v="103676305.76"/>
        <n v="30387032.6452"/>
        <n v="64132462.19"/>
        <n v="98094330.6"/>
        <n v="93508537.62"/>
        <n v="69798352.45"/>
        <n v="35354007"/>
        <n v="49883755.5"/>
        <n v="40765589.2058"/>
        <n v="14011388.86"/>
        <n v="4829048.38"/>
        <n v="1966924.44"/>
        <n v="427000"/>
        <n v="3968"/>
        <n v="365"/>
        <n v="424011"/>
        <n v="3170.4"/>
        <n v="209.65"/>
        <n v="388679.52"/>
        <n v="626197.07"/>
        <n v="644672.74"/>
        <n v="529252.42"/>
        <n v="298748.08"/>
        <n v="398868.11"/>
        <n v="588535.33"/>
        <n v="798152.33"/>
        <n v="596932.16"/>
        <n v="783658"/>
        <n v="334437.35"/>
        <n v="1941515.33"/>
        <n v="388271.89"/>
        <n v="523075.03"/>
        <n v="779947.23"/>
        <n v="525833.16"/>
        <n v="641612"/>
        <n v="262997.51"/>
        <n v="1884542.17"/>
      </sharedItems>
    </cacheField>
    <cacheField name="网娱" numFmtId="176">
      <sharedItems containsString="0" containsBlank="1" containsNumber="1" minValue="-9415756.1" maxValue="460371245.21" count="569">
        <n v="139996284.84"/>
        <n v="146588377.62"/>
        <n v="135318105.23"/>
        <n v="140585515.8"/>
        <n v="133285495.88"/>
        <n v="134105688.34"/>
        <n v="134237845.27"/>
        <n v="138950476.2"/>
        <n v="120594601.77"/>
        <n v="127832452.56"/>
        <n v="185659885.74"/>
        <n v="145175434"/>
        <n v="134281785.9998"/>
        <n v="141949754.904"/>
        <n v="131803830.01"/>
        <n v="136202035.1"/>
        <n v="130481624.1"/>
        <n v="131568804.54"/>
        <n v="131048608.93"/>
        <n v="134582430.65"/>
        <n v="116982516.5612"/>
        <n v="122440567.1796"/>
        <n v="181893587.79"/>
        <n v="142340235.8108"/>
        <n v="195860.7"/>
        <n v="299966.51"/>
        <n v="2994153.99"/>
        <n v="1084248.9"/>
        <n v="920736.3"/>
        <n v="11872421.37"/>
        <n v="2630529.74"/>
        <n v="1837968.09"/>
        <n v="1586707.66"/>
        <n v="607571.41"/>
        <n v="9118867.83"/>
        <n v="1850418.32"/>
        <n v="244375.35"/>
        <n v="262236.23"/>
        <n v="4291140.46"/>
        <n v="1275962.02"/>
        <n v="1182878.16"/>
        <n v="16194543.17"/>
        <n v="3520851.17"/>
        <n v="2334540"/>
        <n v="1974136.62"/>
        <n v="422318.27"/>
        <n v="12544436.52"/>
        <n v="1376792.34"/>
        <n v="-5712.41"/>
        <m/>
        <n v="1815270.49"/>
        <n v="-72913.49"/>
        <n v="340149.32"/>
        <n v="6089422.11"/>
        <n v="1066810.05"/>
        <n v="512949.31"/>
        <n v="553813.79"/>
        <n v="47766.37"/>
        <n v="4360485.84"/>
        <n v="109064.2"/>
        <n v="710941.44"/>
        <n v="287492.91"/>
        <n v="525899.19"/>
        <n v="142044.85"/>
        <n v="409170.78"/>
        <n v="983825.75"/>
        <n v="294517.53"/>
        <n v="597008.14"/>
        <n v="644609.76"/>
        <n v="621939.76"/>
        <n v="7894669.2"/>
        <n v="281880.24"/>
        <n v="456700.62"/>
        <n v="186988.75"/>
        <n v="45966295.8"/>
        <n v="42557470.7"/>
        <n v="52949704.21"/>
        <n v="59310418.39"/>
        <n v="41229349.85"/>
        <n v="9921893.67999999"/>
        <n v="13450683.2"/>
        <n v="12632578.33"/>
        <n v="11161388.98"/>
        <n v="10653925.14"/>
        <n v="10542637.55"/>
        <n v="9448873.4"/>
        <n v="44812906.8"/>
        <n v="41565869.45"/>
        <n v="51876584.17"/>
        <n v="58063292.4"/>
        <n v="40328276.36"/>
        <n v="9623508.83"/>
        <n v="13144509.93"/>
        <n v="12254354.95"/>
        <n v="10862597.5372"/>
        <n v="10396723.8166"/>
        <n v="10271740.75"/>
        <n v="9376078.14"/>
        <n v="410.38"/>
        <n v="268.85"/>
        <n v="1076.3"/>
        <n v="38.67"/>
        <n v="5811.37"/>
        <n v="298.2"/>
        <n v="204.33"/>
        <n v="0.01"/>
        <n v="1054.87"/>
        <n v="37.08"/>
        <n v="161089.08"/>
        <n v="639895.57"/>
        <n v="311701.42"/>
        <n v="430660.38"/>
        <n v="210462.02"/>
        <n v="366149.32"/>
        <n v="282642.36"/>
        <n v="6.3"/>
        <n v="7.49"/>
        <n v="6160.05"/>
        <n v="899508.15"/>
        <n v="569146.799999999"/>
        <n v="530665.619999999"/>
        <n v="336932.92"/>
        <n v="81446.95"/>
        <n v="195650.77"/>
        <n v="43277.7"/>
        <n v="43570.1"/>
        <n v="9143275.45"/>
        <n v="371495.41"/>
        <n v="689992.75"/>
        <n v="1685520.5"/>
        <n v="840469.699999999"/>
        <n v="603504.75"/>
        <n v="578268.219999998"/>
        <n v="334169.1"/>
        <n v="86415.3"/>
        <n v="156943.5"/>
        <n v="36372"/>
        <n v="35438.75"/>
        <n v="8382330.75"/>
        <n v="288189.91"/>
        <n v="814856.8"/>
        <n v="1717860.749"/>
        <n v="2033.41"/>
        <n v="8522.86"/>
        <n v="8064.57"/>
        <n v="34482.73"/>
        <n v="12096.99"/>
        <n v="438.3"/>
        <n v="1927.51"/>
        <n v="3291.69"/>
        <n v="3068.06"/>
        <n v="2090.12"/>
        <n v="336.28"/>
        <n v="1136066.34"/>
        <n v="3650.12"/>
        <n v="15338.15"/>
        <n v="54452.6"/>
        <n v="67398.28"/>
        <n v="24868.9"/>
        <n v="296.47"/>
        <n v="1616.93"/>
        <n v="2781.53"/>
        <n v="2534.54"/>
        <n v="1724.62"/>
        <n v="422.74"/>
        <n v="965791.21"/>
        <n v="1305406.76"/>
        <n v="750204.15"/>
        <n v="1121726.02"/>
        <n v="328833.12"/>
        <n v="416921"/>
        <n v="459069"/>
        <n v="676839.3"/>
        <n v="1505006.75"/>
        <n v="166637.37"/>
        <n v="135384.32"/>
        <n v="335623.95"/>
        <n v="3182696.04"/>
        <n v="1354909.07"/>
        <n v="753648.7"/>
        <n v="1161427.39"/>
        <n v="322974.6"/>
        <n v="403979.22"/>
        <n v="438129.7966"/>
        <n v="723840.9"/>
        <n v="1270657.2954"/>
        <n v="65397.0348"/>
        <n v="129790.7"/>
        <n v="404779.4"/>
        <n v="3069864.26"/>
        <n v="20629142.06"/>
        <n v="11416717.45"/>
        <n v="14697911.93"/>
        <n v="24063748.66"/>
        <n v="31903356.97"/>
        <n v="50397908.7"/>
        <n v="51022907.59"/>
        <n v="96999674.03"/>
        <n v="116213174.06"/>
        <n v="40220536.62"/>
        <n v="81344461.7"/>
        <n v="121719423.62"/>
        <n v="20407106.05"/>
        <n v="12158062.75"/>
        <n v="14743799.74"/>
        <n v="24125062.22"/>
        <n v="32144262.52"/>
        <n v="52892867.3"/>
        <n v="52084183.64"/>
        <n v="97568027.99"/>
        <n v="119438114.58"/>
        <n v="41321325.12"/>
        <n v="82900032.33"/>
        <n v="129624451.92"/>
        <n v="726710.68"/>
        <n v="826988.22"/>
        <n v="260923.79"/>
        <n v="205653.97"/>
        <n v="626229.03"/>
        <n v="2001824.69"/>
        <n v="962583.85"/>
        <n v="2682125.56"/>
        <n v="4106464.95"/>
        <n v="1517736.97"/>
        <n v="1906042.64"/>
        <n v="4013058.32"/>
        <n v="101048.77"/>
        <n v="81130.49"/>
        <n v="105180.42"/>
        <n v="72231.56"/>
        <n v="89314.28"/>
        <n v="119465.42"/>
        <n v="46098.6"/>
        <n v="116121.9"/>
        <n v="23441.89"/>
        <n v="16336.73"/>
        <n v="101903.73"/>
        <n v="76176.99"/>
        <n v="24209.6"/>
        <n v="45885.38"/>
        <n v="65382040.48"/>
        <n v="31619413.1499999"/>
        <n v="27566874.6999999"/>
        <n v="22590856.43"/>
        <n v="24257355.3"/>
        <n v="37649788.8000001"/>
        <n v="31238070"/>
        <n v="24231640.9499996"/>
        <n v="27974967.1699994"/>
        <n v="28945914.1"/>
        <n v="65618811.53"/>
        <n v="24309266.3388"/>
        <n v="66061588.1396"/>
        <n v="31643339.91"/>
        <n v="24309600.3"/>
        <n v="22148036.8406"/>
        <n v="22513197.6"/>
        <n v="33919595.5942"/>
        <n v="29056482.5"/>
        <n v="23119727.0644"/>
        <n v="27228435.258"/>
        <n v="28547360"/>
        <n v="58943401.6"/>
        <n v="16804448.668"/>
        <n v="62472258.6"/>
        <n v="78289118.88"/>
        <n v="91366583.98"/>
        <n v="112922343.62"/>
        <n v="156537008.84"/>
        <n v="316117750.41"/>
        <n v="166089279.31"/>
        <n v="267313350.76"/>
        <n v="380950148.33"/>
        <n v="204845724.81"/>
        <n v="325230286.37"/>
        <n v="460371245.21"/>
        <n v="56889241.44"/>
        <n v="74467784.29"/>
        <n v="93065696.43"/>
        <n v="114926786.06"/>
        <n v="156343417.44"/>
        <n v="313534288.08"/>
        <n v="169695453.75"/>
        <n v="267418131.8"/>
        <n v="377729464.03"/>
        <n v="207193507.77"/>
        <n v="321882087.1"/>
        <n v="439803168.64"/>
        <n v="1531177.05"/>
        <n v="333925.68"/>
        <n v="14089088.57"/>
        <n v="129626.52"/>
        <n v="1916292.07"/>
        <n v="6357933.99"/>
        <n v="657631.46"/>
        <n v="12884772.22"/>
        <n v="1167425.09"/>
        <n v="1231280.93"/>
        <n v="620373.57"/>
        <n v="610315.99"/>
        <n v="120552.4"/>
        <n v="97023.41"/>
        <n v="390285.93"/>
        <n v="328148.23"/>
        <n v="130164.35"/>
        <n v="162690.17"/>
        <n v="200149.88"/>
        <n v="233228.81"/>
        <n v="99363.3"/>
        <n v="307064.5"/>
        <n v="665199.5"/>
        <n v="69427"/>
        <n v="2603.53"/>
        <n v="4007018.08"/>
        <n v="3169256.2"/>
        <n v="2665182.02"/>
        <n v="2155165.4"/>
        <n v="1675052.9"/>
        <n v="1399667.1"/>
        <n v="1088713"/>
        <n v="1082054.68"/>
        <n v="868313.75"/>
        <n v="704012.15"/>
        <n v="1167006.22"/>
        <n v="3745194"/>
        <n v="3976554.917"/>
        <n v="3137714.8"/>
        <n v="2640915.72"/>
        <n v="2135364.7"/>
        <n v="1659779.85"/>
        <n v="1388386.1"/>
        <n v="1079223.15"/>
        <n v="1072056.35"/>
        <n v="860367.8818"/>
        <n v="697574.35"/>
        <n v="1149301.45"/>
        <n v="3731110.4"/>
        <n v="860120.32"/>
        <n v="1221478"/>
        <n v="2198997.01"/>
        <n v="927169.1"/>
        <n v="3726799.77"/>
        <n v="6261632.35"/>
        <n v="5910357.14"/>
        <n v="2404812.32"/>
        <n v="2278757.28"/>
        <n v="3213372.07"/>
        <n v="5481854.49"/>
        <n v="6776764.21"/>
        <n v="768304.3"/>
        <n v="1097637.64"/>
        <n v="3047109.39"/>
        <n v="1165379"/>
        <n v="4929208.26"/>
        <n v="8029016.09"/>
        <n v="6569833.83"/>
        <n v="3022560.22"/>
        <n v="2750331.5"/>
        <n v="3717243.9"/>
        <n v="7348290.83"/>
        <n v="7440332.15"/>
        <n v="-384889.57"/>
        <n v="65306.31"/>
        <n v="1467278.92"/>
        <n v="-217499.41"/>
        <n v="1785646.43"/>
        <n v="2156412.86"/>
        <n v="1046216.66"/>
        <n v="728022.56"/>
        <n v="1187349.8"/>
        <n v="1104118.13"/>
        <n v="2385811.6"/>
        <n v="1778194.04"/>
        <n v="540922.37"/>
        <n v="1439404.82"/>
        <n v="891255.92"/>
        <n v="744917.68"/>
        <n v="756650.76"/>
        <n v="1035868.04"/>
        <n v="489211.64"/>
        <n v="508147.95"/>
        <n v="1540338.49"/>
        <n v="205616.21"/>
        <n v="700141.92"/>
        <n v="1918245.5"/>
        <n v="47583853.39"/>
        <n v="49535118.72"/>
        <n v="55209404.89"/>
        <n v="73118038"/>
        <n v="71255517.6"/>
        <n v="101472251.27"/>
        <n v="116518901.76"/>
        <n v="150422751.32"/>
        <n v="135627634.9"/>
        <n v="109878131.3"/>
        <n v="99607260.9"/>
        <n v="91475691.4099999"/>
        <n v="47362868.57"/>
        <n v="49325392.7172"/>
        <n v="54977837.95"/>
        <n v="72750547.2"/>
        <n v="70444347.3"/>
        <n v="99555814.43"/>
        <n v="114762173.51"/>
        <n v="149908216.68"/>
        <n v="135249056"/>
        <n v="109492871.61"/>
        <n v="102736556.05"/>
        <n v="91283051.58"/>
        <n v="256.35"/>
        <n v="179.15"/>
        <n v="30.18"/>
        <n v="58.43"/>
        <n v="15.09"/>
        <n v="82.16"/>
        <n v="56.61"/>
        <n v="13788.68"/>
        <n v="9079.99"/>
        <n v="3705.72"/>
        <n v="691450.19"/>
        <n v="197.82"/>
        <n v="136.32"/>
        <n v="21.12"/>
        <n v="42.28"/>
        <n v="10.38"/>
        <n v="52.72"/>
        <n v="48.68"/>
        <n v="9083.6"/>
        <n v="5990.6"/>
        <n v="3441.39"/>
        <n v="692801.25"/>
        <n v="108345.35"/>
        <n v="-108345.35"/>
        <n v="5377.36"/>
        <n v="6830.19"/>
        <n v="1102627.13"/>
        <n v="-1102627.13"/>
        <n v="176.8"/>
        <n v="117"/>
        <n v="454"/>
        <n v="11209.1"/>
        <n v="71874.15"/>
        <n v="44091.43"/>
        <n v="40870"/>
        <n v="52213.5"/>
        <n v="123498"/>
        <n v="148354.89"/>
        <n v="122035.69"/>
        <n v="494521.15"/>
        <n v="120"/>
        <n v="86.4"/>
        <n v="59.92"/>
        <n v="10999.5"/>
        <n v="70489.4"/>
        <n v="43185.1"/>
        <n v="40138"/>
        <n v="51472.5"/>
        <n v="122199.0446"/>
        <n v="146744.26"/>
        <n v="120987.3"/>
        <n v="490545.3"/>
        <n v="67.26"/>
        <n v="22.42"/>
        <n v="33.63"/>
        <n v="59.1"/>
        <n v="19.7"/>
        <n v="29.55"/>
        <n v="8676991.75000001"/>
        <n v="16243345.22"/>
        <n v="14896502.5"/>
        <n v="12783640.99"/>
        <n v="27048770"/>
        <n v="55616804.9"/>
        <n v="63009207.7"/>
        <n v="59246975.6"/>
        <n v="41221175.65"/>
        <n v="24886241.59"/>
        <n v="33668880.06"/>
        <n v="31228948.4"/>
        <n v="7857632.56"/>
        <n v="17962246.8458"/>
        <n v="15789035.7"/>
        <n v="13621406"/>
        <n v="29227741"/>
        <n v="58142011"/>
        <n v="63955232.14"/>
        <n v="59952048"/>
        <n v="41220734.03"/>
        <n v="24930963.11"/>
        <n v="32554835.1"/>
        <n v="31237368.55"/>
        <n v="101.89"/>
        <n v="408771.19"/>
        <n v="2161740.64"/>
        <n v="5709190.1"/>
        <n v="3061427"/>
        <n v="3357513.85"/>
        <n v="4832351.53"/>
        <n v="2640509.79"/>
        <n v="1896554.2"/>
        <n v="2441724.89"/>
        <n v="1553615.39"/>
        <n v="2286068.76"/>
        <n v="3537244.03"/>
        <n v="522454.52"/>
        <n v="816715.8"/>
        <n v="1538119.7"/>
        <n v="867789.76"/>
        <n v="12338095.38"/>
        <n v="-9336444.04"/>
        <n v="1285896.4"/>
        <n v="1328199.14"/>
        <n v="1257678.7"/>
        <n v="797127.5"/>
        <n v="2750259.45"/>
        <n v="1898311.68"/>
        <n v="363882.9648"/>
        <n v="590627.5"/>
        <n v="1360566.77"/>
        <n v="733401.65"/>
        <n v="12221827.5"/>
        <n v="-9415756.1"/>
        <n v="1203833"/>
        <n v="1199699.4"/>
        <n v="1163752.53"/>
        <n v="672072.73"/>
        <n v="2417983.7"/>
        <n v="1730066.5142"/>
        <n v="338015.09"/>
        <n v="216758.49"/>
        <n v="175351.87"/>
        <n v="2197254.08"/>
        <n v="78620.26"/>
        <n v="51074.66"/>
        <n v="26960.38"/>
        <n v="63132.07"/>
        <n v="94734.38"/>
        <n v="676281.99"/>
        <n v="743190.21"/>
        <n v="37569.79"/>
        <n v="300982.79"/>
        <n v="184010.39"/>
        <n v="173182.8"/>
        <n v="2177657.62"/>
        <n v="77287.14"/>
        <n v="42228.81"/>
        <n v="20547.16"/>
        <n v="13930.18"/>
        <n v="89381.59"/>
        <n v="659342.26"/>
        <n v="666511.47"/>
        <n v="35139.56"/>
        <n v="18206908.22"/>
        <n v="3704159.54"/>
        <n v="18027895.35"/>
        <n v="3648638.38"/>
        <n v="1640229.32"/>
        <n v="1542442.84"/>
        <n v="2012803"/>
        <n v="11542608.43"/>
        <n v="24538059.68"/>
        <n v="42260329.21"/>
        <n v="34154877.35"/>
        <n v="77134916.16"/>
        <n v="89833253.53"/>
        <n v="35104674.9"/>
        <n v="77470933.85"/>
        <n v="111095334.71"/>
        <n v="1640033.09"/>
      </sharedItems>
    </cacheField>
    <cacheField name="生活服务" numFmtId="176">
      <sharedItems containsString="0" containsBlank="1" containsNumber="1" minValue="-1133025.16" maxValue="124870822.55" count="478">
        <n v="78570643.2199999"/>
        <n v="44878029.71"/>
        <n v="86180034.78"/>
        <n v="67331394.55"/>
        <n v="42522187.15"/>
        <n v="39058584.4"/>
        <n v="39694579.25"/>
        <n v="48071614.55"/>
        <n v="48635263.82"/>
        <n v="50165141.76"/>
        <n v="42573941.87"/>
        <n v="31080444.15"/>
        <n v="76945765.3622"/>
        <n v="44322054.9"/>
        <n v="85210929.12"/>
        <n v="66985944.8"/>
        <n v="41050572.1796"/>
        <n v="38823687.48"/>
        <n v="39450331.65"/>
        <n v="47639866"/>
        <n v="48632219.5464"/>
        <n v="49991101.85"/>
        <n v="42425059.2"/>
        <n v="30109802.7922"/>
        <n v="469301.7"/>
        <n v="216368.44"/>
        <n v="325965.87"/>
        <n v="273763.99"/>
        <n v="244227.16"/>
        <n v="325819.34"/>
        <n v="188047.29"/>
        <n v="587676.28"/>
        <n v="507505.32"/>
        <n v="444828.95"/>
        <n v="483089.78"/>
        <n v="783413.72"/>
        <n v="475037.34"/>
        <n v="212805.29"/>
        <n v="324397.09"/>
        <n v="272833.15"/>
        <n v="238706.19"/>
        <n v="327190.98"/>
        <n v="191801.2"/>
        <n v="535283.93"/>
        <n v="484815.55"/>
        <n v="443927.87"/>
        <n v="473719.95"/>
        <n v="759703.23"/>
        <n v="707344.72"/>
        <n v="427747.55"/>
        <n v="729141.74"/>
        <n v="666930.27"/>
        <n v="230249.13"/>
        <n v="308942.36"/>
        <n v="324864.72"/>
        <n v="485446.05"/>
        <n v="551788.19"/>
        <n v="694030.17"/>
        <n v="150076.02"/>
        <n v="184883.88"/>
        <n v="614.73"/>
        <n v="-507.68"/>
        <n v="78903.51"/>
        <m/>
        <n v="43657.77"/>
        <n v="9029.7"/>
        <n v="4843.74"/>
        <n v="7406.03"/>
        <n v="82092.74"/>
        <n v="-51270.59"/>
        <n v="4435.11"/>
        <n v="17243.27"/>
        <n v="1191041.08"/>
        <n v="513215.37"/>
        <n v="2075144.86"/>
        <n v="4411510.82"/>
        <n v="4046661.09"/>
        <n v="4960211.58"/>
        <n v="3822308.51"/>
        <n v="36983.5"/>
        <n v="382332.72"/>
        <n v="769324.95"/>
        <n v="659489.64"/>
        <n v="254223.92"/>
        <n v="1058840.94"/>
        <n v="453246.75"/>
        <n v="1797568.15"/>
        <n v="3998185.61"/>
        <n v="3953220.96"/>
        <n v="4923424.64"/>
        <n v="3844772.22"/>
        <n v="47816.87"/>
        <n v="380460.39"/>
        <n v="844335.43"/>
        <n v="666137.65"/>
        <n v="338668.74"/>
        <n v="16"/>
        <n v="88"/>
        <n v="0"/>
        <n v="3614.77"/>
        <n v="192"/>
        <n v="4934.6"/>
        <n v="5578.76"/>
        <n v="7626.54"/>
        <n v="56"/>
        <n v="100.5"/>
        <n v="14"/>
        <n v="77"/>
        <n v="2415"/>
        <n v="168"/>
        <n v="4589.5"/>
        <n v="5196.65"/>
        <n v="6501.25"/>
        <n v="49"/>
        <n v="35207.9"/>
        <n v="44718.33"/>
        <n v="43051.07"/>
        <n v="35076.03"/>
        <n v="69520.34"/>
        <n v="68473.4"/>
        <n v="58178.4"/>
        <n v="25396.25"/>
        <n v="33389.7"/>
        <n v="2619919.12"/>
        <n v="1002437.11"/>
        <n v="573700.61"/>
        <n v="29854.65"/>
        <n v="21897.78"/>
        <n v="39809"/>
        <n v="26155.65"/>
        <n v="64249.8"/>
        <n v="63201"/>
        <n v="54066.9"/>
        <n v="23612.67"/>
        <n v="27266.95"/>
        <n v="1849075.67"/>
        <n v="823945.9"/>
        <n v="536550.53"/>
        <n v="9584.88"/>
        <n v="275911.71"/>
        <n v="4598.31"/>
        <n v="92321.52"/>
        <n v="2951.31"/>
        <n v="3042.4"/>
        <n v="1355.12"/>
        <n v="14627.39"/>
        <n v="160.67"/>
        <n v="22.35"/>
        <n v="8786.24"/>
        <n v="335377.17"/>
        <n v="-35677.35"/>
        <n v="77769.05"/>
        <n v="2821.91"/>
        <n v="2934.02"/>
        <n v="1310.21"/>
        <n v="13381.15"/>
        <n v="104.99"/>
        <n v="315628.77"/>
        <n v="58.88"/>
        <n v="809573.37"/>
        <n v="2326439.79"/>
        <n v="1127808.87"/>
        <n v="305992.13"/>
        <n v="13794.13"/>
        <n v="22239.01"/>
        <n v="18379.42"/>
        <n v="8529.24"/>
        <n v="6779.91"/>
        <n v="-5284.86"/>
        <n v="64235.51"/>
        <n v="65498.34"/>
        <n v="1086893.52"/>
        <n v="2353856.58"/>
        <n v="1122608.33"/>
        <n v="328713.65"/>
        <n v="29105.14"/>
        <n v="7399.17"/>
        <n v="321618.83"/>
        <n v="724267.32"/>
        <n v="363392.17"/>
        <n v="138029.8"/>
        <n v="3657.72"/>
        <n v="6847.7"/>
        <n v="4129.03"/>
        <n v="605.54"/>
        <n v="658.6"/>
        <n v="4567.63"/>
        <n v="5768.2"/>
        <n v="1158.2"/>
        <n v="337.12"/>
        <n v="1047.6"/>
        <n v="490059.6"/>
        <n v="1172094.27"/>
        <n v="3441.7"/>
        <n v="6719.2"/>
        <n v="4088.16"/>
        <n v="568.1"/>
        <n v="613.14"/>
        <n v="10271.6688"/>
        <n v="36066.75"/>
        <n v="2548.06"/>
        <n v="1386.32"/>
        <n v="1874.97"/>
        <n v="446913.61"/>
        <n v="1069403.534"/>
        <n v="5471.71"/>
        <n v="3497.76"/>
        <n v="0.02"/>
        <n v="0.03"/>
        <n v="815.79"/>
        <n v="18324.4"/>
        <n v="5471.67"/>
        <n v="4035.85"/>
        <n v="-0.32"/>
        <n v="320.75"/>
        <n v="2390.35"/>
        <n v="1095.88"/>
        <n v="11.78"/>
        <n v="3.79"/>
        <n v="1.97"/>
        <n v="1.73"/>
        <n v="23712.13"/>
        <n v="82166003.77"/>
        <n v="47115354.28"/>
        <n v="91602614.1"/>
        <n v="45758351.61"/>
        <n v="58363388.4"/>
        <n v="75955479.61"/>
        <n v="58650009.5"/>
        <n v="81370811.25"/>
        <n v="124870822.55"/>
        <n v="108484339.8"/>
        <n v="105503467.33"/>
        <n v="87758912.4712001"/>
        <n v="81862360.6152"/>
        <n v="46819020.476"/>
        <n v="90636954.1"/>
        <n v="44525865.7296"/>
        <n v="58168986.25"/>
        <n v="75319914.5032"/>
        <n v="58474006.2"/>
        <n v="81044567.95"/>
        <n v="124370263.2084"/>
        <n v="107579308.5"/>
        <n v="104003430.3762"/>
        <n v="87462704.3622"/>
        <n v="22776792.86"/>
        <n v="12140857.13"/>
        <n v="21587544.9"/>
        <n v="14292594.2"/>
        <n v="16719824.09"/>
        <n v="24844433.7"/>
        <n v="18959214.65"/>
        <n v="25966379.31"/>
        <n v="32313120.87"/>
        <n v="39010290.37"/>
        <n v="57330929.41"/>
        <n v="58826757.84"/>
        <n v="20580416.2"/>
        <n v="10686180.39"/>
        <n v="20741849.79"/>
        <n v="12237838.42"/>
        <n v="15391998.87"/>
        <n v="23608470.85"/>
        <n v="17753159.09"/>
        <n v="23956927.41"/>
        <n v="31414581.27"/>
        <n v="38433806.13"/>
        <n v="58053161.91"/>
        <n v="59715031.8"/>
        <n v="20784.2"/>
        <n v="8917.68"/>
        <n v="3625.27"/>
        <n v="-1133025.16"/>
        <n v="543.3"/>
        <n v="5369.17"/>
        <n v="21618.64"/>
        <n v="1133.24"/>
        <n v="-43809.15"/>
        <n v="844.34"/>
        <n v="84309.02"/>
        <n v="-6761.82"/>
        <n v="8951.86"/>
        <n v="8630"/>
        <n v="14716.41"/>
        <n v="3545.14"/>
        <n v="57552.82"/>
        <n v="93396.23"/>
        <n v="283018.87"/>
        <n v="7047.87"/>
        <n v="163.17"/>
        <n v="6451.42"/>
        <n v="1156.87"/>
        <n v="1134.03"/>
        <n v="5118350.01"/>
        <n v="7942577.83"/>
        <n v="4200687.2"/>
        <n v="7994035.49"/>
        <n v="12644153.68"/>
        <n v="20065243.67"/>
        <n v="4402652.55"/>
        <n v="897733.18"/>
        <n v="141139.79"/>
        <n v="138268.59"/>
        <n v="172706.01"/>
        <n v="132034.19"/>
        <n v="4196.47"/>
        <n v="4398966.41"/>
        <n v="7569614.13"/>
        <n v="4039815.37"/>
        <n v="7625346.57"/>
        <n v="12382984.2"/>
        <n v="19800844.91"/>
        <n v="4229039.53"/>
        <n v="498.55"/>
        <n v="557.7"/>
        <n v="490.1"/>
        <n v="650.65"/>
        <n v="380.25"/>
        <n v="388.7"/>
        <n v="261.95"/>
        <n v="8"/>
        <n v="12541.03"/>
        <n v="288"/>
        <n v="442.4664"/>
        <n v="495"/>
        <n v="435.01"/>
        <n v="577.55"/>
        <n v="337.5"/>
        <n v="345"/>
        <n v="232.5"/>
        <n v="7.5"/>
        <n v="2376.47"/>
        <n v="270"/>
        <n v="171094.07"/>
        <n v="3827.18"/>
        <n v="8399.95"/>
        <n v="73775.36"/>
        <n v="117920.43"/>
        <n v="66504.8"/>
        <n v="42297.6"/>
        <n v="24986"/>
        <n v="24936.6"/>
        <n v="21028.8"/>
        <n v="17595.98"/>
        <n v="13681.41"/>
        <n v="123642.94"/>
        <n v="3677.78"/>
        <n v="7603.1"/>
        <n v="68969.82"/>
        <n v="111668.3"/>
        <n v="62560.02"/>
        <n v="39153"/>
        <n v="23252"/>
        <n v="23082"/>
        <n v="19176.2"/>
        <n v="16578.55"/>
        <n v="12441.34"/>
        <n v="486.06"/>
        <n v="486.05"/>
        <n v="8420.88"/>
        <n v="267"/>
        <n v="112.5"/>
        <n v="163"/>
        <n v="1112.6"/>
        <n v="4556.3"/>
        <n v="2419481.6"/>
        <n v="1133011.6"/>
        <n v="117351.6"/>
        <n v="1373623.1"/>
        <n v="79236"/>
        <n v="4608072.7"/>
        <n v="22696.15"/>
        <n v="240"/>
        <n v="67.5"/>
        <n v="15"/>
        <n v="394.8"/>
        <n v="2451.33"/>
        <n v="2475095.6"/>
        <n v="1167565.6"/>
        <n v="119804"/>
        <n v="1407000.7848"/>
        <n v="79809.28"/>
        <n v="4717366.32"/>
        <n v="21846.0166"/>
        <n v="1204387.73"/>
        <n v="4005488.72"/>
        <n v="2653427.35"/>
        <n v="1901852.84"/>
        <n v="1813246.22"/>
        <n v="7749.06"/>
        <n v="4383442.48"/>
        <n v="1126.87"/>
        <n v="1147120.43"/>
        <n v="3805214.25"/>
        <n v="2503055.83"/>
        <n v="1806760.19"/>
        <n v="1726167.24"/>
        <n v="-95740.43"/>
        <n v="4137931.82"/>
        <n v="1070.51"/>
        <n v="9612.44"/>
        <n v="2334.45"/>
        <n v="1361.6"/>
        <n v="368.5"/>
        <n v="8527.2"/>
        <n v="67240"/>
        <n v="1236336.6"/>
        <n v="50026.3"/>
        <n v="27438.87"/>
        <n v="21000.7"/>
        <n v="891341.8"/>
        <n v="467272.53"/>
        <n v="36700.62"/>
        <n v="495607.289999996"/>
        <n v="920"/>
        <n v="343"/>
        <n v="7880.75"/>
        <n v="64259.25"/>
        <n v="1231141.9"/>
        <n v="45598.44"/>
        <n v="23639.4"/>
        <n v="18760.4"/>
        <n v="819163.23"/>
        <n v="442065.12"/>
        <n v="84987.2"/>
        <n v="1923081.8664"/>
        <n v="5754934.37"/>
        <n v="8177351.12"/>
        <n v="5445978.6"/>
        <n v="5889033.99"/>
        <n v="2830188.68"/>
        <n v="42490"/>
        <n v="12805.55"/>
        <n v="41137"/>
        <n v="41456.28"/>
        <n v="12783.07"/>
        <n v="40063.16"/>
        <n v="33.91"/>
        <n v="203.6"/>
        <n v="39.07"/>
        <n v="17.45"/>
        <n v="-294.03"/>
        <n v="16677400"/>
        <n v="19261330.37"/>
        <n v="16358043.52"/>
        <n v="19150225.97"/>
        <n v="279513.74"/>
        <n v="204814.33"/>
        <n v="1260384.25"/>
        <n v="2486578.25"/>
        <n v="1127299.5"/>
        <n v="330040.29"/>
        <n v="3757879.49"/>
        <n v="29886.22"/>
        <n v="368749.81"/>
        <n v="774368.17"/>
        <n v="19658288.87"/>
        <n v="174681.51"/>
        <n v="207938.27"/>
        <n v="37318.55"/>
        <n v="324795.64"/>
        <n v="19658290.6"/>
        <n v="224804.17"/>
        <n v="5471.7"/>
        <n v="255041.51"/>
        <n v="6753.6"/>
        <n v="52521.99"/>
        <n v="27600.53"/>
        <n v="287755.95"/>
        <n v="3626.42"/>
        <n v="138812.81"/>
        <n v="27435.14"/>
        <n v="32389.8"/>
        <n v="4060844.09"/>
        <n v="7218998.85"/>
        <n v="131413.64"/>
        <n v="4060842.36"/>
      </sharedItems>
    </cacheField>
    <cacheField name="合计" numFmtId="176">
      <sharedItems containsSemiMixedTypes="0" containsString="0" containsNumber="1" minValue="-9299751.11" maxValue="2098183107.67" count="762">
        <n v="1024321072.74"/>
        <n v="1053473436.57"/>
        <n v="1389757222.58"/>
        <n v="1281989049.39"/>
        <n v="1567440618.51"/>
        <n v="1642463342.26"/>
        <n v="1728924498.98"/>
        <n v="2098183107.67"/>
        <n v="1065772545.04"/>
        <n v="970960576.220004"/>
        <n v="1189754968.98"/>
        <n v="886405002.27"/>
        <n v="1010796068.2706"/>
        <n v="1041797374.551"/>
        <n v="1377815565.75"/>
        <n v="1269070414.657"/>
        <n v="1551792080.6796"/>
        <n v="1631231043"/>
        <n v="1716952220.28"/>
        <n v="2082526492"/>
        <n v="1056677195.3242"/>
        <n v="960999414.3072"/>
        <n v="1182392043.13"/>
        <n v="880446080.354"/>
        <n v="1068745.75"/>
        <n v="1239085.43"/>
        <n v="4126738.28"/>
        <n v="1651555.37"/>
        <n v="1333590.98"/>
        <n v="12485262.56"/>
        <n v="3314212.08"/>
        <n v="2991684.24"/>
        <n v="2581747.81"/>
        <n v="1482784.43"/>
        <n v="9819755.45"/>
        <n v="4534000.74"/>
        <n v="1137963.99"/>
        <n v="1202645.25"/>
        <n v="5241471.83"/>
        <n v="1842233.14"/>
        <n v="1607192.21"/>
        <n v="16806188.29"/>
        <n v="4239191.27"/>
        <n v="3427806.94"/>
        <n v="2937831.51"/>
        <n v="1281243.08"/>
        <n v="13229516.07"/>
        <n v="4009563.33"/>
        <n v="544242.07"/>
        <n v="452220.09"/>
        <n v="2570512.07"/>
        <n v="620496.16"/>
        <n v="632361.49"/>
        <n v="6504025.17"/>
        <n v="1543279.76"/>
        <n v="1149935.22"/>
        <n v="1240113.67"/>
        <n v="944837.22"/>
        <n v="4686300.16"/>
        <n v="560510.89"/>
        <n v="711556.17"/>
        <n v="286985.23"/>
        <n v="604802.7"/>
        <n v="142044.85"/>
        <n v="452828.55"/>
        <n v="992855.45"/>
        <n v="299361.27"/>
        <n v="604414.17"/>
        <n v="726702.5"/>
        <n v="570669.17"/>
        <n v="7899104.31"/>
        <n v="303290.61"/>
        <n v="1191041.08"/>
        <n v="513215.37"/>
        <n v="2075144.86"/>
        <n v="4411510.82"/>
        <n v="4046661.09"/>
        <n v="4960211.58"/>
        <n v="3822308.51"/>
        <n v="36983.5"/>
        <n v="382332.72"/>
        <n v="769324.95"/>
        <n v="659489.64"/>
        <n v="254223.92"/>
        <n v="0"/>
        <n v="456700.62"/>
        <n v="186988.75"/>
        <n v="1058840.94"/>
        <n v="453246.75"/>
        <n v="1797568.15"/>
        <n v="3998185.61"/>
        <n v="3953220.96"/>
        <n v="4923424.64"/>
        <n v="3844772.22"/>
        <n v="47816.87"/>
        <n v="380460.39"/>
        <n v="844335.43"/>
        <n v="666137.65"/>
        <n v="338668.74"/>
        <n v="49083243.65"/>
        <n v="45029411.6"/>
        <n v="54947134.03"/>
        <n v="61134513.94"/>
        <n v="43785611.83"/>
        <n v="13268809.73"/>
        <n v="17106057"/>
        <n v="16298858.78"/>
        <n v="15090123.94"/>
        <n v="14183716.97"/>
        <n v="14833138.4"/>
        <n v="14787902.9"/>
        <n v="47565244.78"/>
        <n v="43684888.71"/>
        <n v="53531705.77"/>
        <n v="59613751.35"/>
        <n v="42600600.06"/>
        <n v="12644817.71"/>
        <n v="16330112.03"/>
        <n v="15453859.1"/>
        <n v="14277387.5372"/>
        <n v="13517529.7566"/>
        <n v="14206626.45"/>
        <n v="14485346.49"/>
        <n v="410.38"/>
        <n v="268.85"/>
        <n v="-101.89"/>
        <n v="1076.3"/>
        <n v="5.95"/>
        <n v="45.74"/>
        <n v="278337.77"/>
        <n v="298.2"/>
        <n v="204.33"/>
        <n v="0.01"/>
        <n v="1054.87"/>
        <n v="4.83"/>
        <n v="42.77"/>
        <n v="270161.97"/>
        <n v="775.44"/>
        <n v="931.92"/>
        <n v="704.97"/>
        <n v="486.04"/>
        <n v="484.61"/>
        <n v="901.87"/>
        <n v="518.4"/>
        <n v="506.45"/>
        <n v="226.23"/>
        <n v="249.02"/>
        <n v="159.19"/>
        <n v="172.78"/>
        <n v="161089.08"/>
        <n v="639895.57"/>
        <n v="311701.42"/>
        <n v="430660.38"/>
        <n v="210462.02"/>
        <n v="366149.32"/>
        <n v="282642.36"/>
        <n v="47169.81"/>
        <n v="47883.27"/>
        <n v="6.3"/>
        <n v="7.49"/>
        <n v="6160.05"/>
        <n v="-20919.37"/>
        <n v="18508769.4"/>
        <n v="19308163.01"/>
        <n v="25730853.85"/>
        <n v="6281444.38"/>
        <n v="4611134.93"/>
        <n v="1587106.57"/>
        <n v="2763232.1"/>
        <n v="7187597.35"/>
        <n v="13615610.61"/>
        <n v="102765588.85"/>
        <n v="199126924.86"/>
        <n v="94116392.75"/>
        <n v="18386572.65"/>
        <n v="19263620.38"/>
        <n v="25681187.05"/>
        <n v="6245047.44"/>
        <n v="4593114"/>
        <n v="1534140.38"/>
        <n v="2733261.6"/>
        <n v="7144812.24"/>
        <n v="12849716.56"/>
        <n v="101271010.33"/>
        <n v="197430004.09"/>
        <n v="93348933.5638"/>
        <n v="4656967.17"/>
        <n v="3375335.19"/>
        <n v="3837490.44"/>
        <n v="4468701.98"/>
        <n v="3939412.51"/>
        <n v="3866710.79"/>
        <n v="3752551.67"/>
        <n v="2891607.85"/>
        <n v="2913513.05"/>
        <n v="3333613.88"/>
        <n v="2046316.41"/>
        <n v="2982870.41"/>
        <n v="5066904.12"/>
        <n v="3410751.7"/>
        <n v="3817610.64"/>
        <n v="4445640.85"/>
        <n v="3917907.43"/>
        <n v="3824314.4"/>
        <n v="3723470.87"/>
        <n v="2903811.73"/>
        <n v="2890499.23"/>
        <n v="3280634.69"/>
        <n v="2043196.67"/>
        <n v="2828532.32"/>
        <n v="315628.77"/>
        <n v="58.88"/>
        <n v="809573.37"/>
        <n v="2326439.79"/>
        <n v="1127808.87"/>
        <n v="305992.13"/>
        <n v="13794.13"/>
        <n v="22239.01"/>
        <n v="18379.42"/>
        <n v="8529.24"/>
        <n v="6779.91"/>
        <n v="-5284.86"/>
        <n v="64235.51"/>
        <n v="65498.34"/>
        <n v="1086893.52"/>
        <n v="2353856.58"/>
        <n v="1122608.33"/>
        <n v="328713.65"/>
        <n v="29105.14"/>
        <n v="7399.17"/>
        <n v="321618.83"/>
        <n v="724267.32"/>
        <n v="363392.17"/>
        <n v="138029.8"/>
        <n v="30257151.34"/>
        <n v="29083510.71"/>
        <n v="17490964.27"/>
        <n v="18092943.12"/>
        <n v="16219260.7"/>
        <n v="12129030.56"/>
        <n v="19390892.4"/>
        <n v="21341644.61"/>
        <n v="11862363.49"/>
        <n v="15520676.22"/>
        <n v="12487870.25"/>
        <n v="23347961.25"/>
        <n v="29710993.85"/>
        <n v="28611395.6"/>
        <n v="17221904.38"/>
        <n v="17759278.3"/>
        <n v="15846765.86"/>
        <n v="11887890.4654"/>
        <n v="19032757.55"/>
        <n v="20769764.9292"/>
        <n v="11559009.7322"/>
        <n v="15239334.77"/>
        <n v="12532786.56"/>
        <n v="22786756.12"/>
        <n v="20633904.34"/>
        <n v="11420297.47"/>
        <n v="14697911.93"/>
        <n v="24063413.57"/>
        <n v="31903356.97"/>
        <n v="50397908.7"/>
        <n v="51022907.59"/>
        <n v="96999674.03"/>
        <n v="116213174.08"/>
        <n v="40220536.65"/>
        <n v="81345277.49"/>
        <n v="121737748.02"/>
        <n v="20412577.72"/>
        <n v="12162098.6"/>
        <n v="14743799.74"/>
        <n v="24125062.22"/>
        <n v="32144262.52"/>
        <n v="52892867.3"/>
        <n v="52084183.64"/>
        <n v="97568027.99"/>
        <n v="119438114.26"/>
        <n v="41321325.12"/>
        <n v="82900032.33"/>
        <n v="129624772.67"/>
        <n v="726710.68"/>
        <n v="826988.22"/>
        <n v="260923.79"/>
        <n v="205653.97"/>
        <n v="626229.03"/>
        <n v="2001824.69"/>
        <n v="962583.85"/>
        <n v="2682125.56"/>
        <n v="4106464.95"/>
        <n v="1517736.97"/>
        <n v="1906042.64"/>
        <n v="4013058.32"/>
        <n v="101048.77"/>
        <n v="81130.49"/>
        <n v="105180.42"/>
        <n v="72231.56"/>
        <n v="89314.28"/>
        <n v="119465.42"/>
        <n v="46098.6"/>
        <n v="116121.9"/>
        <n v="23441.89"/>
        <n v="16336.73"/>
        <n v="101903.73"/>
        <n v="76176.99"/>
        <n v="2390.35"/>
        <n v="1095.88"/>
        <n v="11.78"/>
        <n v="3.79"/>
        <n v="1.97"/>
        <n v="1.73"/>
        <n v="24209.6"/>
        <n v="45885.38"/>
        <n v="23712.13"/>
        <n v="170948332.59"/>
        <n v="101047880.74"/>
        <n v="145396834.08"/>
        <n v="92780091.7"/>
        <n v="114962267.49"/>
        <n v="163078595.33"/>
        <n v="139512026.5"/>
        <n v="151279353.45"/>
        <n v="186857385.879999"/>
        <n v="174100742.88"/>
        <n v="201003406.69"/>
        <n v="148788145.91"/>
        <n v="171154233.2726"/>
        <n v="100671741.1968"/>
        <n v="140856289.1"/>
        <n v="90894408.8964"/>
        <n v="112652363.71"/>
        <n v="158621624.5844"/>
        <n v="136409724.5"/>
        <n v="149402778.3744"/>
        <n v="185187415.681"/>
        <n v="172340359.1604"/>
        <n v="192533300.3762"/>
        <n v="141156217.6876"/>
        <n v="93287374.81"/>
        <n v="97744953.22"/>
        <n v="122437941.98"/>
        <n v="135550428.61"/>
        <n v="185723025.42"/>
        <n v="357087237.03"/>
        <n v="197167965.14"/>
        <n v="305060078.54"/>
        <n v="427533634.25"/>
        <n v="256950115.04"/>
        <n v="399508590.39"/>
        <n v="535740348.99"/>
        <n v="83733483.68"/>
        <n v="91712929.42"/>
        <n v="123838896.69"/>
        <n v="134926546.89"/>
        <n v="183687677.13"/>
        <n v="349858574.89"/>
        <n v="198879972.38"/>
        <n v="302682046.42"/>
        <n v="422692304.97"/>
        <n v="257910421.85"/>
        <n v="396364994.24"/>
        <n v="514992386.93"/>
        <n v="1551961.25"/>
        <n v="342843.36"/>
        <n v="14092713.84"/>
        <n v="-999101.48"/>
        <n v="1926551.53"/>
        <n v="6349289.87"/>
        <n v="683554.55"/>
        <n v="12885905.46"/>
        <n v="1113638.59"/>
        <n v="1232125.27"/>
        <n v="704682.59"/>
        <n v="603554.17"/>
        <n v="129504.26"/>
        <n v="105653.41"/>
        <n v="405002.34"/>
        <n v="331693.37"/>
        <n v="187717.17"/>
        <n v="162690.17"/>
        <n v="200149.88"/>
        <n v="233228.81"/>
        <n v="99363.3"/>
        <n v="400460.73"/>
        <n v="665199.5"/>
        <n v="352445.87"/>
        <n v="7047.87"/>
        <n v="163.17"/>
        <n v="6451.42"/>
        <n v="1156.87"/>
        <n v="1134.03"/>
        <n v="5118350.01"/>
        <n v="7942577.83"/>
        <n v="4200687.2"/>
        <n v="7994035.49"/>
        <n v="12644153.68"/>
        <n v="20065243.67"/>
        <n v="4402652.55"/>
        <n v="897733.18"/>
        <n v="2603.53"/>
        <n v="141139.79"/>
        <n v="138268.59"/>
        <n v="172706.01"/>
        <n v="132034.19"/>
        <n v="4196.47"/>
        <n v="4398966.41"/>
        <n v="7569614.13"/>
        <n v="4039815.37"/>
        <n v="7625346.57"/>
        <n v="12382984.2"/>
        <n v="19800844.91"/>
        <n v="4229039.53"/>
        <n v="4007658.43"/>
        <n v="3170196.9"/>
        <n v="2700975.87"/>
        <n v="2250265.85"/>
        <n v="1807703.99"/>
        <n v="1677095.2"/>
        <n v="1310003.55"/>
        <n v="1276722.24"/>
        <n v="934667.34"/>
        <n v="763738.92"/>
        <n v="1264365.62"/>
        <n v="4066760.3"/>
        <n v="3977102.881"/>
        <n v="3138497.05"/>
        <n v="2673538.33"/>
        <n v="2222337.45"/>
        <n v="1780817.5"/>
        <n v="1654029.56"/>
        <n v="1301333.45"/>
        <n v="1248475.3"/>
        <n v="898973.4672"/>
        <n v="727818.6098"/>
        <n v="1211104.44"/>
        <n v="4012449.9"/>
        <n v="860120.32"/>
        <n v="1221478"/>
        <n v="2198997.01"/>
        <n v="927360.98"/>
        <n v="3729697.14"/>
        <n v="6268105.98"/>
        <n v="5963714.19"/>
        <n v="2842112.64"/>
        <n v="2665636.07"/>
        <n v="3862597.8"/>
        <n v="6536627.84"/>
        <n v="7820162.06"/>
        <n v="768304.3"/>
        <n v="1097637.64"/>
        <n v="3047109.39"/>
        <n v="1165561.26"/>
        <n v="4931528.6"/>
        <n v="8032688.14"/>
        <n v="6613858.76"/>
        <n v="3436274.91"/>
        <n v="3111196.67"/>
        <n v="4330782.51"/>
        <n v="8348237.32"/>
        <n v="8411769.78"/>
        <n v="-384889.57"/>
        <n v="65306.31"/>
        <n v="1467278.92"/>
        <n v="-217499.41"/>
        <n v="1785646.43"/>
        <n v="2156412.86"/>
        <n v="1046216.66"/>
        <n v="728022.56"/>
        <n v="1187349.8"/>
        <n v="1104118.13"/>
        <n v="2385811.6"/>
        <n v="1778194.04"/>
        <n v="540922.37"/>
        <n v="1439404.82"/>
        <n v="891255.92"/>
        <n v="744917.68"/>
        <n v="756650.76"/>
        <n v="1035868.04"/>
        <n v="489211.64"/>
        <n v="508147.95"/>
        <n v="1540338.49"/>
        <n v="205616.21"/>
        <n v="700141.92"/>
        <n v="1918245.5"/>
        <n v="51241917.65"/>
        <n v="55101704.86"/>
        <n v="59105344.88"/>
        <n v="75720792.8"/>
        <n v="73437936.03"/>
        <n v="105579393.15"/>
        <n v="136119945.58"/>
        <n v="163815213.17"/>
        <n v="144785819.2"/>
        <n v="120650296.95"/>
        <n v="107039195.5"/>
        <n v="132583888.44"/>
        <n v="50866540.9178"/>
        <n v="54803814.7972"/>
        <n v="58832130.55"/>
        <n v="75252595.47"/>
        <n v="72671880.6"/>
        <n v="103613403.72"/>
        <n v="134119329.98"/>
        <n v="163190201.2824"/>
        <n v="144476031.5024"/>
        <n v="120202995.81"/>
        <n v="110358687.02"/>
        <n v="132539478.1954"/>
        <n v="879.49"/>
        <n v="179.15"/>
        <n v="6231.49"/>
        <n v="4726.55"/>
        <n v="5912.86"/>
        <n v="111.54"/>
        <n v="131.27"/>
        <n v="204.51"/>
        <n v="18454.77"/>
        <n v="20020.99"/>
        <n v="26451.85"/>
        <n v="762584.88"/>
        <n v="688.85"/>
        <n v="136.32"/>
        <n v="6219.03"/>
        <n v="4984.34"/>
        <n v="5993.05"/>
        <n v="82.1"/>
        <n v="81.25"/>
        <n v="180.92"/>
        <n v="11444.69"/>
        <n v="12911.79"/>
        <n v="16268.06"/>
        <n v="754106.76"/>
        <n v="30402.62"/>
        <n v="36686.64"/>
        <n v="33060.4"/>
        <n v="15321.31"/>
        <n v="12838.17"/>
        <n v="14386.9"/>
        <n v="3800.95"/>
        <n v="9558.81"/>
        <n v="9581.58"/>
        <n v="14320.36"/>
        <n v="15680.76"/>
        <n v="24951.67"/>
        <n v="108345.35"/>
        <n v="1021202.39"/>
        <n v="-1129547.74"/>
        <n v="8420.88"/>
        <n v="5377.36"/>
        <n v="63775.76"/>
        <n v="1102627.13"/>
        <n v="-1102627.13"/>
        <n v="925390.36"/>
        <n v="-925390.36"/>
        <n v="104204197.45"/>
        <n v="30576163.3"/>
        <n v="64728517.95"/>
        <n v="98529999.8"/>
        <n v="94091680.44"/>
        <n v="72665024.41"/>
        <n v="36744042.07"/>
        <n v="50344098.62"/>
        <n v="42433763.47"/>
        <n v="14324751.65"/>
        <n v="9584749.47"/>
        <n v="2495922.95"/>
        <n v="103676733.76"/>
        <n v="30387431.3876"/>
        <n v="64132557.34"/>
        <n v="98105805.44"/>
        <n v="93581478.35"/>
        <n v="72316779.65"/>
        <n v="36563073.6"/>
        <n v="50056717.9"/>
        <n v="42295817.0352"/>
        <n v="14238079.3"/>
        <n v="9667727.5"/>
        <n v="2479393.9566"/>
        <n v="931967.93"/>
        <n v="1204387.73"/>
        <n v="4005488.72"/>
        <n v="2653427.35"/>
        <n v="1901852.84"/>
        <n v="1813246.22"/>
        <n v="7816.32"/>
        <n v="4383464.9"/>
        <n v="1160.5"/>
        <n v="869447.17"/>
        <n v="1147120.43"/>
        <n v="3805214.25"/>
        <n v="2487085.4"/>
        <n v="1806760.19"/>
        <n v="1726167.24"/>
        <n v="-95681.33"/>
        <n v="4137951.52"/>
        <n v="1100.06"/>
        <n v="21850134.23"/>
        <n v="38257590.06"/>
        <n v="34518318.3"/>
        <n v="35946972.49"/>
        <n v="70141196.55"/>
        <n v="80002296.6"/>
        <n v="107577477.3"/>
        <n v="116737999.13"/>
        <n v="61376444.8"/>
        <n v="47855914.55"/>
        <n v="43420912.8"/>
        <n v="94790142.81"/>
        <n v="21339124.86"/>
        <n v="40748122.1758"/>
        <n v="36127916.02"/>
        <n v="37424616.46"/>
        <n v="73728285.4"/>
        <n v="83184547.44"/>
        <n v="109383407.74"/>
        <n v="118010408.3"/>
        <n v="61293797.33"/>
        <n v="47860116.81"/>
        <n v="42294855.35"/>
        <n v="96973288.27"/>
        <n v="101.89"/>
        <n v="730469.54"/>
        <n v="3892676.56"/>
        <n v="8014422.76"/>
        <n v="3622496.31"/>
        <n v="4531978.05"/>
        <n v="7421466.07"/>
        <n v="3118781.49"/>
        <n v="2403290.96"/>
        <n v="4935281.99"/>
        <n v="1662964.74"/>
        <n v="4922749.74"/>
        <n v="3324310.7"/>
        <n v="845198.75"/>
        <n v="6412111.91"/>
        <n v="4185599.46"/>
        <n v="974422.3"/>
        <n v="3189996.61"/>
        <n v="5316501.68"/>
        <n v="2241359.29"/>
        <n v="2166780.71"/>
        <n v="3452943.58"/>
        <n v="1485441.52"/>
        <n v="5614675.39"/>
        <n v="2276043.3"/>
        <n v="711389.2"/>
        <n v="1256614.37"/>
        <n v="1069304.56"/>
        <n v="705754.33"/>
        <n v="1052515.46"/>
        <n v="1660768.21"/>
        <n v="1153561.63"/>
        <n v="1032678.79"/>
        <n v="890542.74"/>
        <n v="634650.98"/>
        <n v="1328289.21"/>
        <n v="980646.38"/>
        <n v="602359.32"/>
        <n v="918481.8"/>
        <n v="1620821.85"/>
        <n v="1012374.56"/>
        <n v="14073309.98"/>
        <n v="-9195168.46"/>
        <n v="1435070.27"/>
        <n v="1466797.24"/>
        <n v="2236640.32"/>
        <n v="1347930.45"/>
        <n v="2880405.83"/>
        <n v="2442360.44"/>
        <n v="430155.0782"/>
        <n v="682731.07"/>
        <n v="1422325.7"/>
        <n v="851112.9"/>
        <n v="13926153.36"/>
        <n v="-9299751.11"/>
        <n v="1323950.9"/>
        <n v="1310211.9"/>
        <n v="2059610.23"/>
        <n v="1187616.4"/>
        <n v="2581954.9"/>
        <n v="3699306.9806"/>
        <n v="1702215.33"/>
        <n v="4234379.31"/>
        <n v="861157.37"/>
        <n v="2767491.09"/>
        <n v="615331.09"/>
        <n v="779535.96"/>
        <n v="626111.28"/>
        <n v="616342.97"/>
        <n v="98769.06"/>
        <n v="681656.33"/>
        <n v="6503222.66"/>
        <n v="8223664.87"/>
        <n v="1412654.95"/>
        <n v="3642305.16"/>
        <n v="634996.22"/>
        <n v="2554674.01"/>
        <n v="434465.87"/>
        <n v="561498.57"/>
        <n v="419604.2"/>
        <n v="532449.09"/>
        <n v="91613.67"/>
        <n v="662180.26"/>
        <n v="6114465.52"/>
        <n v="5927293.87"/>
        <n v="2830188.68"/>
        <n v="42490"/>
        <n v="12805.55"/>
        <n v="41137"/>
        <n v="41456.28"/>
        <n v="12783.07"/>
        <n v="40063.16"/>
        <n v="33.91"/>
        <n v="203.6"/>
        <n v="39.07"/>
        <n v="17.45"/>
        <n v="-294.03"/>
        <n v="18206908.22"/>
        <n v="3704159.54"/>
        <n v="18027895.35"/>
        <n v="3648638.38"/>
        <n v="16677400"/>
        <n v="19261330.37"/>
        <n v="16358043.52"/>
        <n v="19150225.97"/>
        <n v="279513.74"/>
        <n v="204814.33"/>
        <n v="1260384.25"/>
        <n v="2486578.25"/>
        <n v="1127299.5"/>
        <n v="330040.29"/>
        <n v="3757879.49"/>
        <n v="29886.22"/>
        <n v="368749.81"/>
        <n v="774368.17"/>
        <n v="19658288.87"/>
        <n v="174681.51"/>
        <n v="207938.27"/>
        <n v="37318.55"/>
        <n v="324795.64"/>
        <n v="19658290.6"/>
        <n v="224804.17"/>
        <n v="2034380.54"/>
        <n v="2423681.42"/>
        <n v="2664229.34"/>
        <n v="12124382.84"/>
        <n v="24864408.29"/>
        <n v="42946953.27"/>
        <n v="34762007.1"/>
        <n v="78122854.76"/>
        <n v="90457620.83"/>
        <n v="35920722.7"/>
        <n v="81866215.29"/>
        <n v="120274658.14"/>
        <n v="2033776.68"/>
        <n v="12118205.45"/>
        <n v="78097250.49"/>
        <n v="90386521.83"/>
        <n v="35778676.7"/>
        <n v="81794773.72"/>
        <n v="120217684.9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39.4209953704" refreshedBy="wjj" recordCount="1207">
  <cacheSource type="worksheet">
    <worksheetSource ref="A1:O1208" sheet="返点中间单据23年"/>
  </cacheSource>
  <cacheFields count="15">
    <cacheField name="中间单据状态" numFmtId="0">
      <sharedItems count="2">
        <s v="已生成"/>
        <s v="手工凭证"/>
      </sharedItems>
    </cacheField>
    <cacheField name="rebates_date" numFmtId="177">
      <sharedItems containsSemiMixedTypes="0" containsString="0" containsNonDate="0" containsDate="1" minDate="2023-01-31T00:00:00" maxDate="2023-12-31T00:00:00" count="12"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</sharedItems>
    </cacheField>
    <cacheField name="company_name" numFmtId="0">
      <sharedItems count="14">
        <s v="喀什一起玩网络科技有限公司"/>
        <s v="武汉福禄网络科技有限公司"/>
        <s v="武汉立硕科技有限公司"/>
        <s v="武汉天识科技有限公司"/>
        <s v="武汉搜卡科技有限公司"/>
        <s v="新疆福禄网络科技有限公司"/>
        <s v="武汉一起游网络科技有限公司"/>
        <s v="西藏福禄网络科技有限公司"/>
        <s v="新疆葫芦娃网络科技有限公司"/>
        <s v="海南福禄网络科技有限公司"/>
        <s v="江西福禄网络科技有限公司"/>
        <s v="西藏葫芦娃网络科技有限公司"/>
        <s v="海南福禄网络科技有限公司第一分公司"/>
        <s v="西藏数云网络科技有限公司"/>
      </sharedItems>
    </cacheField>
    <cacheField name="center_name" numFmtId="0">
      <sharedItems count="11">
        <s v="商品管理中心"/>
        <s v="游戏生态电商中心"/>
        <s v="通信中心"/>
        <s v="渠道一线"/>
        <s v="业务发展中心（武汉）"/>
        <s v="渠道四线"/>
        <s v="数字场景应用中心"/>
        <s v="渠道三线"/>
        <s v="直播电商中心"/>
        <s v="私域电商中心"/>
        <s v="传统电商中心"/>
      </sharedItems>
    </cacheField>
    <cacheField name="order_source" numFmtId="0">
      <sharedItems count="2">
        <s v="手工新增"/>
        <s v="BI"/>
      </sharedItems>
    </cacheField>
    <cacheField name="rebates_type" numFmtId="0">
      <sharedItems count="5">
        <s v="返现金"/>
        <s v="冲抵结算款"/>
        <s v="返卡密"/>
        <s v="返渠道余额"/>
        <s v="抵减成本"/>
      </sharedItems>
    </cacheField>
    <cacheField name="rebates_rules" numFmtId="0">
      <sharedItems count="3">
        <s v="活动返点"/>
        <s v="消耗返点"/>
        <s v="采购返点"/>
      </sharedItems>
    </cacheField>
    <cacheField name="rebates_cycle" numFmtId="0">
      <sharedItems count="4">
        <s v="季返"/>
        <s v="月返"/>
        <s v="半年返"/>
        <s v="年返"/>
      </sharedItems>
    </cacheField>
    <cacheField name="supplier_name" numFmtId="0">
      <sharedItems count="67">
        <s v="北京爱奇艺科技有限公司"/>
        <s v="资和信电子支付有限公司"/>
        <s v="湖北楚游通科技发展有限公司"/>
        <s v="中国联合网络通信有限公司南昌市分公司"/>
        <s v="天翼数字生活科技有限公司"/>
        <s v="北京汇元网科技股份有限公司"/>
        <s v="万达电影股份有限公司"/>
        <s v="武汉京东世纪贸易有限公司"/>
        <s v="上海喜马拉雅科技有限公司"/>
        <s v="中国联合网络通信有限公司重庆市分公司"/>
        <s v="天津星空乐游科技有限公司"/>
        <s v="上海宽娱数码科技有限公司"/>
        <s v="福建网龙计算机网络信息技术有限公司"/>
        <s v="深圳市盖娅科技有限公司"/>
        <s v="北京三快在线科技有限公司"/>
        <s v="中国联合网络通信有限公司广州市分公司"/>
        <s v="腾讯音乐娱乐(深圳)有限公司"/>
        <s v="常州奇智网络科技有限公司"/>
        <s v="深圳市腾讯计算机系统有限公司"/>
        <s v="杭州乐读科技有限公司"/>
        <s v="广州酷狗计算机科技有限公司"/>
        <s v="咪咕互动娱乐有限公司"/>
        <s v="海南战火互娱信息技术有限公司"/>
        <s v="广州虎牙信息科技有限公司"/>
        <s v="优酷信息技术(北京)有限公司"/>
        <s v="北京陌陌科技有限公司"/>
        <s v="北京卡路里科技有限公司"/>
        <s v="上海盒马网络科技有限公司"/>
        <s v="华为软件技术有限公司"/>
        <s v="永辉超市股份有限公司"/>
        <s v="福州朴朴电子商务有限公司"/>
        <s v="浙江天猫供应链管理有限公司"/>
        <s v="湖南快乐阳光互动娱乐传媒有限公司"/>
        <s v="苏州市吉利优行电子科技有限公司"/>
        <s v="江苏京东旭科信息技术有限公司"/>
        <s v="深圳市腾讯天游科技有限公司"/>
        <s v="苏果超市有限公司"/>
        <s v="温州创想网络科技有限公司"/>
        <s v="上海京东到家元信信息技术有限公司"/>
        <s v="成都鼎天莱通信技术有限公司"/>
        <s v="深圳市迅雷网络技术有限公司"/>
        <s v="滴滴出行(北京)网络平台技术有限公司"/>
        <s v="广州云米信息科技有限公司"/>
        <s v="深圳市爱宝数据科技有限公司"/>
        <s v="上海三快智送科技有限公司"/>
        <s v="拉扎斯网络科技(上海)有限公司"/>
        <s v="上海哈啰普惠科技有限公司"/>
        <s v="广州唯品会电子商务有限公司"/>
        <s v="中国联合网络通信有限公司深圳市分公司"/>
        <s v="深圳市奈雪餐饮管理有限公司"/>
        <s v="掌握(广州)科技发展有限公司"/>
        <s v="得到(天津)文化传播有限公司"/>
        <s v="广州市飞思计算机软件有限公司"/>
        <s v="浙江飞猪网络技术有限公司"/>
        <s v="口碑(上海)信息技术有限公司"/>
        <s v="莆田市吕晨贺信贸易有限公司"/>
        <s v="汇元银通(北京)在线支付技术有限公司"/>
        <s v="上海拉扎斯信息科技有限公司"/>
        <s v="上海履冰科技有限公司"/>
        <s v="中国联合网络通信有限公司长沙市分公司"/>
        <s v="北京凯声文化传媒有限责任公司"/>
        <s v="咪咕文化科技有限公司"/>
        <s v="广州津虹网络传媒有限公司"/>
        <s v="上海尤弥尔网络科技有限公司"/>
        <s v="雷神(武汉)网络技术有限公司"/>
        <s v="天翼电子商务有限公司上海分公司"/>
        <s v="平安付科技服务有限公司"/>
      </sharedItems>
    </cacheField>
    <cacheField name="cooperation_model" numFmtId="0">
      <sharedItems count="2">
        <s v="自营"/>
        <s v="寄售"/>
      </sharedItems>
    </cacheField>
    <cacheField name="goods_type" numFmtId="0">
      <sharedItems count="5">
        <s v="网娱"/>
        <s v="手游"/>
        <s v="卡券"/>
        <s v="通信"/>
        <s v="网游"/>
      </sharedItems>
    </cacheField>
    <cacheField name="taxrate_money" numFmtId="176">
      <sharedItems containsSemiMixedTypes="0" containsString="0" containsNumber="1" minValue="-3642082.64" maxValue="12011893.09" count="1185">
        <n v="1075850.64"/>
        <n v="438861.11"/>
        <n v="96188.22"/>
        <n v="512620.9"/>
        <n v="2050483.58"/>
        <n v="-460765.83"/>
        <n v="906371.79"/>
        <n v="191203.36"/>
        <n v="47410.33"/>
        <n v="2835"/>
        <n v="5523243.02"/>
        <n v="248225.95"/>
        <n v="4488000"/>
        <n v="1434.74"/>
        <n v="-294474.87"/>
        <n v="6463.64"/>
        <n v="23286.24"/>
        <n v="12635"/>
        <n v="12312"/>
        <n v="-76542.79"/>
        <n v="850851.4"/>
        <n v="36171.65"/>
        <n v="1040961.67"/>
        <n v="568924.94"/>
        <n v="-91520.26"/>
        <n v="13350"/>
        <n v="862313.92"/>
        <n v="261.09"/>
        <n v="2466.84"/>
        <n v="12061.2"/>
        <n v="550469.97"/>
        <n v="617770"/>
        <n v="1167354.97"/>
        <n v="-602513.16"/>
        <n v="3735.96"/>
        <n v="12"/>
        <n v="-663697.8"/>
        <n v="718908"/>
        <n v="578356.12"/>
        <n v="70506.98"/>
        <n v="51699.36"/>
        <n v="140730.59"/>
        <n v="90952"/>
        <n v="378750"/>
        <n v="6566"/>
        <n v="-81.03"/>
        <n v="16716.2"/>
        <n v="-297760.5"/>
        <n v="4636090.5"/>
        <n v="49000"/>
        <n v="56218.57"/>
        <n v="192264.1"/>
        <n v="89406.3"/>
        <n v="290504.6"/>
        <n v="480000"/>
        <n v="71311"/>
        <n v="1884318.4"/>
        <n v="-163767.8"/>
        <n v="7977.8"/>
        <n v="-34.05"/>
        <n v="-46099.06"/>
        <n v="-1035.65"/>
        <n v="-130863.45"/>
        <n v="-218890.83"/>
        <n v="86215.2"/>
        <n v="1575108.8"/>
        <n v="1475392.8"/>
        <n v="13978.8"/>
        <n v="147320.57"/>
        <n v="20251.5"/>
        <n v="77328"/>
        <n v="16666.67"/>
        <n v="59454"/>
        <n v="516610"/>
        <n v="1342.5"/>
        <n v="17302.25"/>
        <n v="2821424.46"/>
        <n v="355773.38"/>
        <n v="396099.03"/>
        <n v="2922597.16"/>
        <n v="19632.61"/>
        <n v="188228.35"/>
        <n v="8618749.25"/>
        <n v="393915.65"/>
        <n v="306718.3"/>
        <n v="523274.08"/>
        <n v="652.5"/>
        <n v="63201.86"/>
        <n v="23520.22"/>
        <n v="18609.51"/>
        <n v="3468"/>
        <n v="74438.04"/>
        <n v="231"/>
        <n v="793714.75"/>
        <n v="11456.68"/>
        <n v="-480000"/>
        <n v="12280.63"/>
        <n v="107924.45"/>
        <n v="495708"/>
        <n v="889138.39"/>
        <n v="1615091"/>
        <n v="227007.84"/>
        <n v="41613.82"/>
        <n v="38718"/>
        <n v="301.59"/>
        <n v="115.2"/>
        <n v="-42970"/>
        <n v="1213.62"/>
        <n v="1079660"/>
        <n v="400310.25"/>
        <n v="171750.97"/>
        <n v="447608.82"/>
        <n v="59448.18"/>
        <n v="4595"/>
        <n v="201186.83"/>
        <n v="90856.68"/>
        <n v="166820.21"/>
        <n v="169175"/>
        <n v="9209.26"/>
        <n v="-1193.11"/>
        <n v="10000"/>
        <n v="10493"/>
        <n v="11384.65"/>
        <n v="-27"/>
        <n v="106050"/>
        <n v="982.19"/>
        <n v="12083.09"/>
        <n v="1752.21"/>
        <n v="-982.93"/>
        <n v="5683.1"/>
        <n v="230000"/>
        <n v="-37112.67"/>
        <n v="25338.28"/>
        <n v="37.99"/>
        <n v="-101264.97"/>
        <n v="1113.94"/>
        <n v="324089.93"/>
        <n v="5402.28"/>
        <n v="26716"/>
        <n v="3"/>
        <n v="-70965.98"/>
        <n v="2184893.6"/>
        <n v="84316.4"/>
        <n v="-3"/>
        <n v="21"/>
        <n v="9540"/>
        <n v="21736.88"/>
        <n v="200485"/>
        <n v="615898.79"/>
        <n v="6666.67"/>
        <n v="350000"/>
        <n v="2164096.2"/>
        <n v="387.5"/>
        <n v="74811.4"/>
        <n v="209495"/>
        <n v="63382.8"/>
        <n v="2532.55"/>
        <n v="140642.85"/>
        <n v="182784.26"/>
        <n v="2933463.29"/>
        <n v="347206.4"/>
        <n v="13892.25"/>
        <n v="4636259.74"/>
        <n v="4509377.5"/>
        <n v="524626.91"/>
        <n v="44970.2"/>
        <n v="1344886.82"/>
        <n v="2606824.32"/>
        <n v="221480.02"/>
        <n v="11115"/>
        <n v="-23.97"/>
        <n v="175832.45"/>
        <n v="-24710.87"/>
        <n v="-15974.51"/>
        <n v="-196146.23"/>
        <n v="-1265122.57"/>
        <n v="-423696.31"/>
        <n v="420894.8"/>
        <n v="-343"/>
        <n v="1250000"/>
        <n v="9595"/>
        <n v="751686.87"/>
        <n v="187921.72"/>
        <n v="23495"/>
        <n v="-413020.71"/>
        <n v="206491.68"/>
        <n v="272125.91"/>
        <n v="106885.8"/>
        <n v="945"/>
        <n v="141483.5"/>
        <n v="112"/>
        <n v="732"/>
        <n v="1413"/>
        <n v="1008525.88"/>
        <n v="7136.3"/>
        <n v="613263.71"/>
        <n v="455681.03"/>
        <n v="312046.99"/>
        <n v="1994454.52"/>
        <n v="-248389.45"/>
        <n v="747384"/>
        <n v="62355.57"/>
        <n v="-257147.52"/>
        <n v="348797.16"/>
        <n v="1811.64"/>
        <n v="-56655"/>
        <n v="54"/>
        <n v="355.86"/>
        <n v="994565"/>
        <n v="393847.04"/>
        <n v="196723.2"/>
        <n v="-407136.65"/>
        <n v="671993.1"/>
        <n v="3556.65"/>
        <n v="20000"/>
        <n v="-9209.26"/>
        <n v="16515.03"/>
        <n v="7515.61"/>
        <n v="1604.77"/>
        <n v="13052"/>
        <n v="-1050919.13"/>
        <n v="1050684.8"/>
        <n v="-93.04"/>
        <n v="-13878.46"/>
        <n v="-27.31"/>
        <n v="-2339579.36"/>
        <n v="1724.1"/>
        <n v="445309.37"/>
        <n v="77815.59"/>
        <n v="-1.94"/>
        <n v="92577.97"/>
        <n v="32777.1"/>
        <n v="29475.33"/>
        <n v="489654.86"/>
        <n v="-150365.63"/>
        <n v="390.56"/>
        <n v="-7.06"/>
        <n v="5922"/>
        <n v="10393.52"/>
        <n v="2269.27"/>
        <n v="-100617.23"/>
        <n v="900823.78"/>
        <n v="4571.47"/>
        <n v="4.8"/>
        <n v="38620"/>
        <n v="284.25"/>
        <n v="9000"/>
        <n v="1005997.44"/>
        <n v="281285"/>
        <n v="1296.25"/>
        <n v="84483.5"/>
        <n v="20058.5"/>
        <n v="83084.76"/>
        <n v="295751.71"/>
        <n v="1878417"/>
        <n v="1894438.01"/>
        <n v="127683.5"/>
        <n v="182491.1"/>
        <n v="3903114.5"/>
        <n v="360468"/>
        <n v="3600509.2"/>
        <n v="14483.35"/>
        <n v="3736784.39"/>
        <n v="160493.39"/>
        <n v="-424464.14"/>
        <n v="466560.65"/>
        <n v="1167080.39"/>
        <n v="1144870.22"/>
        <n v="36133.67"/>
        <n v="1990883.5"/>
        <n v="562676.69"/>
        <n v="345.15"/>
        <n v="234338.33"/>
        <n v="-95423.5"/>
        <n v="305718.74"/>
        <n v="22719.98"/>
        <n v="1992279.32"/>
        <n v="-96642.63"/>
        <n v="4022.55"/>
        <n v="-32913.02"/>
        <n v="113085"/>
        <n v="172611.87"/>
        <n v="858804.34"/>
        <n v="-255487.19"/>
        <n v="-50865.74"/>
        <n v="33781.2"/>
        <n v="13738"/>
        <n v="302.38"/>
        <n v="8930"/>
        <n v="396"/>
        <n v="144998.46"/>
        <n v="301043.37"/>
        <n v="75260.84"/>
        <n v="575726.65"/>
        <n v="6681.52"/>
        <n v="981"/>
        <n v="33716.92"/>
        <n v="216000.4"/>
        <n v="186050.28"/>
        <n v="199836.26"/>
        <n v="122293.74"/>
        <n v="1282.68"/>
        <n v="222292.81"/>
        <n v="34000"/>
        <n v="41898.36"/>
        <n v="22000"/>
        <n v="24000"/>
        <n v="11.9"/>
        <n v="27353.8"/>
        <n v="-10000"/>
        <n v="11227.3"/>
        <n v="-4270"/>
        <n v="9506.8"/>
        <n v="4122.63"/>
        <n v="11818.9"/>
        <n v="9965.51"/>
        <n v="-270.81"/>
        <n v="-423.84"/>
        <n v="861366.6"/>
        <n v="54389.2"/>
        <n v="-16295.65"/>
        <n v="6939.08"/>
        <n v="3316.24"/>
        <n v="453542.5"/>
        <n v="-8501.5"/>
        <n v="13333.33"/>
        <n v="315000"/>
        <n v="847653.41"/>
        <n v="493.4"/>
        <n v="47463"/>
        <n v="56820.06"/>
        <n v="16645"/>
        <n v="68883.5"/>
        <n v="17500.52"/>
        <n v="18494"/>
        <n v="82484.58"/>
        <n v="1557.5"/>
        <n v="214985"/>
        <n v="417663"/>
        <n v="147300.8"/>
        <n v="1535574.48"/>
        <n v="2849039.1"/>
        <n v="3800386.4"/>
        <n v="378"/>
        <n v="2342.41"/>
        <n v="660657.35"/>
        <n v="39021"/>
        <n v="15875"/>
        <n v="-18031.85"/>
        <n v="65.27"/>
        <n v="14179.58"/>
        <n v="102624.57"/>
        <n v="-228002.05"/>
        <n v="-215610.1"/>
        <n v="5741.39"/>
        <n v="13896.92"/>
        <n v="3089123.75"/>
        <n v="9426.6"/>
        <n v="5133.12"/>
        <n v="13034.25"/>
        <n v="5000"/>
        <n v="8705.6"/>
        <n v="-243213"/>
        <n v="44712"/>
        <n v="373327.58"/>
        <n v="500623.2"/>
        <n v="13448"/>
        <n v="6937.75"/>
        <n v="23058"/>
        <n v="121063.8"/>
        <n v="1998"/>
        <n v="1347136.86"/>
        <n v="1005025"/>
        <n v="2328231.58"/>
        <n v="3320.7"/>
        <n v="392720.93"/>
        <n v="39431.9"/>
        <n v="340545"/>
        <n v="50215.14"/>
        <n v="3890523.6"/>
        <n v="5260910.25"/>
        <n v="103731.4"/>
        <n v="73538.48"/>
        <n v="19982.42"/>
        <n v="26666.67"/>
        <n v="5314147.79"/>
        <n v="476764.8"/>
        <n v="748985.46"/>
        <n v="1150626.39"/>
        <n v="346819"/>
        <n v="374724.83"/>
        <n v="145397.25"/>
        <n v="79889"/>
        <n v="27863.6"/>
        <n v="1271.46"/>
        <n v="7540"/>
        <n v="13110"/>
        <n v="229499.25"/>
        <n v="-84"/>
        <n v="1222447.68"/>
        <n v="917997"/>
        <n v="1080000"/>
        <n v="-33663.16"/>
        <n v="30516.28"/>
        <n v="2900000"/>
        <n v="88977.38"/>
        <n v="2211.41"/>
        <n v="724.5"/>
        <n v="84"/>
        <n v="429254.59"/>
        <n v="103018.4"/>
        <n v="328742.4"/>
        <n v="372"/>
        <n v="70684.24"/>
        <n v="439322.55"/>
        <n v="7018.88"/>
        <n v="107153.2"/>
        <n v="135454.9"/>
        <n v="-163863.92"/>
        <n v="440283.32"/>
        <n v="1112866.75"/>
        <n v="717383.4"/>
        <n v="2230478.13"/>
        <n v="-2322379.11"/>
        <n v="192969"/>
        <n v="400.5"/>
        <n v="322612.58"/>
        <n v="-58445"/>
        <n v="1546235"/>
        <n v="-10131.92"/>
        <n v="111284.62"/>
        <n v="112750"/>
        <n v="-162"/>
        <n v="523029"/>
        <n v="66000"/>
        <n v="250140"/>
        <n v="49984"/>
        <n v="12000"/>
        <n v="204000"/>
        <n v="36106.22"/>
        <n v="14732.62"/>
        <n v="-1492616.84"/>
        <n v="893.8"/>
        <n v="23395.1"/>
        <n v="260094.13"/>
        <n v="-39460.14"/>
        <n v="-69525.1"/>
        <n v="249000"/>
        <n v="-5625.19"/>
        <n v="-31.8"/>
        <n v="-162946.4"/>
        <n v="189750"/>
        <n v="37843.96"/>
        <n v="10383.62"/>
        <n v="-1"/>
        <n v="50000"/>
        <n v="3831.48"/>
        <n v="424.26"/>
        <n v="-109885"/>
        <n v="1957265"/>
        <n v="518.05"/>
        <n v="500085.07"/>
        <n v="1259.02"/>
        <n v="324500"/>
        <n v="1700188.54"/>
        <n v="88417.13"/>
        <n v="11341.31"/>
        <n v="90000"/>
        <n v="7801.76"/>
        <n v="858323.73"/>
        <n v="127.3"/>
        <n v="-1156964.8"/>
        <n v="-44503.34"/>
        <n v="506018.7"/>
        <n v="-161900.28"/>
        <n v="3546.4"/>
        <n v="-673981.46"/>
        <n v="-954291.68"/>
        <n v="29474"/>
        <n v="17946"/>
        <n v="2010"/>
        <n v="192093.15"/>
        <n v="-273535.2"/>
        <n v="1712"/>
        <n v="6418.47"/>
        <n v="2893176"/>
        <n v="-124.8"/>
        <n v="12011893.09"/>
        <n v="404556.11"/>
        <n v="2347.5"/>
        <n v="45"/>
        <n v="225972.02"/>
        <n v="94881.1"/>
        <n v="84435.88"/>
        <n v="1352551.93"/>
        <n v="2019776"/>
        <n v="1662747.83"/>
        <n v="10624.88"/>
        <n v="606.6"/>
        <n v="320100"/>
        <n v="4910.82"/>
        <n v="10129818.95"/>
        <n v="511119.6"/>
        <n v="6612860.5"/>
        <n v="113852.8"/>
        <n v="6553206.4"/>
        <n v="7079.69"/>
        <n v="578449.42"/>
        <n v="1387589.82"/>
        <n v="-451680.07"/>
        <n v="1453776.26"/>
        <n v="-1323270"/>
        <n v="124355.44"/>
        <n v="34857.8"/>
        <n v="7177.81"/>
        <n v="16150"/>
        <n v="-588"/>
        <n v="139825.5"/>
        <n v="340525.89"/>
        <n v="85131.47"/>
        <n v="-376181.56"/>
        <n v="192091.68"/>
        <n v="425549.46"/>
        <n v="25.8"/>
        <n v="588"/>
        <n v="17752.28"/>
        <n v="133600"/>
        <n v="552"/>
        <n v="180227.23"/>
        <n v="1241570.18"/>
        <n v="30725.03"/>
        <n v="858109"/>
        <n v="209689.31"/>
        <n v="303656.13"/>
        <n v="101941.28"/>
        <n v="803872.57"/>
        <n v="212276.84"/>
        <n v="22918.92"/>
        <n v="1097244"/>
        <n v="88163.29"/>
        <n v="354661.24"/>
        <n v="169962"/>
        <n v="74850.64"/>
        <n v="1100"/>
        <n v="14519.62"/>
        <n v="6745"/>
        <n v="29813.33"/>
        <n v="98347.69"/>
        <n v="142545.54"/>
        <n v="393390.75"/>
        <n v="1116"/>
        <n v="60.07"/>
        <n v="306"/>
        <n v="60000"/>
        <n v="-4996.95"/>
        <n v="35476.82"/>
        <n v="4996.95"/>
        <n v="2441008.31"/>
        <n v="289973.6"/>
        <n v="208840.08"/>
        <n v="646895.74"/>
        <n v="7963.46"/>
        <n v="338147.98"/>
        <n v="-98949.17"/>
        <n v="412246"/>
        <n v="5822.63"/>
        <n v="-744277.58"/>
        <n v="709724.18"/>
        <n v="89526.24"/>
        <n v="1616153"/>
        <n v="633006.88"/>
        <n v="396641.28"/>
        <n v="725134.39"/>
        <n v="332.91"/>
        <n v="516833.89"/>
        <n v="-77823"/>
        <n v="95644.04"/>
        <n v="1482.3"/>
        <n v="162880.2"/>
        <n v="-3677.74"/>
        <n v="-111885.47"/>
        <n v="163881"/>
        <n v="-373327.58"/>
        <n v="-13034.25"/>
        <n v="187501.11"/>
        <n v="-3994.42"/>
        <n v="3308.4"/>
        <n v="-87980.11"/>
        <n v="-115204.91"/>
        <n v="10768.46"/>
        <n v="17777.02"/>
        <n v="1522.64"/>
        <n v="8045.38"/>
        <n v="828.28"/>
        <n v="13944.99"/>
        <n v="158.39"/>
        <n v="13714.95"/>
        <n v="253.2"/>
        <n v="1300.64"/>
        <n v="-659738.2"/>
        <n v="-173305.87"/>
        <n v="880446.63"/>
        <n v="77.84"/>
        <n v="-3.38"/>
        <n v="0.72"/>
        <n v="560428.5"/>
        <n v="15483.41"/>
        <n v="-224793.08"/>
        <n v="-940.42"/>
        <n v="-417604.45"/>
        <n v="9182"/>
        <n v="-1531.66"/>
        <n v="750343"/>
        <n v="-19.12"/>
        <n v="178930.27"/>
        <n v="159.77"/>
        <n v="329000"/>
        <n v="137150.6"/>
        <n v="172667.9"/>
        <n v="2637.36"/>
        <n v="3950381.4"/>
        <n v="8160"/>
        <n v="424700"/>
        <n v="256.5"/>
        <n v="487"/>
        <n v="26875.2"/>
        <n v="1566210"/>
        <n v="99352.8"/>
        <n v="2534241.47"/>
        <n v="5857.44"/>
        <n v="88441.26"/>
        <n v="2120239.24"/>
        <n v="174399.3"/>
        <n v="10076349"/>
        <n v="38134.62"/>
        <n v="187706.49"/>
        <n v="37726.4"/>
        <n v="1074598.6"/>
        <n v="-727943.39"/>
        <n v="1672563.96"/>
        <n v="254447.72"/>
        <n v="216977.83"/>
        <n v="40481.2"/>
        <n v="181709.18"/>
        <n v="4162.5"/>
        <n v="-1268.61"/>
        <n v="767.28"/>
        <n v="41665.43"/>
        <n v="8169.42"/>
        <n v="240928"/>
        <n v="195051.95"/>
        <n v="140042.08"/>
        <n v="18471.12"/>
        <n v="2379781.79"/>
        <n v="9732.8"/>
        <n v="1371491.34"/>
        <n v="2598000"/>
        <n v="-7189.35"/>
        <n v="348800"/>
        <n v="337.5"/>
        <n v="3230"/>
        <n v="46004.4"/>
        <n v="2221392.78"/>
        <n v="731610.36"/>
        <n v="6039.87"/>
        <n v="564448.57"/>
        <n v="7189.35"/>
        <n v="371486.2"/>
        <n v="552244.89"/>
        <n v="620595.35"/>
        <n v="6265.34"/>
        <n v="38720.24"/>
        <n v="718517.33"/>
        <n v="65177.47"/>
        <n v="847.2"/>
        <n v="1420863.5"/>
        <n v="297.81"/>
        <n v="162"/>
        <n v="-74210.6"/>
        <n v="906352"/>
        <n v="222"/>
        <n v="355680"/>
        <n v="219950"/>
        <n v="32350.84"/>
        <n v="130251.49"/>
        <n v="292750.5"/>
        <n v="856.78"/>
        <n v="-53.75"/>
        <n v="-15.39"/>
        <n v="54.3"/>
        <n v="-1527.77"/>
        <n v="51239.1"/>
        <n v="28310.4"/>
        <n v="33834.64"/>
        <n v="31830.45"/>
        <n v="11001.05"/>
        <n v="154197"/>
        <n v="-0.71"/>
        <n v="-4910.82"/>
        <n v="60355.46"/>
        <n v="547.27"/>
        <n v="272071.2"/>
        <n v="85"/>
        <n v="5150.64"/>
        <n v="5530.8"/>
        <n v="81295.68"/>
        <n v="185480.7"/>
        <n v="88715.16"/>
        <n v="8728.88"/>
        <n v="130657.48"/>
        <n v="2578187.6"/>
        <n v="498040"/>
        <n v="1675083.43"/>
        <n v="1249120"/>
        <n v="6296229"/>
        <n v="107128"/>
        <n v="3715.97"/>
        <n v="4914166.2"/>
        <n v="700000"/>
        <n v="-84668.88"/>
        <n v="90508.26"/>
        <n v="3526.19"/>
        <n v="-195695.9"/>
        <n v="491455.63"/>
        <n v="-832233.01"/>
        <n v="900"/>
        <n v="1335410.82"/>
        <n v="263424.25"/>
        <n v="1053696.99"/>
        <n v="-477254.44"/>
        <n v="32589.27"/>
        <n v="-264800"/>
        <n v="508583.58"/>
        <n v="9525"/>
        <n v="47610.2"/>
        <n v="-51239.1"/>
        <n v="-15466.29"/>
        <n v="16182"/>
        <n v="94779.68"/>
        <n v="-16231.93"/>
        <n v="3103.4"/>
        <n v="10648.77"/>
        <n v="99979"/>
        <n v="50440.87"/>
        <n v="5697.62"/>
        <n v="28289.33"/>
        <n v="318.27"/>
        <n v="85042.05"/>
        <n v="-130657.48"/>
        <n v="59700"/>
        <n v="-310903.37"/>
        <n v="102739.17"/>
        <n v="466.98"/>
        <n v="-136146"/>
        <n v="255.69"/>
        <n v="-30121.5"/>
        <n v="600071.5"/>
        <n v="4815"/>
        <n v="2470"/>
        <n v="-889767"/>
        <n v="45000"/>
        <n v="-6942.84"/>
        <n v="65026.22"/>
        <n v="998000"/>
        <n v="256029.96"/>
        <n v="116120.9"/>
        <n v="464483.61"/>
        <n v="252"/>
        <n v="975332.88"/>
        <n v="139472"/>
        <n v="35679.84"/>
        <n v="310.5"/>
        <n v="2393724.34"/>
        <n v="4000"/>
        <n v="20100.37"/>
        <n v="360023.4"/>
        <n v="990516.46"/>
        <n v="4272.6"/>
        <n v="339767.82"/>
        <n v="38808.28"/>
        <n v="929318.89"/>
        <n v="669376.55"/>
        <n v="-357.1"/>
        <n v="1645.84"/>
        <n v="2670"/>
        <n v="105108"/>
        <n v="2572304.7"/>
        <n v="511299.37"/>
        <n v="141122.73"/>
        <n v="302671.1"/>
        <n v="-191375.71"/>
        <n v="-25.81"/>
        <n v="-64.6"/>
        <n v="78136.66"/>
        <n v="-238.06"/>
        <n v="-2220.26"/>
        <n v="50719.21"/>
        <n v="18393"/>
        <n v="48262.99"/>
        <n v="-170.7"/>
        <n v="85367"/>
        <n v="15504.37"/>
        <n v="63713.8"/>
        <n v="43510"/>
        <n v="44407.65"/>
        <n v="1463.67"/>
        <n v="24748"/>
        <n v="84891.25"/>
        <n v="163388.25"/>
        <n v="-107.27"/>
        <n v="36614"/>
        <n v="-3268.95"/>
        <n v="-99.17"/>
        <n v="428"/>
        <n v="98.64"/>
        <n v="230.1"/>
        <n v="1926.84"/>
        <n v="686.79"/>
        <n v="144904"/>
        <n v="-68630.36"/>
        <n v="18995"/>
        <n v="-736732.1"/>
        <n v="2955.61"/>
        <n v="150555.9"/>
        <n v="736000"/>
        <n v="35990.9"/>
        <n v="1706.43"/>
        <n v="531616.4"/>
        <n v="233680"/>
        <n v="4169.28"/>
        <n v="107.27"/>
        <n v="53556.86"/>
        <n v="10259.79"/>
        <n v="2465778"/>
        <n v="4453121"/>
        <n v="129717.8"/>
        <n v="1814534.83"/>
        <n v="2729.76"/>
        <n v="87173.72"/>
        <n v="2830399.65"/>
        <n v="282984"/>
        <n v="1784986"/>
        <n v="42225"/>
        <n v="-143.25"/>
        <n v="-1413573.73"/>
        <n v="552216.25"/>
        <n v="369.8"/>
        <n v="-16833.12"/>
        <n v="78173.8"/>
        <n v="49835.82"/>
        <n v="-13994.4"/>
        <n v="1563.53"/>
        <n v="2852799.5"/>
        <n v="177126.75"/>
        <n v="-20255.85"/>
        <n v="35131"/>
        <n v="280000"/>
        <n v="11654"/>
        <n v="169600"/>
        <n v="23280"/>
        <n v="1147718.14"/>
        <n v="23042.22"/>
        <n v="158893.14"/>
        <n v="164007.5"/>
        <n v="1038.78"/>
        <n v="20827.92"/>
        <n v="13994.4"/>
        <n v="2785919.06"/>
        <n v="20255.85"/>
        <n v="9852"/>
        <n v="242835.8"/>
        <n v="1603490.4"/>
        <n v="91311.8"/>
        <n v="85470.61"/>
        <n v="2405.64"/>
        <n v="3983992.75"/>
        <n v="2310105.4"/>
        <n v="-135448.97"/>
        <n v="31.85"/>
        <n v="2688621.44"/>
        <n v="-1220618.4"/>
        <n v="1242303.25"/>
        <n v="1184750.64"/>
        <n v="149813.09"/>
        <n v="36085.2"/>
        <n v="-471567.88"/>
        <n v="2375"/>
        <n v="64500"/>
        <n v="3158377.71"/>
        <n v="226563.72"/>
        <n v="-2555347.13"/>
        <n v="344422.23"/>
        <n v="86105.56"/>
        <n v="6632.5"/>
        <n v="492263.26"/>
        <n v="11246.8"/>
        <n v="6270"/>
        <n v="39000"/>
        <n v="1127765.31"/>
        <n v="108493.6"/>
        <n v="3174119.95"/>
        <n v="377260.41"/>
        <n v="9"/>
        <n v="17062.29"/>
        <n v="842871.42"/>
        <n v="20856.36"/>
        <n v="580831"/>
        <n v="431.55"/>
        <n v="541514.69"/>
        <n v="347868.34"/>
        <n v="-23331"/>
        <n v="248.16"/>
        <n v="84017.31"/>
        <n v="-9877.35"/>
        <n v="-108351"/>
        <n v="-55743.73"/>
        <n v="-95"/>
        <n v="291.25"/>
        <n v="-3104.8"/>
        <n v="505871.92"/>
        <n v="-215.32"/>
        <n v="-19770.17"/>
        <n v="1848.64"/>
        <n v="1486.08"/>
        <n v="4270.7"/>
        <n v="254.68"/>
        <n v="31822.05"/>
        <n v="71900"/>
        <n v="85880"/>
        <n v="327600"/>
        <n v="265.99"/>
        <n v="200744.01"/>
        <n v="7150.08"/>
        <n v="55150"/>
        <n v="64536.49"/>
        <n v="-148.94"/>
        <n v="-120.48"/>
        <n v="10953"/>
        <n v="1065351.47"/>
        <n v="5.88"/>
        <n v="6495689.99"/>
        <n v="62523"/>
        <n v="126615.63"/>
        <n v="2800000"/>
        <n v="24126"/>
        <n v="138000"/>
        <n v="1615"/>
        <n v="1401298.86"/>
        <n v="3261520.32"/>
        <n v="1559456.98"/>
        <n v="27"/>
        <n v="750"/>
        <n v="931.5"/>
        <n v="852348.34"/>
        <n v="2702921.45"/>
        <n v="438978.4"/>
        <n v="20199.94"/>
        <n v="319820.4"/>
        <n v="458591.56"/>
        <n v="88576.56"/>
        <n v="12706.08"/>
        <n v="1209.6"/>
        <n v="822894.58"/>
        <n v="989171.24"/>
        <n v="-18620.5"/>
        <n v="11556"/>
        <n v="426.69"/>
        <n v="387190.5"/>
        <n v="-595869.31"/>
        <n v="622.68"/>
        <n v="2669.47"/>
        <n v="-250.15"/>
        <n v="-4"/>
        <n v="-1014.66"/>
        <n v="-841558.66"/>
        <n v="-76.87"/>
        <n v="499662"/>
        <n v="-3.67"/>
        <n v="-71.5"/>
        <n v="93597.85"/>
        <n v="446.87"/>
        <n v="1098.09"/>
        <n v="2701.72"/>
        <n v="153.94"/>
        <n v="-2250.01"/>
        <n v="1509.6"/>
        <n v="50389"/>
        <n v="9728.1"/>
        <n v="-15.14"/>
        <n v="2964223"/>
        <n v="-1848.64"/>
        <n v="15.14"/>
        <n v="896541.64"/>
        <n v="30746.8"/>
        <n v="10"/>
        <n v="1119641.1"/>
        <n v="105000"/>
        <n v="94542.48"/>
        <n v="68040"/>
        <n v="4669863.46"/>
        <n v="200177.7"/>
        <n v="12340.2"/>
        <n v="270648.23"/>
        <n v="33500"/>
        <n v="4516.35"/>
        <n v="2164165.41"/>
        <n v="251.96"/>
        <n v="99755.12"/>
        <n v="7884848.5"/>
        <n v="140677"/>
        <n v="3522518"/>
        <n v="4757.8"/>
        <n v="2103952.94"/>
        <n v="232969.1"/>
        <n v="931876.38"/>
        <n v="100667.6"/>
        <n v="1177.62"/>
        <n v="-92482.27"/>
        <n v="476.88"/>
        <n v="1564.38"/>
        <n v="9797"/>
        <n v="20832"/>
        <n v="-1095819.08"/>
        <n v="162.7"/>
        <n v="-62059.92"/>
        <n v="71176.74"/>
        <n v="1376416.8"/>
        <n v="-657256.06"/>
        <n v="165285"/>
        <n v="42581.48"/>
        <n v="49995"/>
        <n v="105680"/>
        <n v="17943.5"/>
        <n v="2997098.43"/>
        <n v="-1528638.63"/>
        <n v="36"/>
        <n v="-3642082.64"/>
        <n v="128"/>
        <n v="16330"/>
        <n v="3290.02"/>
        <n v="26108"/>
        <n v="835481.15"/>
        <n v="74045.86"/>
        <n v="206918.14"/>
        <n v="-251.96"/>
        <n v="42343.04"/>
        <n v="2750"/>
        <n v="18870"/>
        <n v="239212.2"/>
        <n v="98817.84"/>
        <n v="1044037"/>
        <n v="555308.86"/>
        <n v="436614.55"/>
        <n v="4054.5"/>
        <n v="746588.66"/>
        <n v="214970"/>
        <n v="260985.89"/>
        <n v="323.19"/>
        <n v="336334"/>
        <n v="179099.9"/>
        <n v="950.4"/>
        <n v="488704.32"/>
        <n v="90015"/>
        <n v="186676.81"/>
        <n v="33324.9"/>
        <n v="500000"/>
        <n v="23697.98"/>
        <n v="-55150"/>
        <n v="-327600"/>
        <n v="-85880"/>
        <n v="742.38"/>
        <n v="-219950"/>
        <n v="93603.72"/>
        <n v="-71900"/>
        <n v="-105680"/>
        <n v="18000"/>
        <n v="100074.23"/>
        <n v="-93597.85"/>
        <n v="-93.64"/>
        <n v="-157265.21"/>
        <n v="-653.5"/>
        <n v="-85.81"/>
        <n v="177511.5"/>
        <n v="-26.96"/>
        <n v="-486.76"/>
        <n v="9870.45"/>
        <n v="27846.64"/>
        <n v="84780"/>
        <n v="600"/>
        <n v="309259.94"/>
        <n v="7499.7"/>
        <n v="1472"/>
        <n v="93890"/>
        <n v="45.6"/>
        <n v="73665.64"/>
        <n v="1574.16"/>
        <n v="37368"/>
        <n v="416814"/>
        <n v="36850.91"/>
        <n v="379673.7"/>
        <n v="877840.1"/>
        <n v="2137909.87"/>
        <n v="3373317.96"/>
        <n v="298525.8"/>
        <n v="3437339"/>
        <n v="176977.6"/>
        <n v="4923885.4"/>
        <n v="2550.47"/>
        <n v="466.54"/>
        <n v="925"/>
        <n v="145525.13"/>
        <n v="22500"/>
        <n v="639808.18"/>
        <n v="51477.99"/>
        <n v="1206184.05"/>
        <n v="5987590"/>
        <n v="-704582.93"/>
        <n v="424935.43"/>
        <n v="317340"/>
        <n v="-533790.86"/>
        <n v="175740.54"/>
        <n v="426920.25"/>
        <n v="4.82"/>
        <n v="361060"/>
        <n v="-2005739.94"/>
        <n v="1479244.78"/>
        <n v="11618.99"/>
        <n v="76940.69"/>
        <n v="146465.41"/>
        <n v="330646.88"/>
        <n v="79801.63"/>
        <n v="65738.71"/>
        <n v="92931.4"/>
        <n v="1975"/>
        <n v="5.87"/>
        <n v="-588.8"/>
        <n v="-267906.52"/>
        <n v="104535.39"/>
        <n v="-1372861.83"/>
        <n v="31097.1"/>
        <n v="34800"/>
        <n v="-1209422.4"/>
        <n v="-37368"/>
        <n v="114642.56"/>
        <n v="4921949.25"/>
        <n v="616507.09"/>
        <n v="120680.49"/>
        <n v="137094"/>
        <n v="2259424.28"/>
        <n v="-200"/>
        <n v="27688.62"/>
        <n v="-52793.7"/>
        <n v="-70.5"/>
        <n v="-74438.84"/>
        <n v="1000000"/>
        <n v="2.94"/>
        <n v="199973.22"/>
        <n v="97323.68"/>
        <n v="389294.7"/>
        <n v="660"/>
        <n v="-1103862.09"/>
        <n v="1820000"/>
        <n v="186000"/>
        <n v="-20015.82"/>
        <n v="-14504"/>
        <n v="240.6"/>
        <n v="889.53"/>
        <n v="2328.87"/>
        <n v="142.09"/>
        <n v="13444.84"/>
        <n v="507.54"/>
        <n v="4941.43"/>
        <n v="107.58"/>
        <n v="5466.4"/>
        <n v="1317.53"/>
        <n v="1424.64"/>
        <n v="-33220.2"/>
        <n v="-248.4"/>
        <n v="-33112.7"/>
        <n v="4998055.83"/>
        <n v="3165"/>
        <n v="0.5"/>
        <n v="555633.43"/>
        <n v="-1049.58"/>
        <n v="1704690.48"/>
      </sharedItems>
    </cacheField>
    <cacheField name="no_taxrate_money" numFmtId="176">
      <sharedItems containsSemiMixedTypes="0" containsString="0" containsNumber="1" minValue="-3435927.02" maxValue="11331974.6" count="1189">
        <n v="1014953.43"/>
        <n v="414019.93"/>
        <n v="90743.62"/>
        <n v="483604.58"/>
        <n v="1934418.49"/>
        <n v="-434684.75"/>
        <n v="855067.73"/>
        <n v="180380.53"/>
        <n v="44726.77"/>
        <n v="2674.53"/>
        <n v="5210606.62"/>
        <n v="234175.44"/>
        <n v="4233962.26"/>
        <n v="1353.53"/>
        <n v="-277806.48"/>
        <n v="6097.77"/>
        <n v="21968.15"/>
        <n v="11919.81"/>
        <n v="11615.1"/>
        <n v="-72210.18"/>
        <n v="802689.99"/>
        <n v="34124.2"/>
        <n v="982039.31"/>
        <n v="536721.64"/>
        <n v="-86339.87"/>
        <n v="12594.34"/>
        <n v="813503.68"/>
        <n v="246.27"/>
        <n v="2327.22"/>
        <n v="11378.49"/>
        <n v="519311.3"/>
        <n v="582801.89"/>
        <n v="1101278.26"/>
        <n v="-568408.64"/>
        <n v="3524.48"/>
        <n v="11.32"/>
        <n v="-626130"/>
        <n v="678215.1"/>
        <n v="545618.98"/>
        <n v="66516.05"/>
        <n v="48773.01"/>
        <n v="132764.73"/>
        <n v="85803.78"/>
        <n v="357311.32"/>
        <n v="6194.34"/>
        <n v="-76.44"/>
        <n v="15770"/>
        <n v="-280906.13"/>
        <n v="4373670.28"/>
        <n v="46226.42"/>
        <n v="53036.39"/>
        <n v="181381.23"/>
        <n v="84345.57"/>
        <n v="274060.94"/>
        <n v="452830.19"/>
        <n v="67274.53"/>
        <n v="1777658.87"/>
        <n v="-154497.92"/>
        <n v="7526.23"/>
        <n v="-32.12"/>
        <n v="-43489.68"/>
        <n v="-977.03"/>
        <n v="-123456.08"/>
        <n v="-206500.78"/>
        <n v="81335.09"/>
        <n v="1485951.7"/>
        <n v="1391880"/>
        <n v="13187.56"/>
        <n v="138981.7"/>
        <n v="19105.18"/>
        <n v="72950.94"/>
        <n v="15723.27"/>
        <n v="56088.68"/>
        <n v="487367.93"/>
        <n v="1266.51"/>
        <n v="16322.87"/>
        <n v="2661721.21"/>
        <n v="335635.28"/>
        <n v="373678.31"/>
        <n v="2757167.1"/>
        <n v="18521.34"/>
        <n v="177573.93"/>
        <n v="8130895.52"/>
        <n v="371618.54"/>
        <n v="289356.88"/>
        <n v="493654.79"/>
        <n v="615.56"/>
        <n v="59624.4"/>
        <n v="22188.88"/>
        <n v="17556.14"/>
        <n v="3271.66"/>
        <n v="70224.56"/>
        <n v="217.91"/>
        <n v="748787.45"/>
        <n v="10808.2"/>
        <n v="-452830.19"/>
        <n v="11585.51"/>
        <n v="101815.55"/>
        <n v="467649.05"/>
        <n v="838809.78"/>
        <n v="1523670.76"/>
        <n v="214158.34"/>
        <n v="39258.32"/>
        <n v="36526.42"/>
        <n v="284.52"/>
        <n v="108.68"/>
        <n v="-40537.74"/>
        <n v="1144.9"/>
        <n v="1018547.18"/>
        <n v="377651.18"/>
        <n v="162029.25"/>
        <n v="422272.41"/>
        <n v="56083.2"/>
        <n v="4334.91"/>
        <n v="189798.91"/>
        <n v="85713.85"/>
        <n v="157377.56"/>
        <n v="159599.06"/>
        <n v="8687.98"/>
        <n v="-1125.58"/>
        <n v="9433.96"/>
        <n v="9899.06"/>
        <n v="10740.24"/>
        <n v="-25.47"/>
        <n v="100047.17"/>
        <n v="926.59"/>
        <n v="11399.14"/>
        <n v="1653.03"/>
        <n v="-927.29"/>
        <n v="5361.42"/>
        <n v="216981.13"/>
        <n v="-35011.95"/>
        <n v="23904.04"/>
        <n v="35.84"/>
        <n v="-95532.99"/>
        <n v="1050.89"/>
        <n v="305745.22"/>
        <n v="5096.49"/>
        <n v="25203.77"/>
        <n v="2.84"/>
        <n v="-66949.04"/>
        <n v="2061220.38"/>
        <n v="79543.77"/>
        <n v="-2.83"/>
        <n v="19.81"/>
        <n v="9000.02"/>
        <n v="20506.49"/>
        <n v="189136.79"/>
        <n v="581036.6"/>
        <n v="6289.31"/>
        <n v="330188.68"/>
        <n v="2041600.18"/>
        <n v="365.56"/>
        <n v="70576.78"/>
        <n v="197636.83"/>
        <n v="59795.1"/>
        <n v="2389.21"/>
        <n v="132681.93"/>
        <n v="172437.99"/>
        <n v="2767418.17"/>
        <n v="327553.22"/>
        <n v="13105.9"/>
        <n v="4373829.93"/>
        <n v="4254129.72"/>
        <n v="494931.05"/>
        <n v="42424.72"/>
        <n v="1268761.15"/>
        <n v="2459268.23"/>
        <n v="208943.44"/>
        <n v="10485.85"/>
        <n v="-22.61"/>
        <n v="165879.67"/>
        <n v="-23312.14"/>
        <n v="-15070.29"/>
        <n v="-185043.61"/>
        <n v="-1193511.86"/>
        <n v="-399713.5"/>
        <n v="397070.57"/>
        <n v="-323.58"/>
        <n v="1179245.28"/>
        <n v="9051.89"/>
        <n v="709138.56"/>
        <n v="177284.64"/>
        <n v="22165.09"/>
        <n v="-389642.18"/>
        <n v="194803.47"/>
        <n v="256722.57"/>
        <n v="100835.65"/>
        <n v="891.51"/>
        <n v="133474.99"/>
        <n v="105.65"/>
        <n v="690.52"/>
        <n v="1333.02"/>
        <n v="951439.53"/>
        <n v="6732.35"/>
        <n v="578550.66"/>
        <n v="429887.8"/>
        <n v="294383.98"/>
        <n v="1881560.85"/>
        <n v="-234329.67"/>
        <n v="705079.25"/>
        <n v="58826.01"/>
        <n v="-242592"/>
        <n v="329053.94"/>
        <n v="1709.09"/>
        <n v="-53448.11"/>
        <n v="50.94"/>
        <n v="335.72"/>
        <n v="938268.9"/>
        <n v="371553.81"/>
        <n v="185587.92"/>
        <n v="-384091.18"/>
        <n v="633955.75"/>
        <n v="3355.33"/>
        <n v="18867.92"/>
        <n v="-8687.98"/>
        <n v="15580.22"/>
        <n v="7090.2"/>
        <n v="1513.93"/>
        <n v="12313.21"/>
        <n v="-991433.14"/>
        <n v="991212.08"/>
        <n v="-87.77"/>
        <n v="-13092.89"/>
        <n v="-25.76"/>
        <n v="-2207150.34"/>
        <n v="1626.51"/>
        <n v="420103.18"/>
        <n v="73410.93"/>
        <n v="-1.83"/>
        <n v="87337.71"/>
        <n v="30921.79"/>
        <n v="27806.92"/>
        <n v="461938.55"/>
        <n v="-141854.37"/>
        <n v="368.45"/>
        <n v="-6.66"/>
        <n v="5586.79"/>
        <n v="9805.21"/>
        <n v="2140.82"/>
        <n v="-94921.92"/>
        <n v="849833.75"/>
        <n v="4312.71"/>
        <n v="4.53"/>
        <n v="36433.95"/>
        <n v="268.17"/>
        <n v="8490.57"/>
        <n v="949054.18"/>
        <n v="265363.21"/>
        <n v="1222.88"/>
        <n v="79701.43"/>
        <n v="18923.09"/>
        <n v="78381.87"/>
        <n v="279011.04"/>
        <n v="1772091.5"/>
        <n v="1787205.66"/>
        <n v="120456.13"/>
        <n v="172161.41"/>
        <n v="3682183.52"/>
        <n v="340064.17"/>
        <n v="3396706.78"/>
        <n v="13663.55"/>
        <n v="3525268.28"/>
        <n v="151408.88"/>
        <n v="-400437.87"/>
        <n v="440151.56"/>
        <n v="1101019.24"/>
        <n v="1080066.24"/>
        <n v="34088.3"/>
        <n v="1878191.98"/>
        <n v="530827.06"/>
        <n v="325.61"/>
        <n v="221073.88"/>
        <n v="-90022.17"/>
        <n v="288413.92"/>
        <n v="21433.95"/>
        <n v="1879508.81"/>
        <n v="-91172.29"/>
        <n v="3794.86"/>
        <n v="-31050.02"/>
        <n v="106683.96"/>
        <n v="162841.39"/>
        <n v="810192.79"/>
        <n v="-241025.65"/>
        <n v="-47986.55"/>
        <n v="31868.97"/>
        <n v="12960.38"/>
        <n v="285.26"/>
        <n v="8424.53"/>
        <n v="373.56"/>
        <n v="136791"/>
        <n v="284003.18"/>
        <n v="71000.79"/>
        <n v="543138.35"/>
        <n v="6303.33"/>
        <n v="925.47"/>
        <n v="31808.41"/>
        <n v="203773.95"/>
        <n v="175519.13"/>
        <n v="188524.8"/>
        <n v="115371.43"/>
        <n v="1210.08"/>
        <n v="209710.2"/>
        <n v="32075.47"/>
        <n v="39526.75"/>
        <n v="20754.72"/>
        <n v="22641.51"/>
        <n v="11.23"/>
        <n v="25805.47"/>
        <n v="-9433.96"/>
        <n v="10591.79"/>
        <n v="-4028.3"/>
        <n v="8968.68"/>
        <n v="3889.27"/>
        <n v="11149.91"/>
        <n v="9401.42"/>
        <n v="-255.48"/>
        <n v="-399.85"/>
        <n v="812610"/>
        <n v="51310.57"/>
        <n v="-15373.25"/>
        <n v="6546.3"/>
        <n v="3128.53"/>
        <n v="427870.28"/>
        <n v="-8020.28"/>
        <n v="12578.62"/>
        <n v="297169.82"/>
        <n v="799673.02"/>
        <n v="465.47"/>
        <n v="44776.41"/>
        <n v="53603.83"/>
        <n v="15702.83"/>
        <n v="64984.43"/>
        <n v="16509.9"/>
        <n v="17447.18"/>
        <n v="77815.65"/>
        <n v="1469.34"/>
        <n v="202816.05"/>
        <n v="394021.69"/>
        <n v="138963"/>
        <n v="1448655.18"/>
        <n v="2687772.73"/>
        <n v="3585270.18"/>
        <n v="356.6"/>
        <n v="2209.82"/>
        <n v="623261.65"/>
        <n v="36812.26"/>
        <n v="14976.42"/>
        <n v="-17011.18"/>
        <n v="61.58"/>
        <n v="13376.96"/>
        <n v="96815.63"/>
        <n v="-215096.27"/>
        <n v="-203405.75"/>
        <n v="5416.41"/>
        <n v="13110.3"/>
        <n v="2914267.69"/>
        <n v="8893.02"/>
        <n v="4842.57"/>
        <n v="12296.46"/>
        <n v="4716.98"/>
        <n v="8212.83"/>
        <n v="-229446.23"/>
        <n v="42181.13"/>
        <n v="352195.83"/>
        <n v="472286.04"/>
        <n v="12686.81"/>
        <n v="6545.05"/>
        <n v="21752.82"/>
        <n v="114211.13"/>
        <n v="1884.91"/>
        <n v="297169.81"/>
        <n v="1270883.8"/>
        <n v="948136.8"/>
        <n v="2196444.89"/>
        <n v="3132.73"/>
        <n v="370491.44"/>
        <n v="37199.88"/>
        <n v="321268.89"/>
        <n v="47372.79"/>
        <n v="3670305.29"/>
        <n v="4963122.86"/>
        <n v="97859.83"/>
        <n v="69375.94"/>
        <n v="18851.31"/>
        <n v="25157.23"/>
        <n v="5013346.98"/>
        <n v="449778.1"/>
        <n v="706590.06"/>
        <n v="1085496.59"/>
        <n v="327187.74"/>
        <n v="353513.99"/>
        <n v="137167.23"/>
        <n v="75366.98"/>
        <n v="26286.44"/>
        <n v="1199.49"/>
        <n v="7113.21"/>
        <n v="12367.92"/>
        <n v="216508.73"/>
        <n v="-79.25"/>
        <n v="1153252.53"/>
        <n v="866034.91"/>
        <n v="1018867.92"/>
        <n v="-31757.7"/>
        <n v="28788.94"/>
        <n v="2735849.06"/>
        <n v="83940.94"/>
        <n v="2086.22"/>
        <n v="683.49"/>
        <n v="79.25"/>
        <n v="404957.19"/>
        <n v="97187.15"/>
        <n v="310134.34"/>
        <n v="350.92"/>
        <n v="66683.27"/>
        <n v="414455.22"/>
        <n v="6621.56"/>
        <n v="101087.93"/>
        <n v="127787.63"/>
        <n v="-154588.6"/>
        <n v="415361.62"/>
        <n v="1049874.29"/>
        <n v="676776.79"/>
        <n v="2104224.65"/>
        <n v="-2190923.69"/>
        <n v="182046.23"/>
        <n v="377.8"/>
        <n v="304351.49"/>
        <n v="-55136.79"/>
        <n v="1458712.28"/>
        <n v="-9558.42"/>
        <n v="104985.49"/>
        <n v="106367.92"/>
        <n v="-152.83"/>
        <n v="493423.58"/>
        <n v="62264.15"/>
        <n v="235981.13"/>
        <n v="47154.72"/>
        <n v="11320.75"/>
        <n v="192452.83"/>
        <n v="34062.47"/>
        <n v="13898.7"/>
        <n v="-1408129.09"/>
        <n v="843.21"/>
        <n v="22070.85"/>
        <n v="245371.82"/>
        <n v="-37226.55"/>
        <n v="-65589.72"/>
        <n v="234905.66"/>
        <n v="-5306.78"/>
        <n v="-30"/>
        <n v="-153723.02"/>
        <n v="179009.43"/>
        <n v="35701.85"/>
        <n v="9795.87"/>
        <n v="-0.94"/>
        <n v="47169.81"/>
        <n v="3614.6"/>
        <n v="400.19"/>
        <n v="-103665.09"/>
        <n v="1846476.43"/>
        <n v="488.73"/>
        <n v="471778.37"/>
        <n v="1187.75"/>
        <n v="306132.08"/>
        <n v="1603951.45"/>
        <n v="83412.39"/>
        <n v="10699.35"/>
        <n v="84905.66"/>
        <n v="7360.15"/>
        <n v="809739.37"/>
        <n v="120.09"/>
        <n v="-1091476.23"/>
        <n v="-41984.28"/>
        <n v="477376.13"/>
        <n v="-152736.11"/>
        <n v="3345.66"/>
        <n v="-635831.57"/>
        <n v="-900275.17"/>
        <n v="27805.66"/>
        <n v="16930.19"/>
        <n v="1896.23"/>
        <n v="181219.95"/>
        <n v="-258052.08"/>
        <n v="1615.09"/>
        <n v="6055.16"/>
        <n v="2729411.33"/>
        <n v="-117.74"/>
        <n v="11331974.6"/>
        <n v="381656.7"/>
        <n v="2214.63"/>
        <n v="42.45"/>
        <n v="213181.14"/>
        <n v="89510.46"/>
        <n v="79656.51"/>
        <n v="1275992.42"/>
        <n v="1905449.06"/>
        <n v="1568630.02"/>
        <n v="10023.48"/>
        <n v="572.26"/>
        <n v="301981.13"/>
        <n v="4632.85"/>
        <n v="9556432.97"/>
        <n v="482188.31"/>
        <n v="6238547.64"/>
        <n v="107408.32"/>
        <n v="6182270.22"/>
        <n v="6678.95"/>
        <n v="545707.02"/>
        <n v="1309046.99"/>
        <n v="-426113.27"/>
        <n v="1371487.04"/>
        <n v="-1248367.92"/>
        <n v="117316.42"/>
        <n v="32884.64"/>
        <n v="6771.49"/>
        <n v="15235.85"/>
        <n v="-554.72"/>
        <n v="131910.85"/>
        <n v="321250.84"/>
        <n v="80312.71"/>
        <n v="-354888.26"/>
        <n v="181218.57"/>
        <n v="401461.76"/>
        <n v="24.34"/>
        <n v="554.71"/>
        <n v="16747.45"/>
        <n v="126037.74"/>
        <n v="520.72"/>
        <n v="170025.7"/>
        <n v="1171292.59"/>
        <n v="28985.88"/>
        <n v="809536.79"/>
        <n v="197820.08"/>
        <n v="286468.01"/>
        <n v="96170.99"/>
        <n v="758370.36"/>
        <n v="200261.17"/>
        <n v="21621.62"/>
        <n v="1035135.83"/>
        <n v="83172.92"/>
        <n v="334586.07"/>
        <n v="160341.51"/>
        <n v="70613.81"/>
        <n v="1037.74"/>
        <n v="13697.75"/>
        <n v="6363.21"/>
        <n v="28125.78"/>
        <n v="92780.84"/>
        <n v="134476.92"/>
        <n v="371123.35"/>
        <n v="1052.8"/>
        <n v="56.66"/>
        <n v="288.68"/>
        <n v="56603.76"/>
        <n v="-4714.1"/>
        <n v="33468.7"/>
        <n v="4714.1"/>
        <n v="2302838.03"/>
        <n v="273560.01"/>
        <n v="197018.95"/>
        <n v="610278.97"/>
        <n v="7512.7"/>
        <n v="319007.51"/>
        <n v="-93348.27"/>
        <n v="388911.32"/>
        <n v="5493.05"/>
        <n v="-702148.66"/>
        <n v="669551.11"/>
        <n v="84458.72"/>
        <n v="1524672.64"/>
        <n v="597176.32"/>
        <n v="374189.9"/>
        <n v="684089.05"/>
        <n v="314.01"/>
        <n v="487579.14"/>
        <n v="-73417.92"/>
        <n v="90230.23"/>
        <n v="1398.4"/>
        <n v="153660.57"/>
        <n v="-3469.57"/>
        <n v="-105552.33"/>
        <n v="154604.72"/>
        <n v="-352195.83"/>
        <n v="-12296.46"/>
        <n v="176887.84"/>
        <n v="-3768.32"/>
        <n v="3121.13"/>
        <n v="-83000.1"/>
        <n v="-108683.88"/>
        <n v="10158.92"/>
        <n v="16770.77"/>
        <n v="1436.45"/>
        <n v="7589.98"/>
        <n v="781.4"/>
        <n v="13155.65"/>
        <n v="149.42"/>
        <n v="12938.63"/>
        <n v="238.87"/>
        <n v="1227.02"/>
        <n v="-622394.53"/>
        <n v="-163496.1"/>
        <n v="830610.03"/>
        <n v="73.43"/>
        <n v="-3.19"/>
        <n v="0.68"/>
        <n v="528706.13"/>
        <n v="14606.99"/>
        <n v="-212068.94"/>
        <n v="-887.19"/>
        <n v="-393966.46"/>
        <n v="8662.26"/>
        <n v="-1444.96"/>
        <n v="707870.75"/>
        <n v="-18.04"/>
        <n v="168802.16"/>
        <n v="150.73"/>
        <n v="310377.36"/>
        <n v="129387.36"/>
        <n v="162894.26"/>
        <n v="2488.06"/>
        <n v="3726774.9"/>
        <n v="7698.09"/>
        <n v="400660.4"/>
        <n v="241.98"/>
        <n v="459.43"/>
        <n v="25353.96"/>
        <n v="1477556.59"/>
        <n v="93729.07"/>
        <n v="2390793.81"/>
        <n v="5525.9"/>
        <n v="83435.15"/>
        <n v="2000225.75"/>
        <n v="164527.64"/>
        <n v="9505989.6"/>
        <n v="35976.06"/>
        <n v="177081.59"/>
        <n v="35590.96"/>
        <n v="1013772.22"/>
        <n v="-686739.05"/>
        <n v="1577890.55"/>
        <n v="240045.02"/>
        <n v="204696.04"/>
        <n v="38189.81"/>
        <n v="171423.75"/>
        <n v="3926.89"/>
        <n v="-1196.8"/>
        <n v="723.85"/>
        <n v="39307.01"/>
        <n v="7707"/>
        <n v="227290.57"/>
        <n v="184011.27"/>
        <n v="132115.15"/>
        <n v="17425.58"/>
        <n v="2245077.16"/>
        <n v="9181.88"/>
        <n v="1293859.74"/>
        <n v="2450943.4"/>
        <n v="-6782.41"/>
        <n v="329056.61"/>
        <n v="318.4"/>
        <n v="79.24"/>
        <n v="3047.17"/>
        <n v="43400.36"/>
        <n v="2095653.55"/>
        <n v="690198.49"/>
        <n v="5697.96"/>
        <n v="532498.64"/>
        <n v="6782.43"/>
        <n v="350458.67"/>
        <n v="520985.78"/>
        <n v="585467.32"/>
        <n v="5910.7"/>
        <n v="36528.56"/>
        <n v="677846.58"/>
        <n v="61488.18"/>
        <n v="799.25"/>
        <n v="1340437.25"/>
        <n v="280.95"/>
        <n v="152.83"/>
        <n v="-70010"/>
        <n v="855049.06"/>
        <n v="209.43"/>
        <n v="335547.17"/>
        <n v="207500"/>
        <n v="30519.66"/>
        <n v="122878.76"/>
        <n v="276179.72"/>
        <n v="808.28"/>
        <n v="-50.71"/>
        <n v="-14.52"/>
        <n v="51.23"/>
        <n v="-1441.29"/>
        <n v="48338.77"/>
        <n v="26707.92"/>
        <n v="31919.47"/>
        <n v="30028.73"/>
        <n v="10378.35"/>
        <n v="145468.87"/>
        <n v="-0.67"/>
        <n v="-4632.85"/>
        <n v="56939.11"/>
        <n v="516.3"/>
        <n v="256670.95"/>
        <n v="80.18"/>
        <n v="4859.11"/>
        <n v="5217.76"/>
        <n v="76694.06"/>
        <n v="174981.8"/>
        <n v="83693.56"/>
        <n v="8234.83"/>
        <n v="123261.77"/>
        <n v="2432252.44"/>
        <n v="469849.05"/>
        <n v="1580267.39"/>
        <n v="1178415.1"/>
        <n v="5939838.7"/>
        <n v="101064.14"/>
        <n v="3505.63"/>
        <n v="4636005.86"/>
        <n v="660377.36"/>
        <n v="-79876.3"/>
        <n v="85385.15"/>
        <n v="3326.59"/>
        <n v="-184618.77"/>
        <n v="463637.39"/>
        <n v="-785125.48"/>
        <n v="849.06"/>
        <n v="1259821.53"/>
        <n v="248513.44"/>
        <n v="994053.76"/>
        <n v="-450240.04"/>
        <n v="30744.59"/>
        <n v="-249811.32"/>
        <n v="479795.83"/>
        <n v="8985.85"/>
        <n v="44915.28"/>
        <n v="-48338.77"/>
        <n v="-14590.84"/>
        <n v="15266.04"/>
        <n v="89414.79"/>
        <n v="-15313.14"/>
        <n v="2927.74"/>
        <n v="10046.01"/>
        <n v="94319.81"/>
        <n v="47585.73"/>
        <n v="5375.11"/>
        <n v="26688.05"/>
        <n v="300.25"/>
        <n v="80228.35"/>
        <n v="-123261.77"/>
        <n v="56320.75"/>
        <n v="-293305.07"/>
        <n v="96923.75"/>
        <n v="440.55"/>
        <n v="-128439.62"/>
        <n v="241.18"/>
        <n v="-28416.51"/>
        <n v="566105.18"/>
        <n v="4542.45"/>
        <n v="2330.19"/>
        <n v="-839402.83"/>
        <n v="42452.83"/>
        <n v="-6549.85"/>
        <n v="61345.49"/>
        <n v="941509.43"/>
        <n v="241537.7"/>
        <n v="109548.02"/>
        <n v="438192.08"/>
        <n v="237.74"/>
        <n v="920125.34"/>
        <n v="131577.37"/>
        <n v="33660.22"/>
        <n v="292.92"/>
        <n v="2258230.47"/>
        <n v="3773.59"/>
        <n v="18962.56"/>
        <n v="339644.72"/>
        <n v="934449.51"/>
        <n v="4030.75"/>
        <n v="320535.65"/>
        <n v="36611.6"/>
        <n v="876715.94"/>
        <n v="631487.33"/>
        <n v="-336.89"/>
        <n v="1552.68"/>
        <n v="2518.87"/>
        <n v="99158.51"/>
        <n v="2426702.56"/>
        <n v="482357.9"/>
        <n v="133134.65"/>
        <n v="285538.75"/>
        <n v="-180543.12"/>
        <n v="-24.35"/>
        <n v="-60.94"/>
        <n v="73713.83"/>
        <n v="-224.58"/>
        <n v="-2094.58"/>
        <n v="47848.31"/>
        <n v="17351.89"/>
        <n v="45531.12"/>
        <n v="-161.04"/>
        <n v="80534.91"/>
        <n v="14626.76"/>
        <n v="60107.36"/>
        <n v="41047.17"/>
        <n v="41894.01"/>
        <n v="1380.82"/>
        <n v="23347.17"/>
        <n v="80086.08"/>
        <n v="154139.86"/>
        <n v="-101.2"/>
        <n v="34541.51"/>
        <n v="-3083.92"/>
        <n v="-93.56"/>
        <n v="403.77"/>
        <n v="93.06"/>
        <n v="217.08"/>
        <n v="1817.77"/>
        <n v="647.92"/>
        <n v="136701.88"/>
        <n v="297169.8"/>
        <n v="-64745.62"/>
        <n v="17919.81"/>
        <n v="-695030.28"/>
        <n v="2788.31"/>
        <n v="142033.86"/>
        <n v="694339.62"/>
        <n v="33953.68"/>
        <n v="1609.83"/>
        <n v="501524.89"/>
        <n v="220452.84"/>
        <n v="3933.26"/>
        <n v="101.2"/>
        <n v="50525.33"/>
        <n v="9679.07"/>
        <n v="2326205.68"/>
        <n v="4201057.54"/>
        <n v="122375.27"/>
        <n v="1711825.33"/>
        <n v="2575.23"/>
        <n v="82239.34"/>
        <n v="2670188.33"/>
        <n v="266966.05"/>
        <n v="1683949.06"/>
        <n v="39834.91"/>
        <n v="-135.14"/>
        <n v="-1333560.12"/>
        <n v="520958.73"/>
        <n v="348.87"/>
        <n v="-15880.3"/>
        <n v="73748.87"/>
        <n v="47014.92"/>
        <n v="-13202.26"/>
        <n v="1475.03"/>
        <n v="2691320.27"/>
        <n v="167100.71"/>
        <n v="-19109.29"/>
        <n v="33142.45"/>
        <n v="264150.95"/>
        <n v="10994.34"/>
        <n v="160000.01"/>
        <n v="21962.25"/>
        <n v="1082752.96"/>
        <n v="21737.93"/>
        <n v="149899.19"/>
        <n v="154724.07"/>
        <n v="979.98"/>
        <n v="19648.99"/>
        <n v="13202.26"/>
        <n v="2628225.55"/>
        <n v="19109.28"/>
        <n v="9294.33"/>
        <n v="229090.37"/>
        <n v="1512726.76"/>
        <n v="86143.2"/>
        <n v="80632.64"/>
        <n v="2269.47"/>
        <n v="3758483.74"/>
        <n v="2179344.72"/>
        <n v="-127782.05"/>
        <n v="30.05"/>
        <n v="2536435.31"/>
        <n v="-1151526.79"/>
        <n v="1171984.22"/>
        <n v="1117689.28"/>
        <n v="141333.1"/>
        <n v="34042.62"/>
        <n v="-444875.36"/>
        <n v="2240.57"/>
        <n v="60849.06"/>
        <n v="2979601.61"/>
        <n v="213739.36"/>
        <n v="-2410704.84"/>
        <n v="324926.63"/>
        <n v="81231.66"/>
        <n v="6257.07"/>
        <n v="464399.3"/>
        <n v="10610.18"/>
        <n v="5915.09"/>
        <n v="36792.45"/>
        <n v="1063929.57"/>
        <n v="102352.42"/>
        <n v="2994452.78"/>
        <n v="355906.06"/>
        <n v="8.49"/>
        <n v="16096.5"/>
        <n v="795161.72"/>
        <n v="19675.85"/>
        <n v="547953.8"/>
        <n v="407.09"/>
        <n v="510862.91"/>
        <n v="328177.68"/>
        <n v="-22010.38"/>
        <n v="234.11"/>
        <n v="79261.61"/>
        <n v="-9318.25"/>
        <n v="-102217.92"/>
        <n v="-52588.42"/>
        <n v="-89.62"/>
        <n v="274.76"/>
        <n v="-2929.06"/>
        <n v="477237.66"/>
        <n v="-203.13"/>
        <n v="-18651.1"/>
        <n v="1744"/>
        <n v="1401.96"/>
        <n v="4028.96"/>
        <n v="240.26"/>
        <n v="30020.8"/>
        <n v="67830.19"/>
        <n v="81018.87"/>
        <n v="309056.6"/>
        <n v="250.93"/>
        <n v="189381.14"/>
        <n v="6745.36"/>
        <n v="52028.3"/>
        <n v="60883.48"/>
        <n v="-140.51"/>
        <n v="-113.66"/>
        <n v="10333.02"/>
        <n v="1005048.52"/>
        <n v="5.55"/>
        <n v="6128009.42"/>
        <n v="58983.96"/>
        <n v="119448.72"/>
        <n v="2641509.43"/>
        <n v="22760.37"/>
        <n v="130188.68"/>
        <n v="1523.58"/>
        <n v="1321980.06"/>
        <n v="3076905.95"/>
        <n v="1471185.83"/>
        <n v="25.47"/>
        <n v="707.55"/>
        <n v="878.77"/>
        <n v="804102.21"/>
        <n v="2549925.93"/>
        <n v="414130.56"/>
        <n v="19056.55"/>
        <n v="301717.37"/>
        <n v="432633.52"/>
        <n v="83562.8"/>
        <n v="11986.87"/>
        <n v="1141.13"/>
        <n v="776315.65"/>
        <n v="933180.37"/>
        <n v="-17566.51"/>
        <n v="10901.87"/>
        <n v="402.55"/>
        <n v="365274.04"/>
        <n v="-562140.86"/>
        <n v="587.43"/>
        <n v="2518.37"/>
        <n v="-235.99"/>
        <n v="-3.77"/>
        <n v="-957.23"/>
        <n v="-793923.26"/>
        <n v="-72.52"/>
        <n v="471379.25"/>
        <n v="-3.46"/>
        <n v="-67.45"/>
        <n v="88299.86"/>
        <n v="421.58"/>
        <n v="1035.93"/>
        <n v="2548.79"/>
        <n v="145.23"/>
        <n v="-2122.65"/>
        <n v="1424.13"/>
        <n v="47536.79"/>
        <n v="9177.45"/>
        <n v="-14.28"/>
        <n v="2796436.8"/>
        <n v="-1744"/>
        <n v="14.3"/>
        <n v="845794.02"/>
        <n v="29006.42"/>
        <n v="9.43"/>
        <n v="1056265.2"/>
        <n v="99056.61"/>
        <n v="89191.02"/>
        <n v="64188.69"/>
        <n v="4405531.58"/>
        <n v="188846.91"/>
        <n v="11641.72"/>
        <n v="255328.53"/>
        <n v="31603.78"/>
        <n v="4260.7"/>
        <n v="2041665.47"/>
        <n v="237.69"/>
        <n v="94108.57"/>
        <n v="7438536.32"/>
        <n v="132714.17"/>
        <n v="3323130.17"/>
        <n v="4488.48"/>
        <n v="1984861.23"/>
        <n v="219782.17"/>
        <n v="879128.66"/>
        <n v="94969.43"/>
        <n v="1110.96"/>
        <n v="-87247.42"/>
        <n v="449.89"/>
        <n v="1475.83"/>
        <n v="9242.45"/>
        <n v="19652.83"/>
        <n v="-1033791.58"/>
        <n v="153.49"/>
        <n v="-58547.09"/>
        <n v="67147.87"/>
        <n v="1298506.42"/>
        <n v="-620052.89"/>
        <n v="155929.25"/>
        <n v="40171.21"/>
        <n v="47165.09"/>
        <n v="99698.11"/>
        <n v="16927.83"/>
        <n v="2827451.35"/>
        <n v="-1442111.92"/>
        <n v="33.96"/>
        <n v="-3435927.02"/>
        <n v="120.75"/>
        <n v="15405.66"/>
        <n v="3103.79"/>
        <n v="24630.19"/>
        <n v="788189.76"/>
        <n v="69854.58"/>
        <n v="195205.79"/>
        <n v="-237.7"/>
        <n v="39946.26"/>
        <n v="2594.34"/>
        <n v="17801.91"/>
        <n v="225671.87"/>
        <n v="93224.39"/>
        <n v="984940.59"/>
        <n v="523876.29"/>
        <n v="411900.54"/>
        <n v="3824.97"/>
        <n v="704328.91"/>
        <n v="202801.89"/>
        <n v="246213.09"/>
        <n v="304.88"/>
        <n v="317296.23"/>
        <n v="168962.12"/>
        <n v="896.59"/>
        <n v="461041.85"/>
        <n v="84919.81"/>
        <n v="176110.21"/>
        <n v="31438.58"/>
        <n v="471698.11"/>
        <n v="22356.61"/>
        <n v="-52028.3"/>
        <n v="-309056.6"/>
        <n v="-81018.87"/>
        <n v="700.36"/>
        <n v="-207500"/>
        <n v="88305.4"/>
        <n v="-67830.19"/>
        <n v="-99698.11"/>
        <n v="16981.13"/>
        <n v="94409.65"/>
        <n v="-88299.86"/>
        <n v="-88.34"/>
        <n v="-148363.41"/>
        <n v="-616.51"/>
        <n v="-80.95"/>
        <n v="167463.68"/>
        <n v="-25.43"/>
        <n v="-459.21"/>
        <n v="9311.75"/>
        <n v="26270.4"/>
        <n v="79981.12"/>
        <n v="566.04"/>
        <n v="291754.65"/>
        <n v="7075.21"/>
        <n v="1388.68"/>
        <n v="88575.47"/>
        <n v="43.01"/>
        <n v="69495.86"/>
        <n v="1485.07"/>
        <n v="35252.84"/>
        <n v="393220.75"/>
        <n v="34765.03"/>
        <n v="358182.75"/>
        <n v="828151.04"/>
        <n v="2016896.12"/>
        <n v="3182375.42"/>
        <n v="281628.12"/>
        <n v="3242772.63"/>
        <n v="166960.01"/>
        <n v="4645174.9"/>
        <n v="2406.12"/>
        <n v="440.13"/>
        <n v="872.64"/>
        <n v="137287.86"/>
        <n v="21226.42"/>
        <n v="603592.62"/>
        <n v="48564.14"/>
        <n v="1137909.48"/>
        <n v="5648669.81"/>
        <n v="-664700.88"/>
        <n v="400882.48"/>
        <n v="299377.36"/>
        <n v="-503576.28"/>
        <n v="165792.96"/>
        <n v="402754.95"/>
        <n v="4.55"/>
        <n v="340622.64"/>
        <n v="-1892207.49"/>
        <n v="1395513.94"/>
        <n v="10961.31"/>
        <n v="72585.56"/>
        <n v="138174.92"/>
        <n v="311931.02"/>
        <n v="75284.56"/>
        <n v="62017.65"/>
        <n v="87671.13"/>
        <n v="1863.21"/>
        <n v="5.54"/>
        <n v="-555.47"/>
        <n v="-252742"/>
        <n v="98618.29"/>
        <n v="-1295152.67"/>
        <n v="29336.89"/>
        <n v="32830.19"/>
        <n v="-1140964.53"/>
        <n v="-35252.83"/>
        <n v="108153.36"/>
        <n v="4643348.35"/>
        <n v="581610.46"/>
        <n v="113849.52"/>
        <n v="129333.96"/>
        <n v="2131532.34"/>
        <n v="-188.68"/>
        <n v="26121.34"/>
        <n v="35252.83"/>
        <n v="-49805.38"/>
        <n v="-66.51"/>
        <n v="-70225.32"/>
        <n v="943396.23"/>
        <n v="2.77"/>
        <n v="188653.98"/>
        <n v="91814.79"/>
        <n v="367259.15"/>
        <n v="622.64"/>
        <n v="-1041379.33"/>
        <n v="1716981.13"/>
        <n v="175471.7"/>
        <n v="-18882.85"/>
        <n v="-13683.02"/>
        <n v="226.98"/>
        <n v="839.18"/>
        <n v="2197.05"/>
        <n v="134.05"/>
        <n v="12683.81"/>
        <n v="478.81"/>
        <n v="4661.73"/>
        <n v="101.49"/>
        <n v="5156.98"/>
        <n v="1242.95"/>
        <n v="1344"/>
        <n v="-31339.81"/>
        <n v="-234.34"/>
        <n v="-31238.4"/>
        <n v="4715147.01"/>
        <n v="2985.85"/>
        <n v="0.47"/>
        <n v="524182.48"/>
        <n v="-990.17"/>
        <n v="1608198.57"/>
      </sharedItems>
    </cacheField>
    <cacheField name="tax" numFmtId="176">
      <sharedItems containsSemiMixedTypes="0" containsString="0" containsNumber="1" minValue="-206155.62" maxValue="679918.49" count="1186">
        <n v="60897.21"/>
        <n v="24841.18"/>
        <n v="5444.6"/>
        <n v="29016.32"/>
        <n v="116065.09"/>
        <n v="-26081.08"/>
        <n v="51304.06"/>
        <n v="10822.83"/>
        <n v="2683.56"/>
        <n v="160.47"/>
        <n v="312636.4"/>
        <n v="14050.51"/>
        <n v="254037.74"/>
        <n v="81.21"/>
        <n v="-16668.39"/>
        <n v="365.87"/>
        <n v="1318.09"/>
        <n v="715.19"/>
        <n v="696.9"/>
        <n v="-4332.61"/>
        <n v="48161.41"/>
        <n v="2047.45"/>
        <n v="58922.36"/>
        <n v="32203.3"/>
        <n v="-5180.39"/>
        <n v="755.66"/>
        <n v="48810.24"/>
        <n v="14.82"/>
        <n v="139.62"/>
        <n v="682.71"/>
        <n v="31158.67"/>
        <n v="34968.11"/>
        <n v="66076.71"/>
        <n v="-34104.52"/>
        <n v="211.48"/>
        <n v="0.68"/>
        <n v="-37567.8"/>
        <n v="40692.9"/>
        <n v="32737.14"/>
        <n v="3990.93"/>
        <n v="2926.35"/>
        <n v="7965.86"/>
        <n v="5148.22"/>
        <n v="21438.68"/>
        <n v="371.66"/>
        <n v="-4.59"/>
        <n v="946.2"/>
        <n v="-16854.37"/>
        <n v="262420.22"/>
        <n v="2773.58"/>
        <n v="3182.18"/>
        <n v="10882.87"/>
        <n v="5060.73"/>
        <n v="16443.66"/>
        <n v="27169.81"/>
        <n v="4036.47"/>
        <n v="106659.53"/>
        <n v="-9269.88"/>
        <n v="451.57"/>
        <n v="-1.93"/>
        <n v="-2609.38"/>
        <n v="-58.62"/>
        <n v="-7407.37"/>
        <n v="-12390.05"/>
        <n v="4880.11"/>
        <n v="89157.1"/>
        <n v="83512.8"/>
        <n v="791.24"/>
        <n v="8338.87"/>
        <n v="1146.32"/>
        <n v="4377.06"/>
        <n v="943.4"/>
        <n v="3365.32"/>
        <n v="29242.07"/>
        <n v="75.99"/>
        <n v="979.38"/>
        <n v="159703.25"/>
        <n v="20138.1"/>
        <n v="22420.72"/>
        <n v="165430.06"/>
        <n v="1111.27"/>
        <n v="10654.42"/>
        <n v="487853.73"/>
        <n v="22297.11"/>
        <n v="17361.42"/>
        <n v="29619.29"/>
        <n v="36.94"/>
        <n v="3577.46"/>
        <n v="1331.34"/>
        <n v="1053.37"/>
        <n v="196.34"/>
        <n v="4213.48"/>
        <n v="13.09"/>
        <n v="44927.3"/>
        <n v="648.48"/>
        <n v="-27169.81"/>
        <n v="695.12"/>
        <n v="6108.9"/>
        <n v="28058.95"/>
        <n v="50328.61"/>
        <n v="91420.24"/>
        <n v="12849.5"/>
        <n v="2355.5"/>
        <n v="2191.58"/>
        <n v="17.07"/>
        <n v="6.52"/>
        <n v="-2432.26"/>
        <n v="68.72"/>
        <n v="61112.82"/>
        <n v="22659.07"/>
        <n v="9721.72"/>
        <n v="25336.41"/>
        <n v="3364.98"/>
        <n v="260.09"/>
        <n v="11387.92"/>
        <n v="5142.83"/>
        <n v="9442.65"/>
        <n v="9575.94"/>
        <n v="521.28"/>
        <n v="-67.53"/>
        <n v="566.04"/>
        <n v="593.94"/>
        <n v="644.41"/>
        <n v="-1.53"/>
        <n v="6002.83"/>
        <n v="55.6"/>
        <n v="683.95"/>
        <n v="99.18"/>
        <n v="-55.64"/>
        <n v="321.68"/>
        <n v="13018.87"/>
        <n v="-2100.72"/>
        <n v="1434.24"/>
        <n v="2.15"/>
        <n v="-5731.98"/>
        <n v="63.05"/>
        <n v="18344.71"/>
        <n v="305.79"/>
        <n v="1512.23"/>
        <n v="0.16"/>
        <n v="-4016.94"/>
        <n v="123673.22"/>
        <n v="4772.63"/>
        <n v="-0.17"/>
        <n v="1.19"/>
        <n v="539.98"/>
        <n v="1230.39"/>
        <n v="11348.21"/>
        <n v="34862.19"/>
        <n v="377.36"/>
        <n v="19811.32"/>
        <n v="122496.02"/>
        <n v="21.94"/>
        <n v="4234.62"/>
        <n v="11858.17"/>
        <n v="3587.7"/>
        <n v="143.34"/>
        <n v="7960.92"/>
        <n v="10346.27"/>
        <n v="166045.12"/>
        <n v="19653.18"/>
        <n v="786.35"/>
        <n v="262429.81"/>
        <n v="255247.78"/>
        <n v="29695.86"/>
        <n v="2545.48"/>
        <n v="76125.67"/>
        <n v="147556.09"/>
        <n v="12536.58"/>
        <n v="629.15"/>
        <n v="-1.36"/>
        <n v="9952.78"/>
        <n v="-1398.73"/>
        <n v="-904.22"/>
        <n v="-11102.62"/>
        <n v="-71610.71"/>
        <n v="-23982.81"/>
        <n v="23824.23"/>
        <n v="-19.42"/>
        <n v="70754.72"/>
        <n v="543.11"/>
        <n v="42548.31"/>
        <n v="10637.08"/>
        <n v="1329.91"/>
        <n v="-23378.53"/>
        <n v="11688.21"/>
        <n v="15403.34"/>
        <n v="6050.15"/>
        <n v="53.49"/>
        <n v="8008.51"/>
        <n v="6.35"/>
        <n v="41.48"/>
        <n v="79.98"/>
        <n v="57086.35"/>
        <n v="403.95"/>
        <n v="34713.05"/>
        <n v="25793.23"/>
        <n v="17663.01"/>
        <n v="112893.67"/>
        <n v="-14059.78"/>
        <n v="42304.75"/>
        <n v="3529.56"/>
        <n v="-14555.52"/>
        <n v="19743.22"/>
        <n v="102.55"/>
        <n v="-3206.89"/>
        <n v="3.06"/>
        <n v="20.14"/>
        <n v="56296.1"/>
        <n v="22293.23"/>
        <n v="11135.28"/>
        <n v="-23045.47"/>
        <n v="38037.35"/>
        <n v="201.32"/>
        <n v="1132.08"/>
        <n v="-521.28"/>
        <n v="934.81"/>
        <n v="425.41"/>
        <n v="90.84"/>
        <n v="738.79"/>
        <n v="-59485.99"/>
        <n v="59472.72"/>
        <n v="-5.27"/>
        <n v="-785.57"/>
        <n v="-1.55"/>
        <n v="-132429.02"/>
        <n v="97.59"/>
        <n v="25206.19"/>
        <n v="4404.66"/>
        <n v="-0.11"/>
        <n v="5240.26"/>
        <n v="1855.31"/>
        <n v="1668.41"/>
        <n v="27716.31"/>
        <n v="-8511.26"/>
        <n v="22.11"/>
        <n v="-0.4"/>
        <n v="335.21"/>
        <n v="588.31"/>
        <n v="128.45"/>
        <n v="-5695.31"/>
        <n v="50990.03"/>
        <n v="258.76"/>
        <n v="0.27"/>
        <n v="2186.05"/>
        <n v="16.08"/>
        <n v="509.43"/>
        <n v="56943.26"/>
        <n v="15921.79"/>
        <n v="73.37"/>
        <n v="4782.07"/>
        <n v="1135.41"/>
        <n v="4702.89"/>
        <n v="16740.67"/>
        <n v="106325.5"/>
        <n v="107232.35"/>
        <n v="7227.37"/>
        <n v="10329.69"/>
        <n v="220930.98"/>
        <n v="20403.83"/>
        <n v="203802.42"/>
        <n v="819.8"/>
        <n v="211516.11"/>
        <n v="9084.51"/>
        <n v="-24026.27"/>
        <n v="26409.09"/>
        <n v="66061.15"/>
        <n v="64803.98"/>
        <n v="2045.37"/>
        <n v="112691.52"/>
        <n v="31849.63"/>
        <n v="19.54"/>
        <n v="13264.45"/>
        <n v="-5401.33"/>
        <n v="17304.82"/>
        <n v="1286.03"/>
        <n v="112770.51"/>
        <n v="-5470.34"/>
        <n v="227.69"/>
        <n v="-1863"/>
        <n v="6401.04"/>
        <n v="9770.48"/>
        <n v="48611.55"/>
        <n v="-14461.54"/>
        <n v="-2879.19"/>
        <n v="1912.23"/>
        <n v="777.62"/>
        <n v="17.12"/>
        <n v="505.47"/>
        <n v="22.44"/>
        <n v="8207.46"/>
        <n v="17040.19"/>
        <n v="4260.05"/>
        <n v="32588.3"/>
        <n v="378.19"/>
        <n v="55.53"/>
        <n v="1908.51"/>
        <n v="12226.45"/>
        <n v="10531.15"/>
        <n v="11311.46"/>
        <n v="6922.31"/>
        <n v="72.6"/>
        <n v="12582.61"/>
        <n v="1924.53"/>
        <n v="2371.61"/>
        <n v="1245.28"/>
        <n v="1358.49"/>
        <n v="0.67"/>
        <n v="1548.33"/>
        <n v="-566.04"/>
        <n v="635.51"/>
        <n v="-241.7"/>
        <n v="538.12"/>
        <n v="233.36"/>
        <n v="668.99"/>
        <n v="564.09"/>
        <n v="-15.33"/>
        <n v="-23.99"/>
        <n v="48756.6"/>
        <n v="3078.63"/>
        <n v="-922.4"/>
        <n v="392.78"/>
        <n v="187.71"/>
        <n v="25672.22"/>
        <n v="-481.22"/>
        <n v="754.71"/>
        <n v="17830.18"/>
        <n v="47980.39"/>
        <n v="27.93"/>
        <n v="2686.59"/>
        <n v="3216.23"/>
        <n v="942.17"/>
        <n v="3899.07"/>
        <n v="990.62"/>
        <n v="1046.82"/>
        <n v="4668.93"/>
        <n v="88.16"/>
        <n v="12168.95"/>
        <n v="23641.31"/>
        <n v="8337.8"/>
        <n v="86919.3"/>
        <n v="161266.37"/>
        <n v="215116.22"/>
        <n v="21.4"/>
        <n v="132.59"/>
        <n v="37395.7"/>
        <n v="2208.74"/>
        <n v="898.58"/>
        <n v="-1020.67"/>
        <n v="3.69"/>
        <n v="802.62"/>
        <n v="5808.94"/>
        <n v="-12905.78"/>
        <n v="-12204.35"/>
        <n v="324.98"/>
        <n v="786.62"/>
        <n v="174856.06"/>
        <n v="533.58"/>
        <n v="290.55"/>
        <n v="737.79"/>
        <n v="283.02"/>
        <n v="492.77"/>
        <n v="-13766.77"/>
        <n v="2530.87"/>
        <n v="21131.75"/>
        <n v="28337.16"/>
        <n v="761.19"/>
        <n v="392.7"/>
        <n v="1305.18"/>
        <n v="6852.67"/>
        <n v="113.09"/>
        <n v="17830.19"/>
        <n v="76253.06"/>
        <n v="56888.2"/>
        <n v="131786.69"/>
        <n v="187.97"/>
        <n v="22229.49"/>
        <n v="2232.02"/>
        <n v="19276.11"/>
        <n v="2842.35"/>
        <n v="220218.31"/>
        <n v="297787.39"/>
        <n v="5871.57"/>
        <n v="4162.54"/>
        <n v="1131.11"/>
        <n v="1509.44"/>
        <n v="300800.81"/>
        <n v="26986.7"/>
        <n v="42395.4"/>
        <n v="65129.8"/>
        <n v="19631.26"/>
        <n v="21210.84"/>
        <n v="8230.02"/>
        <n v="4522.02"/>
        <n v="1577.16"/>
        <n v="71.97"/>
        <n v="426.79"/>
        <n v="742.08"/>
        <n v="12990.52"/>
        <n v="-4.75"/>
        <n v="69195.15"/>
        <n v="51962.09"/>
        <n v="61132.08"/>
        <n v="-1905.46"/>
        <n v="1727.34"/>
        <n v="164150.94"/>
        <n v="5036.44"/>
        <n v="125.19"/>
        <n v="41.01"/>
        <n v="4.75"/>
        <n v="24297.4"/>
        <n v="5831.25"/>
        <n v="18608.06"/>
        <n v="21.08"/>
        <n v="4000.97"/>
        <n v="24867.33"/>
        <n v="397.32"/>
        <n v="6065.27"/>
        <n v="7667.27"/>
        <n v="-9275.32"/>
        <n v="24921.7"/>
        <n v="62992.46"/>
        <n v="40606.61"/>
        <n v="126253.48"/>
        <n v="-131455.42"/>
        <n v="10922.77"/>
        <n v="22.7"/>
        <n v="18261.09"/>
        <n v="-3308.21"/>
        <n v="87522.72"/>
        <n v="-573.5"/>
        <n v="6299.13"/>
        <n v="6382.08"/>
        <n v="-9.17"/>
        <n v="29605.42"/>
        <n v="3735.85"/>
        <n v="14158.87"/>
        <n v="2829.28"/>
        <n v="679.25"/>
        <n v="11547.17"/>
        <n v="2043.75"/>
        <n v="833.92"/>
        <n v="-84487.75"/>
        <n v="50.59"/>
        <n v="1324.25"/>
        <n v="14722.31"/>
        <n v="-2233.59"/>
        <n v="-3935.38"/>
        <n v="14094.34"/>
        <n v="-318.41"/>
        <n v="-1.8"/>
        <n v="-9223.38"/>
        <n v="10740.57"/>
        <n v="2142.11"/>
        <n v="587.75"/>
        <n v="-0.0600000000000001"/>
        <n v="2830.19"/>
        <n v="216.88"/>
        <n v="24.07"/>
        <n v="-6219.91"/>
        <n v="110788.57"/>
        <n v="29.32"/>
        <n v="28306.7"/>
        <n v="71.27"/>
        <n v="18367.92"/>
        <n v="96237.09"/>
        <n v="5004.74"/>
        <n v="641.96"/>
        <n v="5094.34"/>
        <n v="441.61"/>
        <n v="48584.36"/>
        <n v="7.21"/>
        <n v="-65488.57"/>
        <n v="-2519.06"/>
        <n v="28642.57"/>
        <n v="-9164.17"/>
        <n v="200.74"/>
        <n v="-38149.89"/>
        <n v="-54016.51"/>
        <n v="1668.34"/>
        <n v="1015.81"/>
        <n v="113.77"/>
        <n v="10873.2"/>
        <n v="-15483.12"/>
        <n v="96.91"/>
        <n v="363.31"/>
        <n v="163764.67"/>
        <n v="-7.06"/>
        <n v="679918.49"/>
        <n v="22899.41"/>
        <n v="132.87"/>
        <n v="2.55"/>
        <n v="12790.88"/>
        <n v="5370.64"/>
        <n v="4779.37"/>
        <n v="76559.51"/>
        <n v="114326.94"/>
        <n v="94117.81"/>
        <n v="601.4"/>
        <n v="34.34"/>
        <n v="18118.87"/>
        <n v="277.97"/>
        <n v="573385.98"/>
        <n v="28931.29"/>
        <n v="374312.86"/>
        <n v="6444.48"/>
        <n v="370936.18"/>
        <n v="400.74"/>
        <n v="32742.4"/>
        <n v="78542.83"/>
        <n v="-25566.8"/>
        <n v="82289.22"/>
        <n v="-74902.08"/>
        <n v="7039.02"/>
        <n v="1973.16"/>
        <n v="406.32"/>
        <n v="914.15"/>
        <n v="-33.28"/>
        <n v="7914.65"/>
        <n v="19275.05"/>
        <n v="4818.76"/>
        <n v="-21293.3"/>
        <n v="10873.11"/>
        <n v="24087.7"/>
        <n v="1.46"/>
        <n v="33.29"/>
        <n v="1004.83"/>
        <n v="7562.26"/>
        <n v="31.28"/>
        <n v="10201.53"/>
        <n v="70277.59"/>
        <n v="1739.15"/>
        <n v="48572.21"/>
        <n v="11869.23"/>
        <n v="17188.12"/>
        <n v="5770.29"/>
        <n v="45502.21"/>
        <n v="12015.67"/>
        <n v="1297.3"/>
        <n v="62108.17"/>
        <n v="4990.37"/>
        <n v="20075.17"/>
        <n v="9620.49"/>
        <n v="4236.83"/>
        <n v="62.26"/>
        <n v="821.87"/>
        <n v="381.79"/>
        <n v="1687.55"/>
        <n v="5566.85"/>
        <n v="8068.62"/>
        <n v="22267.4"/>
        <n v="63.2"/>
        <n v="3.41"/>
        <n v="17.32"/>
        <n v="3396.24"/>
        <n v="-282.85"/>
        <n v="2008.12"/>
        <n v="282.85"/>
        <n v="138170.28"/>
        <n v="16413.59"/>
        <n v="11821.13"/>
        <n v="36616.77"/>
        <n v="450.76"/>
        <n v="19140.47"/>
        <n v="-5600.9"/>
        <n v="23334.68"/>
        <n v="329.58"/>
        <n v="-42128.92"/>
        <n v="40173.07"/>
        <n v="5067.52"/>
        <n v="91480.36"/>
        <n v="35830.56"/>
        <n v="22451.38"/>
        <n v="41045.34"/>
        <n v="18.9"/>
        <n v="29254.75"/>
        <n v="-4405.08"/>
        <n v="5413.81"/>
        <n v="83.9"/>
        <n v="9219.63"/>
        <n v="-208.17"/>
        <n v="-6333.14"/>
        <n v="9276.28"/>
        <n v="-21131.75"/>
        <n v="-737.79"/>
        <n v="10613.27"/>
        <n v="-226.1"/>
        <n v="187.27"/>
        <n v="-4980.01"/>
        <n v="-6521.03"/>
        <n v="609.54"/>
        <n v="1006.25"/>
        <n v="86.19"/>
        <n v="455.4"/>
        <n v="46.88"/>
        <n v="789.34"/>
        <n v="8.97"/>
        <n v="776.32"/>
        <n v="14.33"/>
        <n v="73.62"/>
        <n v="-37343.67"/>
        <n v="-9809.77"/>
        <n v="49836.6"/>
        <n v="4.41"/>
        <n v="-0.19"/>
        <n v="0.04"/>
        <n v="31722.37"/>
        <n v="876.42"/>
        <n v="-12724.14"/>
        <n v="-53.23"/>
        <n v="-23637.99"/>
        <n v="519.74"/>
        <n v="-86.7"/>
        <n v="42472.25"/>
        <n v="-1.08"/>
        <n v="10128.11"/>
        <n v="9.04"/>
        <n v="18622.64"/>
        <n v="7763.24"/>
        <n v="9773.64"/>
        <n v="149.3"/>
        <n v="223606.5"/>
        <n v="461.91"/>
        <n v="24039.6"/>
        <n v="14.52"/>
        <n v="27.57"/>
        <n v="1521.24"/>
        <n v="88653.41"/>
        <n v="5623.73"/>
        <n v="143447.66"/>
        <n v="331.54"/>
        <n v="5006.11"/>
        <n v="120013.49"/>
        <n v="9871.66"/>
        <n v="570359.4"/>
        <n v="2158.56"/>
        <n v="10624.9"/>
        <n v="2135.44"/>
        <n v="60826.38"/>
        <n v="-41204.34"/>
        <n v="94673.41"/>
        <n v="14402.7"/>
        <n v="12281.79"/>
        <n v="2291.39"/>
        <n v="10285.43"/>
        <n v="235.61"/>
        <n v="-71.81"/>
        <n v="43.43"/>
        <n v="2358.42"/>
        <n v="462.42"/>
        <n v="13637.43"/>
        <n v="11040.68"/>
        <n v="7926.93"/>
        <n v="1045.54"/>
        <n v="134704.63"/>
        <n v="550.92"/>
        <n v="77631.6"/>
        <n v="147056.6"/>
        <n v="-406.94"/>
        <n v="19743.39"/>
        <n v="19.1"/>
        <n v="4.76"/>
        <n v="182.83"/>
        <n v="2604.04"/>
        <n v="125739.23"/>
        <n v="41411.87"/>
        <n v="341.91"/>
        <n v="31949.93"/>
        <n v="406.92"/>
        <n v="21027.53"/>
        <n v="31259.11"/>
        <n v="35128.03"/>
        <n v="354.64"/>
        <n v="2191.68"/>
        <n v="40670.75"/>
        <n v="3689.29"/>
        <n v="47.95"/>
        <n v="80426.25"/>
        <n v="16.86"/>
        <n v="9.17"/>
        <n v="-4200.6"/>
        <n v="51302.94"/>
        <n v="12.57"/>
        <n v="20132.83"/>
        <n v="12450"/>
        <n v="1831.18"/>
        <n v="7372.73"/>
        <n v="16570.78"/>
        <n v="48.5"/>
        <n v="-3.04"/>
        <n v="-0.87"/>
        <n v="3.07"/>
        <n v="-86.48"/>
        <n v="2900.33"/>
        <n v="1602.48"/>
        <n v="1915.17"/>
        <n v="1801.72"/>
        <n v="622.7"/>
        <n v="8728.13"/>
        <n v="-0.04"/>
        <n v="-277.97"/>
        <n v="3416.35"/>
        <n v="30.97"/>
        <n v="15400.25"/>
        <n v="4.82"/>
        <n v="291.53"/>
        <n v="313.04"/>
        <n v="4601.62"/>
        <n v="10498.9"/>
        <n v="5021.6"/>
        <n v="494.05"/>
        <n v="7395.71"/>
        <n v="145935.16"/>
        <n v="28190.95"/>
        <n v="94816.04"/>
        <n v="70704.9"/>
        <n v="356390.3"/>
        <n v="6063.86"/>
        <n v="210.34"/>
        <n v="278160.34"/>
        <n v="39622.64"/>
        <n v="-4792.58"/>
        <n v="5123.11"/>
        <n v="199.6"/>
        <n v="-11077.13"/>
        <n v="27818.24"/>
        <n v="-47107.53"/>
        <n v="50.94"/>
        <n v="75589.29"/>
        <n v="14910.81"/>
        <n v="59643.23"/>
        <n v="-27014.4"/>
        <n v="1844.68"/>
        <n v="-14988.68"/>
        <n v="28787.75"/>
        <n v="539.15"/>
        <n v="2694.92"/>
        <n v="-2900.33"/>
        <n v="-875.45"/>
        <n v="915.96"/>
        <n v="5364.89"/>
        <n v="-918.79"/>
        <n v="175.66"/>
        <n v="602.76"/>
        <n v="5659.19"/>
        <n v="2855.14"/>
        <n v="322.51"/>
        <n v="1601.28"/>
        <n v="18.02"/>
        <n v="4813.7"/>
        <n v="-7395.71"/>
        <n v="3379.25"/>
        <n v="-17598.3"/>
        <n v="5815.42"/>
        <n v="26.43"/>
        <n v="-7706.38"/>
        <n v="14.51"/>
        <n v="-1704.99"/>
        <n v="33966.32"/>
        <n v="272.55"/>
        <n v="139.81"/>
        <n v="-50364.17"/>
        <n v="2547.17"/>
        <n v="-392.99"/>
        <n v="3680.73"/>
        <n v="56490.57"/>
        <n v="14492.26"/>
        <n v="6572.88"/>
        <n v="26291.53"/>
        <n v="14.26"/>
        <n v="55207.54"/>
        <n v="7894.63"/>
        <n v="2019.62"/>
        <n v="17.58"/>
        <n v="135493.87"/>
        <n v="226.41"/>
        <n v="1137.81"/>
        <n v="20378.68"/>
        <n v="56066.95"/>
        <n v="241.85"/>
        <n v="19232.17"/>
        <n v="2196.68"/>
        <n v="52602.95"/>
        <n v="37889.22"/>
        <n v="-20.21"/>
        <n v="93.16"/>
        <n v="151.13"/>
        <n v="5949.49"/>
        <n v="145602.14"/>
        <n v="28941.47"/>
        <n v="7988.08"/>
        <n v="17132.35"/>
        <n v="-10832.59"/>
        <n v="-1.46"/>
        <n v="-3.66"/>
        <n v="4422.83"/>
        <n v="-13.48"/>
        <n v="-125.68"/>
        <n v="2870.9"/>
        <n v="1041.11"/>
        <n v="2731.87"/>
        <n v="-9.66"/>
        <n v="4832.09"/>
        <n v="877.61"/>
        <n v="3606.44"/>
        <n v="2462.83"/>
        <n v="2513.64"/>
        <n v="82.85"/>
        <n v="1400.83"/>
        <n v="4805.17"/>
        <n v="9248.39"/>
        <n v="-6.07"/>
        <n v="2072.49"/>
        <n v="-185.03"/>
        <n v="-5.61"/>
        <n v="24.23"/>
        <n v="5.58"/>
        <n v="13.02"/>
        <n v="109.07"/>
        <n v="38.87"/>
        <n v="8202.12"/>
        <n v="17830.2"/>
        <n v="-3884.74"/>
        <n v="1075.19"/>
        <n v="-41701.82"/>
        <n v="167.3"/>
        <n v="8522.04"/>
        <n v="41660.38"/>
        <n v="2037.22"/>
        <n v="96.6"/>
        <n v="30091.51"/>
        <n v="13227.16"/>
        <n v="236.02"/>
        <n v="6.07"/>
        <n v="3031.53"/>
        <n v="580.72"/>
        <n v="139572.32"/>
        <n v="252063.46"/>
        <n v="7342.53"/>
        <n v="102709.5"/>
        <n v="154.53"/>
        <n v="4934.38"/>
        <n v="160211.32"/>
        <n v="16017.95"/>
        <n v="101036.94"/>
        <n v="2390.09"/>
        <n v="-8.11"/>
        <n v="-80013.61"/>
        <n v="31257.52"/>
        <n v="20.93"/>
        <n v="-952.82"/>
        <n v="4424.93"/>
        <n v="2820.9"/>
        <n v="-792.14"/>
        <n v="88.5"/>
        <n v="161479.23"/>
        <n v="10026.04"/>
        <n v="-1146.56"/>
        <n v="1988.55"/>
        <n v="15849.05"/>
        <n v="659.66"/>
        <n v="9599.99"/>
        <n v="1317.75"/>
        <n v="64965.18"/>
        <n v="1304.29"/>
        <n v="8993.95"/>
        <n v="9283.43"/>
        <n v="58.8"/>
        <n v="1178.93"/>
        <n v="792.14"/>
        <n v="157693.51"/>
        <n v="1146.57"/>
        <n v="557.67"/>
        <n v="13745.43"/>
        <n v="90763.64"/>
        <n v="5168.6"/>
        <n v="4837.97"/>
        <n v="136.17"/>
        <n v="225509.01"/>
        <n v="130760.68"/>
        <n v="-7666.92"/>
        <n v="1.8"/>
        <n v="152186.13"/>
        <n v="-69091.61"/>
        <n v="70319.03"/>
        <n v="67061.36"/>
        <n v="8479.99"/>
        <n v="2042.58"/>
        <n v="-26692.52"/>
        <n v="134.43"/>
        <n v="3650.94"/>
        <n v="178776.1"/>
        <n v="12824.36"/>
        <n v="-144642.29"/>
        <n v="19495.6"/>
        <n v="4873.9"/>
        <n v="375.43"/>
        <n v="27863.96"/>
        <n v="636.62"/>
        <n v="354.91"/>
        <n v="2207.55"/>
        <n v="63835.74"/>
        <n v="6141.18"/>
        <n v="179667.17"/>
        <n v="21354.35"/>
        <n v="0.51"/>
        <n v="965.79"/>
        <n v="47709.7"/>
        <n v="1180.51"/>
        <n v="32877.2"/>
        <n v="24.46"/>
        <n v="30651.78"/>
        <n v="19690.66"/>
        <n v="-1320.62"/>
        <n v="14.05"/>
        <n v="4755.7"/>
        <n v="-559.1"/>
        <n v="-6133.08"/>
        <n v="-3155.31"/>
        <n v="-5.38"/>
        <n v="16.49"/>
        <n v="-175.74"/>
        <n v="28634.26"/>
        <n v="-12.19"/>
        <n v="-1119.07"/>
        <n v="104.64"/>
        <n v="84.12"/>
        <n v="241.74"/>
        <n v="14.42"/>
        <n v="1801.25"/>
        <n v="4069.81"/>
        <n v="4861.13"/>
        <n v="18543.4"/>
        <n v="15.06"/>
        <n v="11362.87"/>
        <n v="404.72"/>
        <n v="3121.7"/>
        <n v="3653.01"/>
        <n v="-8.43"/>
        <n v="-6.82"/>
        <n v="619.98"/>
        <n v="60302.95"/>
        <n v="0.33"/>
        <n v="367680.57"/>
        <n v="3539.04"/>
        <n v="7166.91"/>
        <n v="158490.57"/>
        <n v="1365.63"/>
        <n v="7811.32"/>
        <n v="91.42"/>
        <n v="79318.8"/>
        <n v="184614.37"/>
        <n v="88271.15"/>
        <n v="1.53"/>
        <n v="42.45"/>
        <n v="52.73"/>
        <n v="48246.13"/>
        <n v="152995.52"/>
        <n v="24847.84"/>
        <n v="1143.39"/>
        <n v="18103.03"/>
        <n v="25958.04"/>
        <n v="5013.76"/>
        <n v="719.21"/>
        <n v="68.47"/>
        <n v="46578.93"/>
        <n v="55990.87"/>
        <n v="-1053.99"/>
        <n v="654.13"/>
        <n v="24.14"/>
        <n v="21916.46"/>
        <n v="-33728.45"/>
        <n v="35.25"/>
        <n v="151.1"/>
        <n v="-14.16"/>
        <n v="-0.23"/>
        <n v="-57.43"/>
        <n v="-47635.4"/>
        <n v="-4.35"/>
        <n v="28282.75"/>
        <n v="-0.21"/>
        <n v="-4.05"/>
        <n v="5297.99"/>
        <n v="25.29"/>
        <n v="62.16"/>
        <n v="152.93"/>
        <n v="8.71"/>
        <n v="-127.36"/>
        <n v="85.47"/>
        <n v="2852.21"/>
        <n v="550.65"/>
        <n v="-0.86"/>
        <n v="167786.2"/>
        <n v="-104.64"/>
        <n v="0.84"/>
        <n v="50747.62"/>
        <n v="1740.38"/>
        <n v="0.57"/>
        <n v="63375.9"/>
        <n v="5943.39"/>
        <n v="5351.46"/>
        <n v="3851.31"/>
        <n v="264331.88"/>
        <n v="11330.79"/>
        <n v="698.48"/>
        <n v="15319.7"/>
        <n v="1896.22"/>
        <n v="255.65"/>
        <n v="122499.94"/>
        <n v="14.27"/>
        <n v="5646.55"/>
        <n v="446312.18"/>
        <n v="7962.83"/>
        <n v="199387.83"/>
        <n v="269.32"/>
        <n v="119091.71"/>
        <n v="13186.93"/>
        <n v="52747.72"/>
        <n v="5698.17"/>
        <n v="66.66"/>
        <n v="-5234.85"/>
        <n v="26.99"/>
        <n v="88.55"/>
        <n v="554.55"/>
        <n v="1179.17"/>
        <n v="-62027.5"/>
        <n v="9.21"/>
        <n v="-3512.83"/>
        <n v="4028.87"/>
        <n v="77910.38"/>
        <n v="-37203.17"/>
        <n v="9355.75"/>
        <n v="2410.27"/>
        <n v="2829.91"/>
        <n v="5981.89"/>
        <n v="1015.67"/>
        <n v="169647.08"/>
        <n v="-86526.71"/>
        <n v="2.04"/>
        <n v="-206155.62"/>
        <n v="7.25"/>
        <n v="924.34"/>
        <n v="186.23"/>
        <n v="1477.81"/>
        <n v="47291.39"/>
        <n v="4191.28"/>
        <n v="11712.35"/>
        <n v="-14.26"/>
        <n v="2396.78"/>
        <n v="155.66"/>
        <n v="1068.09"/>
        <n v="13540.33"/>
        <n v="5593.45"/>
        <n v="59096.41"/>
        <n v="31432.57"/>
        <n v="24714.01"/>
        <n v="229.53"/>
        <n v="42259.75"/>
        <n v="12168.11"/>
        <n v="14772.8"/>
        <n v="18.31"/>
        <n v="19037.77"/>
        <n v="10137.78"/>
        <n v="53.81"/>
        <n v="27662.47"/>
        <n v="5095.19"/>
        <n v="10566.6"/>
        <n v="1886.32"/>
        <n v="28301.89"/>
        <n v="1341.37"/>
        <n v="-3121.7"/>
        <n v="-18543.4"/>
        <n v="-4861.13"/>
        <n v="42.02"/>
        <n v="-12450"/>
        <n v="5298.32"/>
        <n v="-4069.81"/>
        <n v="-5981.89"/>
        <n v="1018.87"/>
        <n v="5664.58"/>
        <n v="-5297.99"/>
        <n v="-5.3"/>
        <n v="-8901.8"/>
        <n v="-36.99"/>
        <n v="-4.86"/>
        <n v="10047.82"/>
        <n v="-27.55"/>
        <n v="558.7"/>
        <n v="1576.24"/>
        <n v="4798.88"/>
        <n v="33.96"/>
        <n v="17505.29"/>
        <n v="424.49"/>
        <n v="83.32"/>
        <n v="5314.53"/>
        <n v="2.59"/>
        <n v="4169.78"/>
        <n v="89.09"/>
        <n v="2115.16"/>
        <n v="23593.25"/>
        <n v="2085.88"/>
        <n v="21490.95"/>
        <n v="49689.06"/>
        <n v="121013.75"/>
        <n v="190942.54"/>
        <n v="16897.68"/>
        <n v="194566.37"/>
        <n v="10017.59"/>
        <n v="278710.5"/>
        <n v="144.35"/>
        <n v="26.41"/>
        <n v="52.36"/>
        <n v="8237.27"/>
        <n v="1273.58"/>
        <n v="36215.56"/>
        <n v="2913.85"/>
        <n v="68274.57"/>
        <n v="338920.19"/>
        <n v="-39882.05"/>
        <n v="24052.95"/>
        <n v="17962.64"/>
        <n v="-30214.58"/>
        <n v="9947.58"/>
        <n v="24165.3"/>
        <n v="20437.36"/>
        <n v="-113532.45"/>
        <n v="83730.84"/>
        <n v="657.68"/>
        <n v="4355.13"/>
        <n v="8290.49"/>
        <n v="18715.86"/>
        <n v="4517.07"/>
        <n v="3721.06"/>
        <n v="5260.27"/>
        <n v="111.79"/>
        <n v="-33.33"/>
        <n v="-15164.52"/>
        <n v="5917.1"/>
        <n v="-77709.16"/>
        <n v="1760.21"/>
        <n v="1969.81"/>
        <n v="-68457.87"/>
        <n v="-2115.17"/>
        <n v="6489.2"/>
        <n v="278600.9"/>
        <n v="34896.63"/>
        <n v="6830.97"/>
        <n v="7760.04"/>
        <n v="127891.94"/>
        <n v="-11.32"/>
        <n v="1567.28"/>
        <n v="2115.17"/>
        <n v="-2988.32"/>
        <n v="-3.99"/>
        <n v="-4213.52"/>
        <n v="56603.77"/>
        <n v="0.17"/>
        <n v="11319.24"/>
        <n v="5508.89"/>
        <n v="22035.55"/>
        <n v="37.36"/>
        <n v="-62482.76"/>
        <n v="103018.87"/>
        <n v="10528.3"/>
        <n v="-1132.97"/>
        <n v="-820.98"/>
        <n v="13.62"/>
        <n v="50.35"/>
        <n v="131.82"/>
        <n v="8.04"/>
        <n v="761.03"/>
        <n v="28.73"/>
        <n v="279.7"/>
        <n v="6.09"/>
        <n v="309.42"/>
        <n v="74.58"/>
        <n v="80.64"/>
        <n v="-1880.39"/>
        <n v="-14.06"/>
        <n v="-1874.3"/>
        <n v="282908.82"/>
        <n v="179.15"/>
        <n v="0.03"/>
        <n v="31450.9500000001"/>
        <n v="-59.41"/>
        <n v="96491.9099999999"/>
      </sharedItems>
    </cacheField>
    <cacheField name="entrypk" numFmtId="0">
      <sharedItems containsBlank="1" count="1164">
        <s v="KSYQW-FDJTD-20230203-00001-0001     "/>
        <s v="WHFL-FDJTD-BI-20230201-71092-0001   "/>
        <s v="WHFL-FDJTD-BI-20230201-21093-0002   "/>
        <s v="WHFL-FDJTD-BI-20230201-21119-0002   "/>
        <s v="WHFL-FDJTD-BI-20230201-21120-0001   "/>
        <s v="KSYQW-FDJTD-20230202-00002-0001     "/>
        <s v="KSYQW-FDJTD-20230201-00002-0001     "/>
        <s v="KSYQW-FDJTD-20230201-00004-0001     "/>
        <s v="KSYQW-FDJTD-BI-20230201-71088-0003  "/>
        <s v="WHFL-FDJTD-20230107-00001-0001      "/>
        <s v="KSYQW-FDJTD-BI-20230201-21089-0001  "/>
        <s v="KSYQW-FDJTD-BI-20230201-71088-0002  "/>
        <s v="WHFL-FDJTD-20230117-00001-0001      "/>
        <s v="WHFL-FDJTD-20230201-00004-0001      "/>
        <s v="WHFL-FDJTD-20230201-00017-0001      "/>
        <s v="WHFL-FDJTD-20230202-00010-0001      "/>
        <s v="WHFL-FDJTD-20230201-00019-0001      "/>
        <s v="WHFL-FDJTD-20230202-00002-0001      "/>
        <s v="WHFL-FDJTD-BI-20230201-21090-0001   "/>
        <s v="WHFL-FDJTD-20230202-00017-0001      "/>
        <s v="WHFL-FDJTD-BI-20230131-90407-0001   "/>
        <s v="WHLS-FDJTD-20230202-00005-0001      "/>
        <s v="WHLS-FDJTD-20230202-00001-0001      "/>
        <s v="WHLS-FDJTD-20230202-00003-0001      "/>
        <s v="WHLS-FDJTD-20230202-00004-0001      "/>
        <s v="WHTS-FDJTD-BI-20230131-20221-0001   "/>
        <s v="WHLS-FDJTD-BI-20230201-21094-0001   "/>
        <s v="WHSK-FDJTD-BI-20230201-71118-0001   "/>
        <s v="WHLS-FDJTD-BI-20230201-71095-0001   "/>
        <s v="WHTS-FDJTD-20230201-00001-0001      "/>
        <s v="WHLS-FDJTD-BI-20230201-71096-0001   "/>
        <s v="WHTS-FDJTD-20230202-00001-0001      "/>
        <s v="XJFL-FDJTD-BI-20230201-71110-0001   "/>
        <s v="XJFL-FDJTD-20230202-00001-0001      "/>
        <s v="WHYQY-FDJTD-BI-20230201-71117-0001  "/>
        <s v="XJFL-FDJTD-BI-20230131-71047-0001   "/>
        <s v="XJFL-FDJTD-20230201-00001-0001      "/>
        <s v="XJFL-FDJTD-BI-20230201-21111-0002   "/>
        <s v="XJFL-FDJTD-20230201-00003-0001      "/>
        <s v="XJFL-FDJTD-BI-20230201-21116-0003   "/>
        <s v="XJFL-FDJTD-BI-20230201-71110-0003   "/>
        <s v="XJFL-FDJTD-BI-20230201-71115-0001   "/>
        <s v="XJFL-FDJTD-BI-20230201-71115-0002   "/>
        <s v="XZFL-FDJTD-20230201-00006-0001      "/>
        <s v="XZFL-FDJTD-20230201-00002-0001      "/>
        <s v="XZFL-FDJTD-20230201-00013-0001      "/>
        <s v="XZFL-FDJTD-20230201-00009-0001      "/>
        <s v="XZFL-FDJTD-20230201-00014-0001      "/>
        <s v="XZFL-FDJTD-20230201-00015-0001      "/>
        <s v="XZFL-FDJTD-20230201-00012-0001      "/>
        <s v="XZFL-FDJTD-20230201-00019-0001      "/>
        <s v="XZFL-FDJTD-20230201-00030-0001      "/>
        <s v="XZFL-FDJTD-20230201-00024-0001      "/>
        <s v="XZFL-FDJTD-20230201-00025-0001      "/>
        <s v="XZFL-FDJTD-20230201-00021-0001      "/>
        <s v="XZFL-FDJTD-20230201-00026-0001      "/>
        <s v="XZFL-FDJTD-20230201-00023-0001      "/>
        <s v="XZFL-FDJTD-20230201-00028-0001      "/>
        <s v="XZFL-FDJTD-20230202-00013-0001      "/>
        <s v="XZFL-FDJTD-20230202-00002-0001      "/>
        <s v="XZFL-FDJTD-20230201-00031-0001      "/>
        <s v="XZFL-FDJTD-20230202-00004-0001      "/>
        <s v="XZFL-FDJTD-20230201-00032-0001      "/>
        <s v="XZFL-FDJTD-20230202-00009-0001      "/>
        <s v="XZFL-FDJTD-20230202-00001-0001      "/>
        <s v="XZFL-FDJTD-BI-20230131-01033-0001   "/>
        <s v="XZFL-FDJTD-BI-20230131-00616-0001   "/>
        <s v="XZFL-FDJTD-BI-20230131-00987-0001   "/>
        <s v="XZFL-FDJTD-BI-20230201-21098-0002   "/>
        <s v="XZFL-FDJTD-BI-20230131-90411-0001   "/>
        <s v="XZFL-FDJTD-BI-20230131-20287-0001   "/>
        <s v="XZFL-FDJTD-BI-20230131-90418-0001   "/>
        <s v="XZFL-FDJTD-BI-20230131-20287-0002   "/>
        <s v="XZFL-FDJTD-BI-20230131-90420-0001   "/>
        <s v="XZFL-FDJTD-BI-20230131-90315-0001   "/>
        <s v="XZFL-FDJTD-BI-20230201-21067-0001   "/>
        <s v="XZFL-FDJTD-BI-20230201-71102-0001   "/>
        <s v="XZFL-FDJTD-BI-20230201-21099-0002   "/>
        <s v="XZFL-FDJTD-BI-20230201-71103-0001   "/>
        <s v="XZFL-FDJTD-BI-20230201-21105-0001   "/>
        <s v="XZFL-FDJTD-BI-20230201-71104-0001   "/>
        <s v="XZFL-FDJTD-BI-20230201-71097-0001   "/>
        <s v="XZFL-FDJTD-BI-20230201-71106-0001   "/>
        <s v="WHFL-FDJTD-20230302-00012-0001      "/>
        <s v="WHFL-FDJTD-BI-20230301-01094-0001   "/>
        <s v="WHFL-FDJTD-BI-20230301-01092-0002   "/>
        <s v="WHFL-FDJTD-BI-20230301-00925-0001   "/>
        <s v="WHFL-FDJTD-20230302-00013-0001      "/>
        <s v="WHFL-FDJTD-BI-20230301-01087-0001   "/>
        <s v="WHFL-FDJTD-BI-20230301-00281-0002   "/>
        <s v="WHFL-FDJTD-BI-20230301-01089-0001   "/>
        <s v="WHFL-FDJTD-BI-20230301-00282-0001   "/>
        <s v="WHFL-FDJTD-BI-20230301-21060-0001   "/>
        <s v="WHFL-FDJTD-BI-20230301-21091-0001   "/>
        <s v="WHFL-FDJTD-BI-20230301-21093-0001   "/>
        <s v="WHLS-FDJTD-20230301-00002-0001      "/>
        <s v="WHLS-FDJTD-BI-20230301-21096-0003   "/>
        <s v="WHLS-FDJTD-BI-20230301-21097-0001   "/>
        <s v="WHLS-FDJTD-BI-20230301-01063-0002   "/>
        <s v="WHLS-FDJTD-BI-20230301-21098-0001   "/>
        <s v="WHLS-FDJTD-BI-20230301-01095-0001   "/>
        <s v="XJFL-FDJTD-BI-20230301-00867-0002   "/>
        <s v="XJFL-FDJTD-BI-20230301-00623-0003   "/>
        <s v="WHTS-FDJTD-BI-20230301-21113-0001   "/>
        <s v="WHSK-FDJTD-20230302-00002-0001      "/>
        <s v="WHYQY-FDJTD-20230302-00001-0001     "/>
        <s v="WHTS-FDJTD-20230301-00001-0001      "/>
        <s v="WHYQY-FDJTD-BI-20230301-20948-0001  "/>
        <s v="WHTS-FDJTD-BI-20230301-21088-0001   "/>
        <s v="XJHLW-FDJTD-20230228-00002-0001     "/>
        <s v="XJFL-FDJTD-BI-20230301-20947-0002   "/>
        <s v="XJFL-FDJTD-BI-20230301-20908-0001   "/>
        <s v="XJFL-FDJTD-BI-20230301-20908-0003   "/>
        <s v="XJHLW-FDJTD-20230228-00001-0001     "/>
        <s v="XJFL-FDJTD-BI-20230301-20947-0001   "/>
        <s v="XJHLW-FDJTD-20230302-00005-0001     "/>
        <s v="XJHLW-FDJTD-20230302-00003-0001     "/>
        <s v="XZFL-FDJTD-20230208-00001-0001      "/>
        <s v="XZFL-FDJTD-20230206-00001-0001      "/>
        <s v="XZFL-FDJTD-20230228-00006-0001      "/>
        <s v="XZFL-FDJTD-20230228-00001-0001      "/>
        <s v="XZFL-FDJTD-20230221-00003-0001      "/>
        <s v="XZFL-FDJTD-20230221-00002-0001      "/>
        <s v="XZFL-FDJTD-20230301-00008-0001      "/>
        <s v="XZFL-FDJTD-20230301-00006-0001      "/>
        <s v="XZFL-FDJTD-20230301-00019-0001      "/>
        <s v="XZFL-FDJTD-20230301-00017-0001      "/>
        <s v="XZFL-FDJTD-20230301-00014-0001      "/>
        <s v="XZFL-FDJTD-20230301-00009-0001      "/>
        <s v="XZFL-FDJTD-20230301-00015-0001      "/>
        <s v="XZFL-FDJTD-20230301-00031-0001      "/>
        <s v="XZFL-FDJTD-20230301-00030-0001      "/>
        <s v="XZFL-FDJTD-20230301-00024-0001      "/>
        <s v="XZFL-FDJTD-20230301-00020-0001      "/>
        <s v="XZFL-FDJTD-20230301-00025-0001      "/>
        <s v="XZFL-FDJTD-20230301-00022-0001      "/>
        <s v="XZFL-FDJTD-20230301-00028-0001      "/>
        <s v="XZFL-FDJTD-20230301-00023-0001      "/>
        <s v="XZFL-FDJTD-BI-20230301-00767-0001   "/>
        <s v="XZFL-FDJTD-BI-20230301-00612-0001   "/>
        <s v="XZFL-FDJTD-20230302-00003-0001      "/>
        <s v="XZFL-FDJTD-20230301-00032-0001      "/>
        <s v="XZFL-FDJTD-20230302-00004-0001      "/>
        <s v="XZFL-FDJTD-20230302-00001-0001      "/>
        <s v="XZFL-FDJTD-BI-20230301-00339-0001   "/>
        <s v="XZFL-FDJTD-BI-20230301-01099-0001   "/>
        <s v="XZFL-FDJTD-BI-20230301-01075-0001   "/>
        <s v="XZFL-FDJTD-BI-20230301-00849-0001   "/>
        <s v="XZFL-FDJTD-BI-20230301-00778-0001   "/>
        <s v="XZFL-FDJTD-BI-20230301-00972-0001   "/>
        <s v="XZFL-FDJTD-BI-20230301-00813-0001   "/>
        <s v="XZFL-FDJTD-BI-20230301-01074-0001   "/>
        <s v="XZFL-FDJTD-BI-20230301-00822-0001   "/>
        <s v="XZFL-FDJTD-BI-20230301-21107-0002   "/>
        <s v="XZFL-FDJTD-BI-20230301-21107-0001   "/>
        <s v="XZFL-FDJTD-BI-20230301-01111-0003   "/>
        <s v="XZFL-FDJTD-BI-20230301-01101-0002   "/>
        <s v="XZFL-FDJTD-BI-20230301-21100-0001   "/>
        <s v="XZFL-FDJTD-BI-20230301-01102-0002   "/>
        <s v="XZFL-FDJTD-BI-20230301-21105-0001   "/>
        <s v="XZFL-FDJTD-BI-20230301-01111-0002   "/>
        <s v="XZFL-FDJTD-BI-20230301-21108-0001   "/>
        <s v="XZFL-FDJTD-BI-20230301-21110-0001   "/>
        <s v="XZFL-FDJTD-BI-20230301-21112-0001   "/>
        <s v="KSYQW-FDJTD-20230301-00005-0001     "/>
        <s v="KSYQW-FDJTD-BI-20230301-21085-0003  "/>
        <s v="KSYQW-FDJTD-20230302-00003-0001     "/>
        <s v="KSYQW-FDJTD-BI-20230301-01086-0001  "/>
        <s v="KSYQW-FDJTD-BI-20230301-21085-0002  "/>
        <s v="WHFL-FDJTD-20230301-00015-0001      "/>
        <s v="WHFL-FDJTD-20230301-00013-0001      "/>
        <s v="WHFL-FDJTD-20230301-00025-0001      "/>
        <s v="WHFL-FDJTD-20230301-00027-0001      "/>
        <s v="WHFL-FDJTD-20230301-00023-0001      "/>
        <s v="WHFL-FDJTD-20230404-00017-0001      "/>
        <s v="WHFL-FDJTD-20230404-00018-0001      "/>
        <s v="WHFL-FDJTD-20230404-00020-0001      "/>
        <s v="WHFL-FDJTD-20230404-00019-0001      "/>
        <s v="WHFL-FDJTD-20230403-00020-0001      "/>
        <s v="WHFL-FDJTD-20230403-00015-0001      "/>
        <s v="WHFL-FDJTD-20230403-00012-0001      "/>
        <s v="WHFL-FDJTD-20230403-00018-0001      "/>
        <s v="WHFL-FDJTD-20230403-00019-0001      "/>
        <s v="WHFL-FDJTD-20230404-00006-0001      "/>
        <s v="WHFL-FDJTD-20230404-00003-0001      "/>
        <s v="WHFL-FDJTD-20230404-00004-0001      "/>
        <s v="WHFL-FDJTD-BI-20230401-61126-0002   "/>
        <s v="WHFL-FDJTD-BI-20230325-30726-0001   "/>
        <s v="WHFL-FDJTD-20230404-00015-0001      "/>
        <s v="WHFL-FDJTD-BI-20230401-21122-0001   "/>
        <s v="WHFL-FDJTD-BI-20230324-90393-0001   "/>
        <s v="WHFL-FDJTD-BI-20230401-21124-0001   "/>
        <s v="WHFL-FDJTD-BI-20230325-30614-0001   "/>
        <s v="WHFL-FDJTD-BI-20230401-21127-0001   "/>
        <s v="WHFL-FDJTD-BI-20230401-61128-0001   "/>
        <s v="WHFL-FDJTD-BI-20230401-61149-0001   "/>
        <s v="WHFL-FDJTD-BI-20230401-61151-0001   "/>
        <s v="WHLS-FDJTD-BI-20230401-61132-0001   "/>
        <s v="WHLS-FDJTD-BI-20230401-21129-0001   "/>
        <s v="WHLS-FDJTD-20230403-00003-0001      "/>
        <s v="WHLS-FDJTD-BI-20230401-61097-0002   "/>
        <s v="WHLS-FDJTD-20230403-00004-0001      "/>
        <s v="WHLS-FDJTD-BI-20230401-61130-0003   "/>
        <s v="WHLS-FDJTD-20230404-00001-0001      "/>
        <s v="WHLS-FDJTD-BI-20230401-61131-0001   "/>
        <s v="WHYQY-FDJTD-20230403-00001-0001     "/>
        <s v="WHTS-FDJTD-20230403-00001-0001      "/>
        <s v="WHTS-FDJTD-BI-20230324-00600-0001   "/>
        <s v="WHSK-FDJTD-20230403-00001-0001      "/>
        <s v="WHTS-FDJTD-BI-20230401-61123-0001   "/>
        <s v="XJHLW-FDJTD-20230404-00002-0001     "/>
        <s v="XJHLW-FDJTD-20230404-00003-0001     "/>
        <s v="XJHLW-FDJTD-20230320-00001-0001     "/>
        <s v="XJHLW-FDJTD-20230403-00003-0001     "/>
        <s v="XZFL-FDJTD-20230313-00001-0001      "/>
        <s v="XZFL-FDJTD-20230306-00001-0001      "/>
        <s v="XZFL-FDJTD-20230320-00001-0001      "/>
        <s v="XZFL-FDJTD-20230314-00001-0001      "/>
        <s v="XZFL-FDJTD-20230317-00001-0001      "/>
        <s v="XZFL-FDJTD-20230317-00002-0001      "/>
        <s v="XZFL-FDJTD-20230403-00008-0001      "/>
        <s v="XZFL-FDJTD-20230403-00004-0001      "/>
        <s v="XZFL-FDJTD-20230403-00005-0001      "/>
        <s v="XZFL-FDJTD-20230403-00001-0001      "/>
        <s v="XZFL-FDJTD-20230403-00006-0001      "/>
        <s v="XZFL-FDJTD-20230403-00019-0001      "/>
        <s v="XZFL-FDJTD-20230403-00012-0001      "/>
        <s v="XZFL-FDJTD-20230403-00015-0001      "/>
        <s v="XZFL-FDJTD-20230403-00016-0001      "/>
        <s v="XZFL-FDJTD-20230403-00018-0001      "/>
        <s v="XZFL-FDJTD-20230403-00038-0001      "/>
        <s v="XZFL-FDJTD-20230403-00031-0001      "/>
        <s v="XZFL-FDJTD-20230403-00021-0001      "/>
        <s v="XZFL-FDJTD-20230403-00034-0001      "/>
        <s v="XZFL-FDJTD-20230403-00024-0001      "/>
        <s v="XZFL-FDJTD-20230403-00035-0001      "/>
        <s v="XZFL-FDJTD-20230403-00029-0001      "/>
        <s v="XZFL-FDJTD-20230403-00037-0001      "/>
        <s v="XZFL-FDJTD-20230404-00006-0001      "/>
        <s v="XZFL-FDJTD-20230403-00042-0001      "/>
        <s v="XZFL-FDJTD-20230403-00039-0001      "/>
        <s v="XZFL-FDJTD-20230404-00001-0001      "/>
        <s v="XZFL-FDJTD-20230404-00002-0001      "/>
        <s v="XZFL-FDJTD-20230403-00041-0001      "/>
        <s v="XZFL-FDJTD-20230404-00004-0001      "/>
        <s v="XZFL-FDJTD-BI-20230401-21134-0001   "/>
        <s v="XZFL-FDJTD-BI-20230327-20960-0002   "/>
        <s v="XZFL-FDJTD-BI-20230325-30732-0001   "/>
        <s v="XZFL-FDJTD-BI-20230329-21045-0001   "/>
        <s v="XZFL-FDJTD-BI-20230326-60888-0001   "/>
        <s v="XZFL-FDJTD-BI-20230329-60994-0001   "/>
        <s v="XZFL-FDJTD-BI-20230326-60901-0001   "/>
        <s v="XZFL-FDJTD-BI-20230330-61036-0001   "/>
        <s v="XZFL-FDJTD-BI-20230401-61140-0002   "/>
        <s v="XZFL-FDJTD-BI-20230401-61108-0001   "/>
        <s v="XZFL-FDJTD-BI-20230401-21135-0002   "/>
        <s v="XZFL-FDJTD-BI-20230401-61133-0001   "/>
        <s v="XZFL-FDJTD-BI-20230401-21145-0002   "/>
        <s v="XZFL-FDJTD-BI-20230401-61138-0001   "/>
        <s v="XZFL-FDJTD-BI-20230401-21145-0003   "/>
        <s v="XZFL-FDJTD-BI-20230401-61140-0001   "/>
        <s v="XZFL-FDJTD-BI-20230401-61146-0001   "/>
        <s v="XZFL-FDJTD-BI-20230401-61141-0001   "/>
        <s v="XZFL-FDJTD-BI-20230401-61147-0001   "/>
        <s v="XZFL-FDJTD-BI-20230401-61142-0001   "/>
        <s v="XZFL-FDJTD-BI-20230401-61144-0001   "/>
        <s v="KSYQW-FDJTD-BI-20230401-61120-0002  "/>
        <s v="KSYQW-FDJTD-20230404-00001-0001     "/>
        <s v="HNFL-FDJTD-20230404-00001-0001      "/>
        <s v="KSYQW-FDJTD-20230404-00002-0001     "/>
        <s v="KSYQW-FDJTD-BI-20230401-21121-0001  "/>
        <s v="KSYQW-FDJTD-BI-20230401-61120-0003  "/>
        <s v="WHTS-FDJTD-BI-20230504-41031-0001   "/>
        <s v="WHLS-FDJTD-BI-20230504-41036-0002   "/>
        <s v="WHSK-FDJTD-20230504-00001-0001      "/>
        <s v="WHLS-FDJTD-BI-20230504-41037-0001   "/>
        <s v="WHTS-FDJTD-20230504-00001-0001      "/>
        <s v="WHLS-FDJTD-BI-20230504-41038-0001   "/>
        <s v="WHLS-FDJTD-BI-20230504-30643-0003   "/>
        <s v="WHLS-FDJTD-BI-20230425-20824-0001   "/>
        <s v="WHLS-FDJTD-20230504-00003-0001      "/>
        <s v="WHLS-FDJTD-20230505-00001-0001      "/>
        <s v="HNFL-FDJTD-20230505-00001-0001      "/>
        <s v="HNFL-FDJTD-20230504-00001-0001      "/>
        <s v="KSYQW-FDJTD-BI-20230504-41028-0002  "/>
        <s v="KSYQW-FDJTD-BI-20230501-21029-0001  "/>
        <s v="KSYQW-FDJTD-20230505-00001-0001     "/>
        <s v="KSYQW-FDJTD-20230505-00002-0001     "/>
        <s v="KSYQW-FDJTD-BI-20230504-41028-0003  "/>
        <s v="WHFL-FDJTD-20230406-00003-0001      "/>
        <s v="WHFL-FDJTD-20230406-00005-0001      "/>
        <s v="WHFL-FDJTD-20230504-00007-0001      "/>
        <s v="WHFL-FDJTD-BI-20230424-20783-0001   "/>
        <s v="WHFL-FDJTD-20230505-00004-0001      "/>
        <s v="WHFL-FDJTD-20230505-00001-0001      "/>
        <s v="WHFL-FDJTD-20230505-00002-0001      "/>
        <s v="WHFL-FDJTD-BI-20230504-41056-0001   "/>
        <s v="WHFL-FDJTD-BI-20230504-41035-0001   "/>
        <s v="WHFL-FDJTD-BI-20230504-40823-0001   "/>
        <s v="WHFL-FDJTD-BI-20230501-21030-0001   "/>
        <s v="WHFL-FDJTD-BI-20230504-40965-0001   "/>
        <s v="WHFL-FDJTD-BI-20230501-21034-0002   "/>
        <s v="WHFL-FDJTD-BI-20230504-41033-0001   "/>
        <s v="WHFL-FDJTD-BI-20230504-20388-0002   "/>
        <s v="WHFL-FDJTD-BI-20230504-41058-0001   "/>
        <s v="WHYQY-FDJTD-20230505-00003-0001     "/>
        <s v="XZFL-FDJTD-20230413-00004-0001      "/>
        <s v="XZFL-FDJTD-20230410-00001-0001      "/>
        <s v="XZFL-FDJTD-20230407-00005-0001      "/>
        <s v="XZFL-FDJTD-20230417-00001-0001      "/>
        <s v="XZFL-FDJTD-20230427-00001-0001      "/>
        <s v="XZFL-FDJTD-20230419-00005-0001      "/>
        <s v="XZFL-FDJTD-20230504-00010-0001      "/>
        <s v="XZFL-FDJTD-20230504-00003-0001      "/>
        <s v="XZFL-FDJTD-20230504-00002-0001      "/>
        <s v="XZFL-FDJTD-20230504-00024-0001      "/>
        <s v="XZFL-FDJTD-20230504-00023-0001      "/>
        <s v="XZFL-FDJTD-20230504-00020-0001      "/>
        <s v="XZFL-FDJTD-20230504-00012-0001      "/>
        <s v="XZFL-FDJTD-20230504-00021-0001      "/>
        <s v="XZFL-FDJTD-20230504-00015-0001      "/>
        <s v="XZFL-FDJTD-20230504-00016-0001      "/>
        <s v="XZFL-FDJTD-BI-20230424-20792-0001   "/>
        <s v="XZFL-FDJTD-BI-20230423-20758-0001   "/>
        <s v="XZFL-FDJTD-20230505-00001-0001      "/>
        <s v="XZFL-FDJTD-20230504-00026-0001      "/>
        <s v="XZFL-FDJTD-20230504-00027-0001      "/>
        <s v="XZFL-FDJTD-20230505-00009-0001      "/>
        <s v="XZFL-FDJTD-20230504-00028-0001      "/>
        <s v="XZFL-FDJTD-BI-20230504-40900-0001   "/>
        <s v="XZFL-FDJTD-BI-20230504-40833-0001   "/>
        <s v="XZFL-FDJTD-BI-20230501-21052-0001   "/>
        <s v="XZFL-FDJTD-BI-20230501-21039-0001   "/>
        <s v="XZFL-FDJTD-BI-20230501-21053-0001   "/>
        <s v="XZFL-FDJTD-BI-20230501-21040-0002   "/>
        <s v="XZFL-FDJTD-BI-20230503-30932-0001   "/>
        <s v="XZFL-FDJTD-BI-20230501-21051-0002   "/>
        <s v="XZFL-FDJTD-BI-20230504-41048-0001   "/>
        <s v="XZFL-FDJTD-BI-20230504-41047-0001   "/>
        <s v="XZFL-FDJTD-BI-20230504-41044-0001   "/>
        <s v="XZFL-FDJTD-BI-20230504-40910-0001   "/>
        <s v="XZFL-FDJTD-BI-20230504-41046-0001   "/>
        <s v="XZFL-FDJTD-BI-20230504-40977-0001   "/>
        <s v="XZFL-FDJTD-BI-20230504-41046-0002   "/>
        <s v="XZFL-FDJTD-BI-20230504-41043-0001   "/>
        <s v="XZFL-FDJTD-BI-20230504-41050-0001   "/>
        <s v="XZFL-FDJTD-BI-20230504-41054-0001   "/>
        <s v="XZFL-FDJTD-BI-20230504-41059-0001   "/>
        <s v="KSYQW-FDJTD-20230505-00003-0001     "/>
        <s v="KSYQW-FDJTD-20230505-00004-0001     "/>
        <s v="WHFL-FDJTD-20230505-00010-0001      "/>
        <s v="WHFL-FDJTD-20230505-00006-0001      "/>
        <s v="WHFL-FDJTD-20230505-00011-0001      "/>
        <s v="WHFL-FDJTD-20230505-00009-0001      "/>
        <s v="XZFL-FDJTD-20230505-00004-0001      "/>
        <s v="XJHLW-FDJTD-20230505-00006-0001     "/>
        <s v="XZFL-FDJTD-20230505-00005-0001      "/>
        <s v="XJHLW-FDJTD-20230505-00007-0001     "/>
        <s v="XZFL-FDJTD-20230505-00010-0001      "/>
        <s v="XZFL-FDJTD-20230505-00019-0001      "/>
        <m/>
        <s v="XZFL-FDJTD-20230601-00020-0001      "/>
        <s v="WHYQY-FDJTD-20230602-00002-0001     "/>
        <s v="XZFL-FDJTD-20230602-00013-0001      "/>
        <s v="XZFL-FDJTD-20230602-00012-0001      "/>
        <s v="XZFL-FDJTD-20230605-00005-0001      "/>
        <s v="XZFL-FDJTD-20230605-00004-0001      "/>
        <s v="XZFL-FDJTD-20230602-00009-0001      "/>
        <s v="XZFL-FDJTD-20230605-00006-0001      "/>
        <s v="XZFL-FDJTD-BI-20230601-21212-0001   "/>
        <s v="XZFL-FDJTD-BI-20230531-61145-0001   "/>
        <s v="XZFL-FDJTD-BI-20230531-20952-0001   "/>
        <s v="XZFL-FDJTD-BI-20230531-31078-0001   "/>
        <s v="XZFL-FDJTD-BI-20230530-20826-0002   "/>
        <s v="XZFL-FDJTD-BI-20230531-31078-0002   "/>
        <s v="XZFL-FDJTD-BI-20230531-20941-0001   "/>
        <s v="XZFL-FDJTD-BI-20230601-61218-0001   "/>
        <s v="XZFL-FDJTD-BI-20230601-61182-0001   "/>
        <s v="XZFL-FDJTD-BI-20230601-21226-0002   "/>
        <s v="XZFL-FDJTD-BI-20230601-21213-0001   "/>
        <s v="XZFL-FDJTD-BI-20230601-21227-0001   "/>
        <s v="XZFL-FDJTD-BI-20230601-21214-0001   "/>
        <s v="XZFL-FDJTD-BI-20230601-61173-0001   "/>
        <s v="XZFL-FDJTD-BI-20230601-21215-0002   "/>
        <s v="XZFL-FDJTD-BI-20230601-61230-0001   "/>
        <s v="XZFL-FDJTD-BI-20230601-61228-0001   "/>
        <s v="XZFL-FDJTD-BI-20230601-61222-0002   "/>
        <s v="XZFL-FDJTD-BI-20230601-61219-0001   "/>
        <s v="XZFL-FDJTD-BI-20230601-61223-0001   "/>
        <s v="XZFL-FDJTD-BI-20230601-61220-0001   "/>
        <s v="XZFL-FDJTD-BI-20230601-61225-0001   "/>
        <s v="XZFL-FDJTD-BI-20230601-61222-0001   "/>
        <s v="KSYQW-FDJTD-BI-20230601-21199-0001  "/>
        <s v="KSYQW-FDJTD-20230601-00004-0001     "/>
        <s v="KSYQW-FDJTD-20230517-00001-0001     "/>
        <s v="KSYQW-FDJTD-20230601-00003-0001     "/>
        <s v="KSYQW-FDJTD-BI-20230601-61198-0002  "/>
        <s v="WHFL-FDJTD-20230510-00003-0001      "/>
        <s v="KSYQW-FDJTD-BI-20230601-61198-0003  "/>
        <s v="KSYQW-FDJTD-BI-20230601-61198-0004  "/>
        <s v="WHFL-FDJTD-20230601-00001-0001      "/>
        <s v="WHFL-FDJTD-20230601-00002-0001      "/>
        <s v="WHFL-FDJTD-20230601-00017-0001      "/>
        <s v="WHFL-FDJTD-20230601-00006-0001      "/>
        <s v="WHFL-FDJTD-20230601-00015-0001      "/>
        <s v="WHFL-FDJTD-20230601-00016-0001      "/>
        <s v="WHFL-FDJTD-20230602-00001-0001      "/>
        <s v="WHFL-FDJTD-20230601-00033-0001      "/>
        <s v="WHFL-FDJTD-20230601-00034-0001      "/>
        <s v="WHFL-FDJTD-20230602-00003-0001      "/>
        <s v="WHFL-FDJTD-BI-20230601-21200-0001   "/>
        <s v="WHFL-FDJTD-BI-20230531-61192-0001   "/>
        <s v="WHFL-FDJTD-BI-20230531-20929-0001   "/>
        <s v="WHFL-FDJTD-BI-20230531-31016-0001   "/>
        <s v="WHFL-FDJTD-BI-20230601-61232-0001   "/>
        <s v="WHFL-FDJTD-BI-20230601-61211-0001   "/>
        <s v="WHFL-FDJTD-BI-20230601-61205-0002   "/>
        <s v="WHFL-FDJTD-BI-20230601-21202-0001   "/>
        <s v="WHFL-FDJTD-BI-20230601-61205-0003   "/>
        <s v="WHFL-FDJTD-BI-20230601-21206-0001   "/>
        <s v="WHFL-FDJTD-BI-20230601-61207-0001   "/>
        <s v="WHFL-FDJTD-BI-20230601-61168-0001   "/>
        <s v="WHFL-FDJTD-BI-20230601-61234-0001   "/>
        <s v="WHLS-FDJTD-20230601-00002-0001      "/>
        <s v="WHLS-FDJTD-BI-20230601-61209-0001   "/>
        <s v="WHLS-FDJTD-BI-20230601-61208-0001   "/>
        <s v="WHLS-FDJTD-20230601-00003-0001      "/>
        <s v="WHLS-FDJTD-20230601-00004-0001      "/>
        <s v="WHLS-FDJTD-20230601-00005-0001      "/>
        <s v="XJHLW-FDJTD-20230517-00001-0001     "/>
        <s v="WHSK-FDJTD-BI-20230601-61235-0001   "/>
        <s v="WHLS-FDJTD-BI-20230601-61210-0001   "/>
        <s v="WHTS-FDJTD-20230601-00001-0001      "/>
        <s v="WHTS-FDJTD-BI-20230601-61201-0001   "/>
        <s v="XJHLW-FDJTD-20230601-00005-0001     "/>
        <s v="XJHLW-FDJTD-20230601-00004-0001     "/>
        <s v="XZFL-FDJTD-20230509-00001-0001      "/>
        <s v="XZFL-FDJTD-20230512-00002-0001      "/>
        <s v="XZFL-FDJTD-20230510-00004-0001      "/>
        <s v="XZFL-FDJTD-20230515-00001-0001      "/>
        <s v="XZFL-FDJTD-20230531-00001-0001      "/>
        <s v="XZFL-FDJTD-20230526-00002-0001      "/>
        <s v="XZFL-FDJTD-20230518-00001-0001      "/>
        <s v="XZFL-FDJTD-20230529-00001-0001      "/>
        <s v="XZFL-FDJTD-20230601-00014-0001      "/>
        <s v="XZFL-FDJTD-20230601-00001-0001      "/>
        <s v="XZFL-FDJTD-20230601-00002-0001      "/>
        <s v="XZFL-FDJTD-20230601-00011-0001      "/>
        <s v="XZFL-FDJTD-20230601-00005-0001      "/>
        <s v="XZFL-FDJTD-20230601-00026-0001      "/>
        <s v="XZFL-FDJTD-20230601-00025-0001      "/>
        <s v="XZFL-FDJTD-20230601-00016-0001      "/>
        <s v="XZFL-FDJTD-20230601-00022-0001      "/>
        <s v="XZFL-FDJTD-20230601-00017-0001      "/>
        <s v="XZFL-FDJTD-20230601-00023-0001      "/>
        <s v="XZFL-FDJTD-20230601-00028-0001      "/>
        <s v="XZFL-FDJTD-20230602-00005-0001      "/>
        <s v="XZFL-FDJTD-20230601-00032-0001      "/>
        <s v="XZFL-FDJTD-20230601-00033-0001      "/>
        <s v="XZFL-FDJTD-20230707-00001-0001      "/>
        <s v="WHYQY-FDJTD-20230703-00003-0001     "/>
        <s v="WHSK-FDJTD-BI-20230630-90041-0001   "/>
        <s v="WHTS-FDJTD-20230703-00001-0001      "/>
        <s v="WHTS-FDJTD-BI-20230701-61311-0001   "/>
        <s v="XJHLW-FDJTD-20230704-00002-0001     "/>
        <s v="XJHLW-FDJTD-20230704-00003-0001     "/>
        <s v="XZFL-FDJTD-20230627-00001-0001      "/>
        <s v="XZFL-FDJTD-20230621-00001-0001      "/>
        <s v="XZFL-FDJTD-20230621-00003-0001      "/>
        <s v="XZFL-FDJTD-20230628-00001-0001      "/>
        <s v="XZFL-FDJTD-20230630-00001-0001      "/>
        <s v="XZFL-FDJTD-20230628-00002-0001      "/>
        <s v="XZFL-FDJTD-20230703-00010-0001      "/>
        <s v="XZFL-FDJTD-20230704-00005-0001      "/>
        <s v="XZFL-FDJTD-20230703-00017-0001      "/>
        <s v="XZFL-FDJTD-20230703-00013-0001      "/>
        <s v="XZFL-FDJTD-20230704-00001-0001      "/>
        <s v="XZFL-FDJTD-20230703-00014-0001      "/>
        <s v="XZFL-FDJTD-20230704-00004-0001      "/>
        <s v="XZFL-FDJTD-20230703-00015-0001      "/>
        <s v="XZFL-FDJTD-20230704-00016-0001      "/>
        <s v="XZFL-FDJTD-20230704-00015-0001      "/>
        <s v="XZFL-FDJTD-20230704-00013-0001      "/>
        <s v="XZFL-FDJTD-20230704-00014-0001      "/>
        <s v="XZFL-FDJTD-BI-20230630-00083-0001   "/>
        <s v="XZFL-FDJTD-BI-20230621-20900-0001   "/>
        <s v="XZFL-FDJTD-20230704-00025-0001      "/>
        <s v="XZFL-FDJTD-20230705-00001-0001      "/>
        <s v="XZFL-FDJTD-20230704-00019-0001      "/>
        <s v="XZFL-FDJTD-BI-20230621-20883-0001   "/>
        <s v="XZFL-FDJTD-20230704-00022-0001      "/>
        <s v="XZFL-FDJTD-BI-20230701-21336-0001   "/>
        <s v="XZFL-FDJTD-BI-20230701-21327-0002   "/>
        <s v="XZFL-FDJTD-BI-20230630-41241-0001   "/>
        <s v="XZFL-FDJTD-BI-20230630-10340-0001   "/>
        <s v="XZFL-FDJTD-BI-20230701-21325-0001   "/>
        <s v="XZFL-FDJTD-BI-20230630-41108-0001   "/>
        <s v="XZFL-FDJTD-BI-20230701-21326-0001   "/>
        <s v="XZFL-FDJTD-BI-20230630-41153-0001   "/>
        <s v="XZFL-FDJTD-BI-20230701-61330-0001   "/>
        <s v="XZFL-FDJTD-BI-20230701-61329-0001   "/>
        <s v="XZFL-FDJTD-BI-20230701-61287-0001   "/>
        <s v="XZFL-FDJTD-BI-20230701-21336-0003   "/>
        <s v="XZFL-FDJTD-BI-20230701-61288-0001   "/>
        <s v="XZFL-FDJTD-BI-20230701-21336-0004   "/>
        <s v="XZFL-FDJTD-BI-20230701-61324-0001   "/>
        <s v="XZFL-FDJTD-BI-20230701-21337-0001   "/>
        <s v="XZFL-FDJTD-BI-20230701-61335-0002   "/>
        <s v="XZFL-FDJTD-BI-20230701-61332-0001   "/>
        <s v="XZFL-FDJTD-BI-20230701-61338-0001   "/>
        <s v="XZFL-FDJTD-BI-20230701-61332-0002   "/>
        <s v="XZFL-FDJTD-BI-20230701-61340-0001   "/>
        <s v="XZFL-FDJTD-BI-20230701-61333-0001   "/>
        <s v="KSYQW-FDJTD-BI-20230701-61308-0002  "/>
        <s v="KSYQW-FDJTD-BI-20230701-21309-0001  "/>
        <s v="KSYQW-FDJTD-20230704-00001-0001     "/>
        <s v="KSYQW-FDJTD-20230704-00003-0001     "/>
        <s v="WHFL-FDJTD-20230629-00001-0001      "/>
        <s v="KSYQW-FDJTD-BI-20230701-61308-0003  "/>
        <s v="KSYQW-FDJTD-BI-20230701-61308-0004  "/>
        <s v="KSYQW-FDJTD-BI-20230701-61308-0005  "/>
        <s v="WHFL-FDJTD-20230703-00011-0001      "/>
        <s v="WHFL-FDJTD-20230703-00010-0001      "/>
        <s v="WHFL-FDJTD-20230703-00009-0001      "/>
        <s v="WHFL-FDJTD-20230704-00003-0001      "/>
        <s v="WHFL-FDJTD-20230704-00004-0001      "/>
        <s v="WHFL-FDJTD-20230704-00019-0001      "/>
        <s v="WHFL-FDJTD-20230704-00020-0001      "/>
        <s v="WHFL-FDJTD-BI-20230701-21310-0001   "/>
        <s v="WHFL-FDJTD-BI-20230630-00266-0001   "/>
        <s v="WHFL-FDJTD-BI-20230701-61318-0001   "/>
        <s v="WHFL-FDJTD-BI-20230701-61317-0001   "/>
        <s v="WHFL-FDJTD-BI-20230701-61272-0002   "/>
        <s v="WHFL-FDJTD-BI-20230701-21312-0001   "/>
        <s v="WHFL-FDJTD-BI-20230701-61315-0002   "/>
        <s v="WHFL-FDJTD-BI-20230701-21316-0001   "/>
        <s v="WHFL-FDJTD-BI-20230701-61315-0003   "/>
        <s v="WHFL-FDJTD-BI-20230701-61272-0001   "/>
        <s v="WHFL-FDJTD-BI-20230701-61323-0001   "/>
        <s v="WHFL-FDJTD-BI-20230701-61342-0001   "/>
        <s v="WHFL-FDJTD-BI-20230701-61344-0001   "/>
        <s v="WHLS-FDJTD-BI-20230701-61322-0001   "/>
        <s v="WHLS-FDJTD-BI-20230701-21319-0002   "/>
        <s v="WHLS-FDJTD-20230703-00007-0001      "/>
        <s v="WHLS-FDJTD-BI-20230701-61320-0001   "/>
        <s v="WHLS-FDJTD-20230703-00008-0001      "/>
        <s v="WHLS-FDJTD-BI-20230701-61321-0001   "/>
        <s v="JXFL-FDJTD-20230704-00001-0001      "/>
        <s v="XZFL-FDJTD-20230706-00001-0001      "/>
        <s v="WHFL-FDJTD-20230724-00001-0001      "/>
        <s v="WHFL-FDJTD-20230801-00018-0001      "/>
        <s v="WHFL-FDJTD-20230801-00010-0001      "/>
        <s v="WHFL-FDJTD-20230801-00017-0001      "/>
        <s v="WHFL-FDJTD-20230802-00005-0001      "/>
        <s v="WHFL-FDJTD-20230802-00001-0001      "/>
        <s v="WHFL-FDJTD-20230802-00004-0001      "/>
        <s v="WHFL-FDJTD-BI-20230801-21258-0001   "/>
        <s v="WHFL-FDJTD-BI-20230727-80157-0001   "/>
        <s v="WHFL-FDJTD-BI-20230727-90376-0001   "/>
        <s v="WHFL-FDJTD-BI-20230727-90501-0001   "/>
        <s v="WHFL-FDJTD-20230802-00013-0001      "/>
        <s v="WHFL-FDJTD-BI-20230801-21256-0001   "/>
        <s v="WHFL-FDJTD-BI-20230801-81262-0001   "/>
        <s v="WHFL-FDJTD-BI-20230801-21261-0001   "/>
        <s v="WHFL-FDJTD-BI-20230801-81267-0001   "/>
        <s v="WHFL-FDJTD-BI-20230801-81260-0002   "/>
        <s v="WHFL-FDJTD-BI-20230801-81288-0001   "/>
        <s v="WHFL-FDJTD-BI-20230801-81260-0003   "/>
        <s v="WHFL-FDJTD-BI-20230801-81290-0001   "/>
        <s v="WHLS-FDJTD-20230717-00001-0001      "/>
        <s v="WHLS-FDJTD-20230717-00003-0001      "/>
        <s v="WHLS-FDJTD-20230711-00001-0001      "/>
        <s v="WHLS-FDJTD-20230801-00004-0001      "/>
        <s v="WHLS-FDJTD-20230801-00005-0001      "/>
        <s v="WHLS-FDJTD-20230801-00003-0001      "/>
        <s v="WHTS-FDJTD-BI-20230801-81257-0001   "/>
        <s v="WHLS-FDJTD-BI-20230801-81266-0001   "/>
        <s v="WHLS-FDJTD-BI-20230801-21263-0002   "/>
        <s v="WHLS-FDJTD-BI-20230801-81264-0001   "/>
        <s v="WHSK-FDJTD-BI-20230731-61245-0001   "/>
        <s v="WHLS-FDJTD-BI-20230801-81265-0001   "/>
        <s v="WHTS-FDJTD-20230801-00001-0001      "/>
        <s v="XJHLW-FDJTD-20230801-00001-0001     "/>
        <s v="WHYQY-FDJTD-20230801-00001-0001     "/>
        <s v="XJHLW-FDJTD-20230721-00001-0001     "/>
        <s v="XJHLW-FDJTD-20230721-00002-0001     "/>
        <s v="XJHLW-FDJTD-20230801-00002-0001     "/>
        <s v="XZFL-FDJTD-20230711-00002-0001      "/>
        <s v="XZFL-FDJTD-20230713-00002-0001      "/>
        <s v="XZFL-FDJTD-20230711-00001-0001      "/>
        <s v="XZFL-FDJTD-20230713-00003-0001      "/>
        <s v="XZFL-FDJTD-20230719-00005-0001      "/>
        <s v="XZFL-FDJTD-20230718-00004-0001      "/>
        <s v="XZFL-FDJTD-20230719-00001-0001      "/>
        <s v="XZFL-FDJTD-20230719-00002-0001      "/>
        <s v="XZFL-FDJTD-20230719-00003-0001      "/>
        <s v="XZFL-FDJTD-20230721-00005-0001      "/>
        <s v="XZFL-FDJTD-20230720-00001-0001      "/>
        <s v="XZFL-FDJTD-20230721-00006-0001      "/>
        <s v="XZFL-FDJTD-20230720-00002-0001      "/>
        <s v="XZFL-FDJTD-20230721-00008-0001      "/>
        <s v="XZFL-FDJTD-20230721-00004-0001      "/>
        <s v="XZFL-FDJTD-20230801-00018-0001      "/>
        <s v="XZFL-FDJTD-20230801-00012-0001      "/>
        <s v="XZFL-FDJTD-20230801-00009-0001      "/>
        <s v="XZFL-FDJTD-20230801-00015-0001      "/>
        <s v="XZFL-FDJTD-20230801-00017-0001      "/>
        <s v="XZFL-FDJTD-20230801-00028-0001      "/>
        <s v="XZFL-FDJTD-20230801-00022-0001      "/>
        <s v="XZFL-FDJTD-20230801-00019-0001      "/>
        <s v="XZFL-FDJTD-20230801-00023-0001      "/>
        <s v="XZFL-FDJTD-20230801-00020-0001      "/>
        <s v="XZFL-FDJTD-20230801-00024-0001      "/>
        <s v="XZFL-FDJTD-20230801-00021-0001      "/>
        <s v="XZFL-FDJTD-20230801-00026-0001      "/>
        <s v="XZFL-FDJTD-20230802-00014-0001      "/>
        <s v="XZFL-FDJTD-20230802-00002-0001      "/>
        <s v="XZFL-FDJTD-20230802-00005-0001      "/>
        <s v="XZFL-FDJTD-20230802-00012-0001      "/>
        <s v="XZFL-FDJTD-20230802-00006-0001      "/>
        <s v="XZFL-FDJTD-20230802-00013-0001      "/>
        <s v="XZFL-FDJTD-BI-20230801-21282-0002   "/>
        <s v="XZFL-FDJTD-BI-20230727-00830-0001   "/>
        <s v="XZFL-FDJTD-20230802-00015-0001      "/>
        <s v="XZFL-FDJTD-BI-20230727-90557-0001   "/>
        <s v="XZFL-FDJTD-BI-20230801-21269-0001   "/>
        <s v="XZFL-FDJTD-BI-20230722-20854-0001   "/>
        <s v="XZFL-FDJTD-BI-20230801-21270-0002   "/>
        <s v="XZFL-FDJTD-BI-20230801-71286-0001   "/>
        <s v="XZFL-FDJTD-BI-20230801-71233-0001   "/>
        <s v="XZFL-FDJTD-BI-20230801-21282-0003   "/>
        <s v="XZFL-FDJTD-BI-20230801-71268-0001   "/>
        <s v="XZFL-FDJTD-BI-20230801-21283-0001   "/>
        <s v="XZFL-FDJTD-BI-20230801-71274-0001   "/>
        <s v="XZFL-FDJTD-BI-20230801-21285-0002   "/>
        <s v="XZFL-FDJTD-BI-20230801-71277-0001   "/>
        <s v="XZFL-FDJTD-BI-20230801-81276-0002   "/>
        <s v="XZFL-FDJTD-BI-20230801-81272-0001   "/>
        <s v="XZFL-FDJTD-BI-20230801-81278-0001   "/>
        <s v="XZFL-FDJTD-BI-20230801-81273-0001   "/>
        <s v="XZFL-FDJTD-BI-20230801-81280-0001   "/>
        <s v="XZFL-FDJTD-BI-20230801-81276-0001   "/>
        <s v="XZFL-FDJTD-BI-20230801-81284-0001   "/>
        <s v="KSYQW-FDJTD-20230720-00003-0001     "/>
        <s v="KSYQW-FDJTD-20230720-00002-0001     "/>
        <s v="KSYQW-FDJTD-BI-20230801-81254-0005  "/>
        <s v="KSYQW-FDJTD-BI-20230801-21255-0002  "/>
        <s v="KSYQW-FDJTD-20230801-00001-0001     "/>
        <s v="KSYQW-FDJTD-BI-20230801-81254-0001  "/>
        <s v="KSYQW-FDJTD-20230801-00002-0001     "/>
        <s v="KSYQW-FDJTD-BI-20230801-81254-0003  "/>
        <s v="KSYQW-FDJTD-BI-20230801-81254-0004  "/>
        <s v="WHFL-FDJTD-20230720-00002-0001      "/>
        <s v="LSFL-FDJTD-20230801-00001-0001      "/>
        <s v="WHFL-FDJTD-20230720-00001-0001      "/>
        <s v="JXFL-FDJTD-20230802-00001-0001      "/>
        <s v="XZFL-FDJTD-20230802-00016-0001      "/>
        <s v="XZFL-FDJTD-20230802-00017-0001      "/>
        <s v="XZFL-FDJTD-20230802-00019-0001      "/>
        <s v="HNFL-FDJTD-20230828-00001-0001      "/>
        <s v="KSYQW-FDJTD-BI-20230901-90134-0003  "/>
        <s v="KSYQW-FDJTD-BI-20230901-90134-0004  "/>
        <s v="KSYQW-FDJTD-BI-20230901-21208-0001  "/>
        <s v="KSYQW-FDJTD-BI-20230901-90134-0005  "/>
        <s v="KSYQW-FDJTD-BI-20230901-90134-0002  "/>
        <s v="WHFL-FDJTD-20230828-00004-0001      "/>
        <s v="WHFL-FDJTD-20230901-00019-0001      "/>
        <s v="WHFL-FDJTD-BI-20230901-90055-0001   "/>
        <s v="WHFL-FDJTD-BI-20230901-31215-0001   "/>
        <s v="WHFL-FDJTD-BI-20230804-20094-0001   "/>
        <s v="WHFL-FDJTD-20230901-00022-0001      "/>
        <s v="WHFL-FDJTD-BI-20230901-21209-0001   "/>
        <s v="WHFL-FDJTD-BI-20230901-21212-0001   "/>
        <s v="WHFL-FDJTD-BI-20230901-90168-0001   "/>
        <s v="WHFL-FDJTD-BI-20230901-90139-0002   "/>
        <s v="WHFL-FDJTD-BI-20230901-90171-0001   "/>
        <s v="WHFL-FDJTD-BI-20230901-90141-0001   "/>
        <s v="WHFL-FDJTD-BI-20230901-90147-0001   "/>
        <s v="WHLS-FDJTD-BI-20230901-90146-0001   "/>
        <s v="WHLS-FDJTD-BI-20230901-90145-0001   "/>
        <s v="WHLS-FDJTD-20230901-00004-0001      "/>
        <s v="WHLS-FDJTD-BI-20230901-21216-0002   "/>
        <s v="WHLS-FDJTD-BI-20230901-90144-0001   "/>
        <s v="WHLS-FDJTD-20230901-00003-0001      "/>
        <s v="WHYQY-FDJTD-20230901-00002-0001     "/>
        <s v="WHTS-FDJTD-BI-20230901-90137-0001   "/>
        <s v="WHSK-FDJTD-BI-20230901-90169-0001   "/>
        <s v="WHTS-FDJTD-BI-20230901-90172-0001   "/>
        <s v="WHTS-FDJTD-20230831-00001-0001      "/>
        <s v="WHTS-FDJTD-20230901-00001-0001      "/>
        <s v="XZFL-FDJTD-20230816-00001-0001      "/>
        <s v="XZFL-FDJTD-20230807-00002-0001      "/>
        <s v="XZFL-FDJTD-20230808-00001-0001      "/>
        <s v="XZFL-FDJTD-20230831-00005-0001      "/>
        <s v="XZFL-FDJTD-20230828-00001-0001      "/>
        <s v="XZFL-FDJTD-20230828-00002-0001      "/>
        <s v="XZFL-FDJTD-20230830-00002-0001      "/>
        <s v="XZFL-FDJTD-20230901-00008-0001      "/>
        <s v="XZFL-FDJTD-20230901-00001-0001      "/>
        <s v="XZFL-FDJTD-20230831-00007-0001      "/>
        <s v="XZFL-FDJTD-20230831-00014-0001      "/>
        <s v="XZFL-FDJTD-20230831-00008-0001      "/>
        <s v="XZFL-FDJTD-BI-20230812-20441-0001   "/>
        <s v="XZFL-FDJTD-BI-20230808-20288-0002   "/>
        <s v="XZFL-FDJTD-20230901-00030-0001      "/>
        <s v="XZFL-FDJTD-20230901-00018-0001      "/>
        <s v="XZFL-FDJTD-20230901-00031-0001      "/>
        <s v="XZFL-FDJTD-20230901-00020-0001      "/>
        <s v="XZFL-FDJTD-20230901-00033-0001      "/>
        <s v="XZFL-FDJTD-20230901-00026-0001      "/>
        <s v="XZFL-FDJTD-BI-20230901-21234-0001   "/>
        <s v="XZFL-FDJTD-BI-20230901-21233-0003   "/>
        <s v="XZFL-FDJTD-BI-20230901-21222-0001   "/>
        <s v="XZFL-FDJTD-BI-20230901-10569-0001   "/>
        <s v="XZFL-FDJTD-BI-20230901-21223-0002   "/>
        <s v="XZFL-FDJTD-BI-20230901-20950-0001   "/>
        <s v="XZFL-FDJTD-BI-20230901-21233-0002   "/>
        <s v="XZFL-FDJTD-BI-20230901-21221-0001   "/>
        <s v="XZFL-FDJTD-BI-20230901-90157-0001   "/>
        <s v="XZFL-FDJTD-BI-20230901-90154-0001   "/>
        <s v="XZFL-FDJTD-BI-20230901-90114-0001   "/>
        <s v="XZFL-FDJTD-BI-20230901-31185-0001   "/>
        <s v="XZFL-FDJTD-BI-20230901-90121-0001   "/>
        <s v="XZFL-FDJTD-BI-20230901-90105-0001   "/>
        <s v="XZFL-FDJTD-BI-20230901-90153-0001   "/>
        <s v="XZFL-FDJTD-BI-20230901-90113-0001   "/>
        <s v="XZFL-FDJTD-BI-20230901-90164-0001   "/>
        <s v="XZFL-FDJTD-BI-20230901-90157-0002   "/>
        <s v="XZFL-FDJTD-BI-20230901-90160-0001   "/>
        <s v="XZFL-FDJTD-BI-20230901-90162-0001   "/>
        <s v="XZFL-FDJTD-20230907-00003-0001      "/>
        <s v="XJHLW-FDJTD-20230901-00004-0001     "/>
        <s v="XJHLW-FDJTD-20230901-00003-0001     "/>
        <s v="WHTS-FDJTD-20230904-00001-0001      "/>
        <s v="KSYQW-FDJTD-20230901-00002-0001     "/>
        <s v="KSYQW-FDJTD-20230904-00001-0001     "/>
        <s v="KSYQW-FDJTD-20230901-00001-0001     "/>
        <s v="WHFL-FDJTD-20230901-00027-0001      "/>
        <s v="WHFL-FDJTD-20230901-00026-0001      "/>
        <s v="WHFL-FDJTD-20230904-00002-0001      "/>
        <s v="WHFL-FDJTD-20230904-00001-0001      "/>
        <s v="WHFL-FDJTD-20230901-00032-0001      "/>
        <s v="WHFL-FDJTD-20230901-00033-0001      "/>
        <s v="WHFL-FDJTD-20230904-00003-0001      "/>
        <s v="WHFL-FDJTD-20230904-00005-0001      "/>
        <s v="WHTS-FDJTD-20230831-00002-0001      "/>
        <s v="XZFL-FDJTD-20230901-00014-0001      "/>
        <s v="XZFL-FDJTD-20230901-00013-0001      "/>
        <s v="XZFL-FDJTD-20230901-00034-0001      "/>
        <s v="XZFL-FDJTD-20230901-00024-0001      "/>
        <s v="XZFL-FDJTD-20230901-00023-0001      "/>
        <s v="XZFL-FDJTD-20230904-00004-0001      "/>
        <s v="XZFL-FDJTD-20230901-00035-0001      "/>
        <s v="XZFL-FDJTD-20230904-00007-0001      "/>
        <s v="XZFL-FDJTD-20230901-00037-0001      "/>
        <s v="XZFL-FDJTD-20230904-00008-0001      "/>
        <s v="XZFL-FDJTD-20230904-00001-0001      "/>
        <s v="JXFL-FDJTD-20230904-00002-0001      "/>
        <s v="JXFL-FDJTD-20230904-00006-0001      "/>
        <s v="WHFL-FDJTD-20230905-00001-0001      "/>
        <s v="XZFL-FDJTD-20230904-00009-0001      "/>
        <s v="XZFL-FDJTD-20230905-00001-0001      "/>
        <s v="XZFL-FDJTD-20230906-00001-0001      "/>
        <s v="XJHLW-FDJTD-20231007-00002"/>
        <s v="WHYQY-FDJTD-20231008-00001"/>
        <s v="XJHLW-FDJTD-20231007-00003"/>
        <s v="WHTS-FDJTD-20231007-00001"/>
        <s v="WHFL-FDJTD-20230924-00001"/>
        <s v="WHFL-FDJTD-20231007-00010"/>
        <s v="WHFL-FDJTD-20231007-00016"/>
        <s v="WHFL-FDJTD-20231007-00024"/>
        <s v="WHFL-FDJTD-20231007-00026"/>
        <s v="WHFL-FDJTD-20231007-00027"/>
        <s v="WHFL-FDJTD-20231007-00023"/>
        <s v="WHFL-FDJTD-20231008-00009"/>
        <s v="WHFL-FDJTD-20231008-00008"/>
        <s v="WHFL-FDJTD-20231008-00007"/>
        <s v="WHFL-FDJTD-20231008-00003"/>
        <s v="WHLS-FDJTD-20231007-00003"/>
        <s v="JXFL-FDJTD-20231007-00001"/>
        <s v="JXFL-FDJTD-20231007-00005"/>
        <s v="LSFL-FDJTD-20231008-00001"/>
        <s v="KSYQW-FDJTD-20231007-00001"/>
        <s v="KSYQW-FDJTD-20231007-00002"/>
        <s v="XZFL-FDJTD-20230907-00002"/>
        <s v="XZFL-FDJTD-20230907-00001"/>
        <s v="XZFL-FDJTD-20230908-00002"/>
        <s v="XZFL-FDJTD-20230922-00002"/>
        <s v="XZFL-FDJTD-20230922-00001"/>
        <s v="XZFL-FDJTD-20230919-00001"/>
        <s v="XZFL-FDJTD-20230920-00001"/>
        <s v="XZFL-FDJTD-20230921-00001"/>
        <s v="XZFL-FDJTD-20230927-00001"/>
        <s v="XZFL-FDJTD-20230925-00002"/>
        <s v="XZFL-FDJTD-20231007-00007"/>
        <s v="XZFL-FDJTD-20231007-00003"/>
        <s v="XZFL-FDJTD-20231007-00005"/>
        <s v="XZFL-FDJTD-20231007-00001"/>
        <s v="XZFL-FDJTD-20231007-00017"/>
        <s v="XZFL-FDJTD-20231007-00016"/>
        <s v="XZFL-FDJTD-20231007-00008"/>
        <s v="XZFL-FDJTD-20231007-00014"/>
        <s v="XZFL-FDJTD-20231007-00015"/>
        <s v="XZFL-FDJTD-20231007-00026"/>
        <s v="XZFL-FDJTD-20231007-00024"/>
        <s v="XZFL-FDJTD-20231007-00021"/>
        <s v="XZFL-FDJTD-20231007-00018"/>
        <s v="XZFL-FDJTD-20231007-00022"/>
        <s v="XZFL-FDJTD-20231007-00019"/>
        <s v="XZFL-FDJTD-20231007-00023"/>
        <s v="XZFL-FDJTD-20231007-00020"/>
        <s v="XZFL-FDJTD-20231008-00003"/>
        <s v="XZFL-FDJTD-20231007-00027"/>
        <s v="XZFL-FDJTD-20231008-00004"/>
        <s v="XZFL-FDJTD-20231007-00029"/>
        <s v="XZFL-FDJTD-20231008-00001"/>
        <s v="XZFL-FDJTD-20231009-00002"/>
        <s v="XZFL-FDJTD-20231107-00004-0001      "/>
        <s v="XZFL-FDJTD-20231107-00005-0001      "/>
        <s v="XZFL-FDJTD-20231102-00002-0001      "/>
        <s v="XZFL-FDJTD-20231101-00023-0001      "/>
        <s v="XZFL-FDJTD-20231101-00020-0001      "/>
        <s v="XZFL-FDJTD-20231101-00025-0001      "/>
        <s v="XZFL-FDJTD-20231101-00021-0001      "/>
        <s v="XZFL-FDJTD-20231101-00026-0001      "/>
        <s v="XZFL-FDJTD-20231101-00022-0001      "/>
        <s v="XZFL-FDJTD-20231102-00001-0001      "/>
        <s v="XZFL-FDJTD-BI-20231101-21136-0001   "/>
        <s v="XZFL-FDJTD-20231102-00004-0001      "/>
        <s v="XZFL-FDJTD-20231102-00009-0001      "/>
        <s v="XZFL-FDJTD-20231102-00006-0001      "/>
        <s v="XZFL-FDJTD-BI-20231030-00907-0001   "/>
        <s v="XZFL-FDJTD-20231102-00007-0001      "/>
        <s v="XZFL-FDJTD-BI-20231030-90427-0001   "/>
        <s v="XZFL-FDJTD-BI-20231101-61097-0001   "/>
        <s v="XZFL-FDJTD-BI-20231101-21149-0002   "/>
        <s v="XZFL-FDJTD-BI-20231101-21137-0001   "/>
        <s v="XZFL-FDJTD-BI-20231101-21151-0001   "/>
        <s v="XZFL-FDJTD-BI-20231101-21138-0001   "/>
        <s v="XZFL-FDJTD-BI-20231101-21151-0002   "/>
        <s v="XZFL-FDJTD-BI-20231101-21139-0002   "/>
        <s v="XZFL-FDJTD-BI-20231101-21153-0002   "/>
        <s v="XZFL-FDJTD-BI-20231101-61148-0001   "/>
        <s v="XZFL-FDJTD-BI-20231101-61143-0001   "/>
        <s v="XZFL-FDJTD-BI-20231101-61106-0001   "/>
        <s v="XZFL-FDJTD-BI-20231101-61145-0001   "/>
        <s v="XZFL-FDJTD-BI-20231101-61141-0001   "/>
        <s v="XZFL-FDJTD-BI-20231101-61145-0002   "/>
        <s v="XZFL-FDJTD-BI-20231101-61142-0001   "/>
        <s v="XZFL-FDJTD-BI-20231101-61146-0001   "/>
        <s v="XZFL-FDJTD-BI-20231101-61152-0001   "/>
        <s v="XZFL-FDJTD-BI-20231101-61154-0001   "/>
        <s v="KSYQW-FDJTD-20231030-00001-0001     "/>
        <s v="JXFL-FDJTD-20231102-00001-0001      "/>
        <s v="KSYQW-FDJTD-BI-20231101-21124-0001  "/>
        <s v="KSYQW-FDJTD-20231101-00001-0001     "/>
        <s v="KSYQW-FDJTD-BI-20231101-61123-0002  "/>
        <s v="KSYQW-FDJTD-20231101-00002-0001     "/>
        <s v="KSYQW-FDJTD-BI-20231101-61123-0003  "/>
        <s v="KSYQW-FDJTD-BI-20231101-61123-0004  "/>
        <s v="WHFL-FDJTD-20231030-00004-0001      "/>
        <s v="WHFL-FDJTD-20231101-00005-0001      "/>
        <s v="WHFL-FDJTD-20231101-00001-0001      "/>
        <s v="WHFL-FDJTD-20231101-00020-0001      "/>
        <s v="WHFL-FDJTD-20231101-00013-0001      "/>
        <s v="WHFL-FDJTD-20231101-00019-0001      "/>
        <s v="WHFL-FDJTD-20231102-00004-0001      "/>
        <s v="WHFL-FDJTD-20231102-00006-0001      "/>
        <s v="WHFL-FDJTD-20231102-00003-0001      "/>
        <s v="WHFL-FDJTD-BI-20231030-80032-0001   "/>
        <s v="WHFL-FDJTD-BI-20231101-61159-0001   "/>
        <s v="WHFL-FDJTD-BI-20231101-61128-0002   "/>
        <s v="WHFL-FDJTD-BI-20231030-90548-0001   "/>
        <s v="WHFL-FDJTD-BI-20231101-61130-0001   "/>
        <s v="WHFL-FDJTD-BI-20231101-21125-0001   "/>
        <s v="WHFL-FDJTD-BI-20231101-61135-0001   "/>
        <s v="WHFL-FDJTD-BI-20231101-21129-0001   "/>
        <s v="WHFL-FDJTD-BI-20231101-61156-0001   "/>
        <s v="WHFL-FDJTD-BI-20231101-61160-0001   "/>
        <s v="WHLS-FDJTD-20231024-00001-0001      "/>
        <s v="WHLS-FDJTD-BI-20231101-61132-0001   "/>
        <s v="WHLS-FDJTD-BI-20231101-21131-0002   "/>
        <s v="WHTS-FDJTD-BI-20231101-61126-0001   "/>
        <s v="WHSK-FDJTD-BI-20231101-61157-0001   "/>
        <s v="WHLS-FDJTD-BI-20231101-61133-0001   "/>
        <s v="WHLS-FDJTD-BI-20231101-61134-0001   "/>
        <s v="WHTS-FDJTD-20231101-00001-0001      "/>
        <s v="WHYQY-FDJTD-20231101-00002-0001     "/>
        <s v="XJHLW-FDJTD-20231101-00002-0001     "/>
        <s v="XJHLW-FDJTD-20231030-00001-0001     "/>
        <s v="XJHLW-FDJTD-20231101-00003-0001     "/>
        <s v="XJHLW-FDJTD-20231030-00002-0001     "/>
        <s v="XZFL-FDJTD-20231024-00001-0001      "/>
        <s v="XZFL-FDJTD-20231020-00001-0001      "/>
        <s v="XZFL-FDJTD-20231030-00002-0001      "/>
        <s v="XZFL-FDJTD-20231026-00001-0001      "/>
        <s v="XZFL-FDJTD-20231027-00002-0001      "/>
        <s v="XZFL-FDJTD-20231027-00003-0001      "/>
        <s v="XZFL-FDJTD-20231030-00001-0001      "/>
        <s v="XZFL-FDJTD-20231101-00019-0001      "/>
        <s v="XZFL-FDJTD-20231101-00009-0001      "/>
        <s v="XZFL-FDJTD-20231101-00016-0001      "/>
        <s v="XZFL-FDJTD-20231101-00011-0001      "/>
        <s v="XZFL-FDJTD-20231101-00017-0001      "/>
        <s v="XZFL-FDJTD-20231103-00005-0001      "/>
        <s v="XZFL-FDJTD-20231103-00001-0001      "/>
        <s v="XZFL-FDJTD-20231103-00002-0001      "/>
        <s v="XZFL-FDJTD-20231102-00015-0001      "/>
        <s v="XZFL-FDJTD-20231103-00003-0001      "/>
        <s v="XZFL-FDJTD-20231102-00016-0001      "/>
        <s v="XZFL-FDJTD-20231103-00004-0001      "/>
        <s v="XZFL-FDJTD-20231103-00006-0001      "/>
        <s v="XZFL-FDJTD-20231103-00008-0001      "/>
        <s v="XZFL-FDJTD-20231103-00009-0001      "/>
        <s v="WHTS-FDJTD-20231103-00001-0001      "/>
        <s v="KSYQW-FDJTD-BI-20231201-61157-0002  "/>
        <s v="JXFL-FDJTD-20231201-00007-0001      "/>
        <s v="KSYQW-FDJTD-BI-20231201-21158-0001  "/>
        <s v="WHFL-FDJTD-20231109-00003-0001      "/>
        <s v="KSYQW-FDJTD-BI-20231201-61157-0003  "/>
        <s v="WHFL-FDJTD-20231115-00001-0001      "/>
        <s v="KSYQW-FDJTD-BI-20231201-61157-0004  "/>
        <s v="WHFL-FDJTD-20231201-00005-0001      "/>
        <s v="WHFL-FDJTD-20231201-00012-0001      "/>
        <s v="WHFL-FDJTD-20231201-00018-0001      "/>
        <s v="WHFL-FDJTD-BI-20231201-21159-0001   "/>
        <s v="WHFL-FDJTD-20231201-00025-0001      "/>
        <s v="WHFL-FDJTD-BI-20231129-50342-0001   "/>
        <s v="WHFL-FDJTD-BI-20231129-60804-0001   "/>
        <s v="WHFL-FDJTD-BI-20231130-61090-0001   "/>
        <s v="WHFL-FDJTD-BI-20231201-61185-0001   "/>
        <s v="WHFL-FDJTD-BI-20231201-21163-0001   "/>
        <s v="WHFL-FDJTD-BI-20231201-61187-0001   "/>
        <s v="WHFL-FDJTD-BI-20231201-61162-0002   "/>
        <s v="WHFL-FDJTD-BI-20231201-61167-0001   "/>
        <s v="WHLS-FDJTD-BI-20231201-61166-0001   "/>
        <s v="WHLS-FDJTD-BI-20231115-20568-0002   "/>
        <s v="WHLS-FDJTD-20231201-00001-0001      "/>
        <s v="WHLS-FDJTD-BI-20231116-20606-0002   "/>
        <s v="WHLS-FDJTD-BI-20231201-61164-0001   "/>
        <s v="WHLS-FDJTD-BI-20231201-61165-0001   "/>
        <s v="WHTS-FDJTD-20231201-00003-0001      "/>
        <s v="WHTS-FDJTD-BI-20231129-71041-0001   "/>
        <s v="WHSK-FDJTD-BI-20231130-61150-0001   "/>
        <s v="WHTS-FDJTD-BI-20231201-61160-0001   "/>
        <s v="XJHLW-FDJTD-20231201-00009-0001     "/>
        <s v="WHYQY-FDJTD-20231201-00002-0001     "/>
        <s v="XZFL-FDJTD-20231113-00001-0001      "/>
        <s v="XZFL-FDJTD-20231128-00002-0001      "/>
        <s v="XZFL-FDJTD-20231116-00004-0001      "/>
        <s v="XZFL-FDJTD-20231128-00001-0001      "/>
        <s v="XZFL-FDJTD-20231129-00007-0001      "/>
        <s v="XZFL-FDJTD-20231129-00001-0001      "/>
        <s v="XZFL-FDJTD-20231129-00008-0001      "/>
        <s v="XZFL-FDJTD-20231129-00003-0001      "/>
        <s v="XZFL-FDJTD-20231129-00005-0001      "/>
        <s v="XZFL-FDJTD-20231201-00017-0001      "/>
        <s v="XZFL-FDJTD-20231201-00018-0001      "/>
        <s v="XZFL-FDJTD-20231201-00015-0001      "/>
        <s v="XZFL-FDJTD-20231201-00019-0001      "/>
        <s v="XZFL-FDJTD-20231201-00016-0001      "/>
        <s v="XZFL-FDJTD-20231201-00020-0001      "/>
        <s v="XZFL-FDJTD-BI-20231120-20766-0002   "/>
        <s v="XZFL-FDJTD-20231201-00028-0001      "/>
        <s v="XZFL-FDJTD-20231201-00025-0001      "/>
        <s v="XZFL-FDJTD-20231201-00032-0001      "/>
        <s v="XZFL-FDJTD-BI-20231112-20444-0001   "/>
        <s v="XZFL-FDJTD-20231201-00027-0001      "/>
        <s v="XZFL-FDJTD-BI-20231112-20461-0001   "/>
        <s v="XZFL-FDJTD-BI-20231201-21180-0003   "/>
        <s v="XZFL-FDJTD-BI-20231201-21169-0001   "/>
        <s v="XZFL-FDJTD-BI-20231129-40069-0001   "/>
        <s v="XZFL-FDJTD-BI-20231201-21170-0001   "/>
        <s v="XZFL-FDJTD-BI-20231129-60908-0001   "/>
        <s v="XZFL-FDJTD-BI-20231201-21173-0002   "/>
        <s v="XZFL-FDJTD-BI-20231129-70951-0001   "/>
        <s v="XZFL-FDJTD-BI-20231201-21180-0001   "/>
        <s v="XZFL-FDJTD-BI-20231201-61176-0001   "/>
        <s v="XZFL-FDJTD-BI-20231201-61139-0001   "/>
        <s v="XZFL-FDJTD-BI-20231201-21181-0001   "/>
        <s v="XZFL-FDJTD-BI-20231201-61168-0001   "/>
        <s v="XZFL-FDJTD-BI-20231201-21181-0002   "/>
        <s v="XZFL-FDJTD-BI-20231201-61172-0001   "/>
        <s v="XZFL-FDJTD-BI-20231201-61136-0001   "/>
        <s v="XZFL-FDJTD-BI-20231201-61174-0001   "/>
        <s v="XZFL-FDJTD-BI-20231201-61182-0001   "/>
        <s v="XZFL-FDJTD-BI-20231201-61176-0002   "/>
        <s v="XZFL-FDJTD-BI-20231201-61183-0001   "/>
        <s v="XZFL-FDJTD-BI-20231201-61177-0001   "/>
        <s v="XZFL-FDJTD-BI-20231201-61179-0002   "/>
        <s v="WHFL-FDJTD-20231204-00005-0001      "/>
        <s v="WHFL-FDJTD-20231204-00006-0001      "/>
        <s v="WHYQY-FDJTD-20231204-00002-0001     "/>
        <s v="WHYQY-FDJTD-20231201-00004-0001     "/>
        <s v="XJHLW-FDJTD-20231201-00008-0001     "/>
        <s v="WHYQY-FDJTD-20231201-00005-0001     "/>
        <s v="XZFL-FDJTD-20231201-00007-0001      "/>
        <s v="XZFL-FDJTD-20231201-00037-0001      "/>
        <s v="XZFL-FDJTD-20231201-00036-0001      "/>
        <s v="XZFL-FDJTD-20231201-00030-0001      "/>
        <s v="XZFL-FDJTD-20231201-00008-0001      "/>
        <s v="XZFL-FDJTD-20231201-00033-0001      "/>
        <s v="XZFL-FDJTD-20231201-00034-0001      "/>
        <s v="XZFL-FDJTD-20231201-00029-0001      "/>
        <s v="XZFL-FDJTD-20231204-00002-0001      "/>
        <s v="XZFL-FDJTD-20231201-00038-0001      "/>
        <s v="XZFL-FDJTD-20231204-00003-0001      "/>
        <s v="XZFL-FDJTD-20231201-00039-0001      "/>
        <s v="XZFL-FDJTD-20231204-00004-0001      "/>
        <s v="XZFL-FDJTD-20231201-00041-0001      "/>
        <s v="KSYQW-FDJTD-20231201-00002-0001     "/>
        <s v="WHFL-FDJTD-20231201-00024-0001      "/>
        <s v="WHFL-FDJTD-20231201-00003-0001      "/>
        <s v="KSYQW-FDJTD-20231201-00001-0001     "/>
        <s v="WHFL-FDJTD-20231204-00011-0001      "/>
        <s v="WHFL-FDJTD-20231204-00014-0001      "/>
        <s v="XZFL-FDJTD-20231201-00031-0001      "/>
        <s v="WHYQY-FDJTD-20231204-00006-0001     "/>
        <s v="XZFL-FDJTD-20231204-00001-0001      "/>
        <s v="XZFL-FDJTD-20231204-00005-0001      "/>
        <s v="HNFLDYFGS-FDJTD-20231205-00002-0001 "/>
        <s v="XZFL-FDJTD-20231205-00002-0001      "/>
        <s v="LSFL-FDJTD-20231205-00001-0001      "/>
        <s v="LSFL-FDJTD-20231205-00002-0001      "/>
        <s v="WHLS-FDJTD-BI-20231224-30788-0002   "/>
        <s v="WHFL-FDJTD-BI-20240101-51141-0001   "/>
        <s v="WHFL-FDJTD-BI-20240101-21134-0001   "/>
        <s v="WHFL-FDJTD-BI-20240101-51159-0001   "/>
        <s v="WHFL-FDJTD-BI-20240101-21138-0001   "/>
        <s v="WHFL-FDJTD-BI-20240101-51162-0001   "/>
        <s v="WHFL-FDJTD-BI-20240101-51137-0002   "/>
        <s v="WHTS-FDJTD-20231211-00006-0001      "/>
        <s v="WHTS-FDJTD-20231211-00001-0001      "/>
        <s v="WHLS-FDJTD-BI-20240101-51139-0001   "/>
        <s v="WHTS-FDJTD-20231211-00003-0001      "/>
        <s v="WHLS-FDJTD-BI-20240101-51140-0001   "/>
        <s v="WHTS-FDJTD-20231211-00004-0001      "/>
        <s v="WHSK-FDJTD-BI-20240101-51160-0001   "/>
        <s v="WHTS-FDJTD-20231211-00005-0001      "/>
        <s v="WHTS-FDJTD-20231215-00001-0001      "/>
        <s v="WHTS-FDJTD-BI-20240101-51135-0001   "/>
        <s v="KSYQW-FDJTD-BI-20240101-51132-0003  "/>
        <s v="KSYQW-FDJTD-BI-20240101-51132-0004  "/>
        <s v="KSYQW-FDJTD-BI-20240101-21133-0001  "/>
        <s v="LSFL-FDJTD-20231222-00001-0001      "/>
        <s v="KSYQW-FDJTD-BI-20240101-51132-0002  "/>
        <s v="WHFL-FDJTD-20231219-00002-0001      "/>
        <s v="WHFL-FDJTD-20231215-00003-0001      "/>
        <s v="WHFL-FDJTD-BI-20231214-20507-0001   "/>
        <s v="XZFL-FDJTD-20231211-00004-0001      "/>
        <s v="XZFL-FDJTD-20231211-00001-0001      "/>
        <s v="XZFL-FDJTD-20231211-00002-0001      "/>
        <s v="WHYQY-FDJTD-20240102-00001-0001     "/>
        <s v="XZFL-FDJTD-20231211-00003-0001      "/>
        <s v="XZFL-FDJTD-20231215-00003-0001      "/>
        <s v="XZFL-FDJTD-20231211-00005-0001      "/>
        <s v="XZFL-FDJTD-20231211-00006-0001      "/>
        <s v="XZFL-FDJTD-20231215-00001-0001      "/>
        <s v="XZFL-FDJTD-20231212-00001-0001      "/>
        <s v="XZFL-FDJTD-20231215-00002-0001      "/>
        <s v="XZFL-FDJTD-20231222-00003-0001      "/>
        <s v="XZFL-FDJTD-20231221-00001-0001      "/>
        <s v="XZFL-FDJTD-20231222-00001-0001      "/>
        <s v="XZFL-FDJTD-20231222-00002-0001      "/>
        <s v="XZFL-FDJTD-20240102-00013-0001      "/>
        <s v="XZFL-FDJTD-20231222-00004-0001      "/>
        <s v="XZFL-FDJTD-20231225-00003-0001      "/>
        <s v="XZFL-FDJTD-20240102-00012-0001      "/>
        <s v="XZFL-FDJTD-BI-20231231-51079-0001   "/>
        <s v="XZFL-FDJTD-BI-20231230-51043-0001   "/>
        <s v="XZFL-FDJTD-BI-20231228-70251-0001   "/>
        <s v="XZFL-FDJTD-BI-20231231-21120-0001   "/>
        <s v="XZFL-FDJTD-BI-20231228-90614-0001   "/>
        <s v="XZFL-FDJTD-BI-20231231-21120-0002   "/>
        <s v="XZFL-FDJTD-BI-20231229-50998-0001   "/>
        <s v="XZFL-FDJTD-BI-20231231-21120-0003   "/>
        <s v="XZFL-FDJTD-BI-20240101-51148-0001   "/>
        <s v="XZFL-FDJTD-BI-20240101-21147-0002   "/>
        <s v="XZFL-FDJTD-BI-20240101-21142-0001   "/>
        <s v="XZFL-FDJTD-BI-20240101-21155-0002   "/>
        <s v="XZFL-FDJTD-BI-20240101-21143-0001   "/>
        <s v="XZFL-FDJTD-BI-20240101-21155-0003   "/>
        <s v="XZFL-FDJTD-BI-20240101-21144-0001   "/>
        <s v="XZFL-FDJTD-BI-20240101-51146-0001   "/>
        <s v="XZFL-FDJTD-BI-20240101-51153-0001   "/>
        <s v="XZFL-FDJTD-BI-20240101-51150-0001   "/>
        <s v="XZFL-FDJTD-BI-20240101-51156-0001   "/>
        <s v="XZFL-FDJTD-BI-20240101-51150-0002   "/>
        <s v="XZFL-FDJTD-BI-20240101-51157-0001   "/>
        <s v="XZFL-FDJTD-BI-20240101-51151-0001   "/>
        <s v="WHYQY-FDJTD-20240109-00001-0001     "/>
        <s v="WHFL-FDJTD-20240110-00001-0001      "/>
        <s v="HNFLDYFGS-FDJTD-20240104-00001-0001 "/>
        <s v="LSFL-FDJTD-20240104-00001-0001      "/>
        <s v="KSYQW-FDJTD-20240103-00003-0001     "/>
        <s v="HNFLDYFGS-FDJTD-20240104-00003-0001 "/>
        <s v="KSYQW-FDJTD-20240103-00005-0001     "/>
        <s v="JXFL-FDJTD-20240104-00001-0001      "/>
        <s v="KSYQW-FDJTD-20240103-00002-0001     "/>
        <s v="WHFL-FDJTD-20240103-00026-0001      "/>
        <s v="WHFL-FDJTD-20240103-00001-0001      "/>
        <s v="WHFL-FDJTD-20240103-00023-0001      "/>
        <s v="WHFL-FDJTD-20240103-00005-0001      "/>
        <s v="WHFL-FDJTD-20240103-00024-0001      "/>
        <s v="WHFL-FDJTD-20240104-00004-0001      "/>
        <s v="WHTS-FDJTD-20240104-00001-0001      "/>
        <s v="WHLS-FDJTD-20240103-00007-0001      "/>
        <s v="XJHLW-FDJTD-20240103-00015-0001     "/>
        <s v="XZFL-FDJTD-20240103-00020-0001      "/>
        <s v="XJHLW-FDJTD-20240103-00012-0001     "/>
        <s v="XZFL-FDJTD-20240103-00021-0001      "/>
        <s v="XJHLW-FDJTD-20240103-00013-0001     "/>
        <s v="XZFL-FDJTD-20240104-00007-0001      "/>
        <s v="XZFL-FDJTD-20240104-00003-0001      "/>
        <s v="XZFL-FDJTD-20240104-00008-0001      "/>
        <s v="XZFL-FDJTD-20240104-00005-0001      "/>
        <s v="XZFL-FDJTD-20240104-00006-0001      "/>
        <s v="XZFL-FDJTD-20240104-00015-0001      "/>
        <s v="KSYQW-FDJTD-20240104-00002-0001     "/>
        <s v="XZFL-FDJTD-20240104-00013-0001      "/>
        <s v="XJHLW-FDJTD-20240104-00001-0001     "/>
        <s v="WHYQY-FDJTD-20240105-00003-0001     "/>
        <s v="XCSY-FDJTD-20240105-00004-0001      "/>
        <s v="XZFL-FDJTD-20240105-00007-0001      "/>
        <s v="XZFL-FDJTD-20240105-00004-0001      "/>
        <s v="XZFL-FDJTD-20240105-00001-0001      "/>
        <s v="XZFL-FDJTD-20240104-00017-0001      "/>
        <s v="XZFL-FDJTD-20240105-00002-0001      "/>
        <s v="XZFL-FDJTD-20240104-00018-0001      "/>
        <s v="XZFL-FDJTD-20240105-00003-0001      "/>
        <s v="XZFL-FDJTD-20240108-00001-0001      "/>
        <s v="XZFL-FDJTD-20240108-00002-0001      "/>
        <s v="XZFL-FDJTD-20240105-00010-0001      "/>
        <s v="WHFL-FDJTD-20240105-00001-0001      "/>
        <s v="XZFL-FDJTD-20240105-00005-0001      "/>
        <s v="XZFL-FDJTD-20240105-00006-0001      "/>
        <s v="WHFL-FDJTD-20240104-00018-0001      "/>
        <s v="WHFL-FDJTD-20231229-00001-0001      "/>
        <s v="JXFL-FDJTD-20240102-00006-0001      "/>
        <s v="WHFL-FDJTD-20240102-00007-0001      "/>
        <s v="WHFL-FDJTD-20240102-00008-0001      "/>
        <s v="WHFL-FDJTD-20240102-00009-0001      "/>
        <s v="WHFL-FDJTD-20240103-00002-0001      "/>
        <s v="WHLS-FDJTD-20240102-00006-0001      "/>
        <s v="WHLS-FDJTD-20240102-00004-0001      "/>
        <s v="WHLS-FDJTD-20240102-00002-0001      "/>
        <s v="WHLS-FDJTD-20240102-00008-0001      "/>
        <s v="WHTS-FDJTD-20240103-00001-0001      "/>
        <s v="WHYQY-FDJTD-20240102-00005-0001     "/>
        <s v="WHYQY-FDJTD-20240102-00003-0001     "/>
        <s v="XZFL-FDJTD-20240102-00008-0001      "/>
        <s v="XZFL-FDJTD-20240102-00007-0001      "/>
        <s v="XZFL-FDJTD-20240102-00005-0001      "/>
        <s v="XZFL-FDJTD-20240102-00002-0001      "/>
        <s v="XZFL-FDJTD-20240102-00006-0001      "/>
        <s v="XZFL-FDJTD-20240102-00003-0001      "/>
        <s v="XZFL-FDJTD-20240103-00003-0001      "/>
        <s v="XZFL-FDJTD-20240103-00002-0001      "/>
        <s v="XZFL-FDJTD-20240103-00001-0001      "/>
        <s v="XZFL-FDJTD-20240102-00014-0001      "/>
        <s v="XZFL-FDJTD-20240103-00016-0001      "/>
        <s v="XZFL-FDJTD-20240103-00004-0001      "/>
        <s v="XZFL-FDJTD-20240103-00006-0001      "/>
        <s v="XZFL-FDJTD-20240103-00008-0001      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38.9989699074" refreshedBy="wjj" recordCount="1016">
  <cacheSource type="worksheet">
    <worksheetSource ref="A1:N1017" sheet="代运营中间单据23年"/>
  </cacheSource>
  <cacheFields count="14">
    <cacheField name="中间单据状态" numFmtId="0">
      <sharedItems count="5">
        <s v="已生成"/>
        <s v="服务订单"/>
        <s v="金蝶手工"/>
        <s v="手工凭证"/>
        <s v="服务合单"/>
      </sharedItems>
    </cacheField>
    <cacheField name="rebates_date" numFmtId="177">
      <sharedItems containsSemiMixedTypes="0" containsString="0" containsNonDate="0" containsDate="1" minDate="2023-01-31T00:00:00" maxDate="2023-12-31T00:00:00" count="12"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</sharedItems>
    </cacheField>
    <cacheField name="company_name" numFmtId="0">
      <sharedItems count="15">
        <s v="武汉福禄网络科技有限公司"/>
        <s v="喀什一起玩网络科技有限公司"/>
        <s v="武汉立硕科技有限公司"/>
        <s v="新疆葫芦娃网络科技有限公司"/>
        <s v="西藏福禄网络科技有限公司"/>
        <s v="新疆福禄网络科技有限公司"/>
        <s v="武汉搜卡科技有限公司"/>
        <s v="武汉一起游网络科技有限公司"/>
        <s v="武汉亿禄网络科技有限公司"/>
        <s v="江西福禄网络科技有限公司"/>
        <s v="湖北氪金网络科技有限公司"/>
        <s v="福禄福擎网络科技有限公司"/>
        <s v="海南福禄网络科技有限公司"/>
        <s v="武汉福禄传媒有限公司"/>
        <s v="海南福禄网络科技有限公司第一分公司"/>
      </sharedItems>
    </cacheField>
    <cacheField name="center_name" numFmtId="0">
      <sharedItems containsBlank="1" count="17">
        <s v="渠道一线"/>
        <s v="渠道二线"/>
        <s v="渠道三线"/>
        <s v="渠道四线"/>
        <s v="社交电商平台中心"/>
        <s v="业务发展中心（武汉）"/>
        <s v="游戏生态电商中心"/>
        <s v="福禄开放平台"/>
        <m/>
        <s v="业务发展中心（杭州）"/>
        <s v="海外充值平台中心"/>
        <s v="通信中心"/>
        <s v="直播电商中心"/>
        <s v="游戏生态直播电商中心"/>
        <s v="传统电商中心"/>
        <s v="电商中心群"/>
        <s v="客户发展中心群"/>
      </sharedItems>
    </cacheField>
    <cacheField name="order_source" numFmtId="0">
      <sharedItems containsBlank="1" count="7">
        <s v="战娃"/>
        <s v="手工新增"/>
        <s v="ERP合单数据-服务订单"/>
        <s v="金蝶手工"/>
        <s v="手工凭证"/>
        <s v="服务订单"/>
        <m/>
      </sharedItems>
    </cacheField>
    <cacheField name="rebates_type" numFmtId="0">
      <sharedItems containsBlank="1" count="4">
        <s v="返现金"/>
        <m/>
        <s v="手游"/>
        <s v="网娱"/>
      </sharedItems>
    </cacheField>
    <cacheField name="rebates_rules" numFmtId="0">
      <sharedItems count="3">
        <s v="代运营服务"/>
        <s v="代运营服务费"/>
        <s v="代运营成本" u="1"/>
      </sharedItems>
    </cacheField>
    <cacheField name="rebates_cycle" numFmtId="0">
      <sharedItems containsBlank="1" count="4">
        <s v="季返"/>
        <s v="年返"/>
        <s v="月返"/>
        <m/>
      </sharedItems>
    </cacheField>
    <cacheField name="supplier_name" numFmtId="0">
      <sharedItems count="88">
        <s v="北京百度网讯科技有限公司"/>
        <s v="北京卡路里科技有限公司"/>
        <s v="北京智者天下科技有限公司"/>
        <s v="杭州乐读科技有限公司"/>
        <s v="北京大麦文化传媒发展有限公司"/>
        <s v="北京爱奇艺科技有限公司"/>
        <s v="深圳市景秀网络科技有限公司"/>
        <s v="厦门美图网科技有限公司"/>
        <s v="北京度友科技有限公司"/>
        <s v="珠海金山办公软件有限公司"/>
        <s v="优酷信息技术(北京)有限公司"/>
        <s v="中国联合网络通信有限公司福建省分公司"/>
        <s v="中国联合网络通信有限公司江西省分公司"/>
        <s v="北京华思维泰克科技有限公司"/>
        <s v="湖南快乐阳光互动娱乐传媒有限公司"/>
        <s v="上海喜马拉雅科技有限公司"/>
        <s v="深圳市维缇网络科技有限公司"/>
        <s v="雷神武汉网络技术有限公司"/>
        <s v="温州创想网络科技有限公司"/>
        <s v="武汉大博恩科技有限公司"/>
        <s v="深圳市迅雷网络技术有限公司"/>
        <s v="武汉奥拉夫网络科技有限公司"/>
        <s v="同程网络科技股份有限公司"/>
        <s v="厦门享游网络科技有限公司"/>
        <s v="北京金山办公软件股份有限公司"/>
        <s v="武汉海客快冲科技有限公司"/>
        <s v="深圳市博宽网络科技有限公司"/>
        <s v="上海麦克风文化传媒有限公司"/>
        <s v="杭州短趣网络传媒技术有限公司"/>
        <s v="上海酷屏信息技术有限公司"/>
        <s v="雷神(武汉)网络技术有限公司"/>
        <s v="北京微算互联信息技术有限公司"/>
        <s v="睿晟天和(北京)传媒科技有限公司"/>
        <s v="北京八十度文化传媒有限公司"/>
        <s v="北京抖音信息服务有限公司"/>
        <s v="西安爱乐剧院管理有限公司"/>
        <s v="西藏福禄网络科技有限公司"/>
        <s v="山东都市焦点传媒有限公司"/>
        <s v="杭州西典科技有限公司"/>
        <s v="北京儒意景秀网络科技有限公司"/>
        <s v="湖南微算互联信息技术有限公司"/>
        <s v="江西福禄网络科技有限公司"/>
        <s v="优视科技(中国)有限公司"/>
        <s v="中国联合网络通信有限公司南宁市分公司"/>
        <s v="北京朝夕光年信息技术有限公司"/>
        <s v="武汉福禄网络科技有限公司"/>
        <s v="成都超游猫科技有限公司"/>
        <s v="四川征云网络科技有限公司"/>
        <s v="中国联合网络通信有限公司济宁市分公司"/>
        <s v="广州微算互联信息技术有限公司"/>
        <s v="武汉金山办公软件有限公司"/>
        <s v="广州金逸影视传媒股份有限公司"/>
        <s v="杭州交个朋友智慧科技有限公司"/>
        <s v="山东高穗信息科技有限公司"/>
        <s v="长沙雷厉网络科技有限公司"/>
        <s v="武汉一起游网络科技有限公司"/>
        <s v="湖北巨量引擎科技有限公司"/>
        <s v="武汉网贤信息技术有限公司"/>
        <s v="深圳雷霆信息技术有限公司"/>
        <s v="成都俊云科技有限公司"/>
        <s v="北京嘀嘀无限科技发展有限公司"/>
        <s v="上海视杰光学科技有限公司"/>
        <s v="深圳市腾讯计算机系统有限公司"/>
        <s v="江西傲然网络科技有限公司"/>
        <s v="湖北小胡鸭电子商务有限公司"/>
        <s v="博纳电影院线有限公司"/>
        <s v="北京影龙影城管理有限公司"/>
        <s v="武汉菠菠菜数字科技有限公司"/>
        <s v="宁波良品互娱网络科技有限公司"/>
        <s v="成都犇赢互娱科技有限公司"/>
        <s v="深圳游云网络科技有限公司"/>
        <s v="武汉市鱼之星图文化传媒有限公司"/>
        <s v="武汉市华莱士餐饮管理有限公司"/>
        <s v="北京达济文化传媒有限公司"/>
        <s v="四川云时网络科技有限公司"/>
        <s v="北京凯声文化传媒有限责任公司"/>
        <s v="周口灵时云信息技术有限公司"/>
        <s v="艾普科创（湖北）信息科技有限公司"/>
        <s v="蚌埠思旺网络科技有限公司"/>
        <s v="蚌埠莫尔康网络有限公司"/>
        <s v="北京优酷科技有限公司"/>
        <s v="今日头条有限公司"/>
        <s v="北京网易有道计算机系统有限公司"/>
        <s v="武汉竹子传媒有限公司"/>
        <s v="成都巨量引擎信息技术有限公司"/>
        <s v="中影影院投资有限公司"/>
        <s v="艾普科创(湖北)信息科技有限公司"/>
        <s v="河南美树网络科技有限公司"/>
      </sharedItems>
    </cacheField>
    <cacheField name="cooperation_model" numFmtId="0">
      <sharedItems count="3">
        <s v="寄售"/>
        <s v="自营"/>
        <s v="总额"/>
      </sharedItems>
    </cacheField>
    <cacheField name="goods_type" numFmtId="0">
      <sharedItems count="6">
        <s v="网娱"/>
        <s v="卡券"/>
        <s v="网游"/>
        <s v="通信"/>
        <s v="手游"/>
        <s v="生活服务"/>
      </sharedItems>
    </cacheField>
    <cacheField name="taxrate_money" numFmtId="176">
      <sharedItems containsSemiMixedTypes="0" containsString="0" containsNumber="1" minValue="-3645372.89" maxValue="4988000" count="923">
        <n v="643708.9"/>
        <n v="45981.04"/>
        <n v="158004.4"/>
        <n v="297056.16"/>
        <n v="51861.38"/>
        <n v="72323.2"/>
        <n v="225.8"/>
        <n v="68070.29"/>
        <n v="5523.97"/>
        <n v="535546.69"/>
        <n v="-264.36"/>
        <n v="5330.22"/>
        <n v="174.39"/>
        <n v="41687.43"/>
        <n v="273312.23"/>
        <n v="6000.59"/>
        <n v="70665.73"/>
        <n v="3603"/>
        <n v="195808.03"/>
        <n v="53000"/>
        <n v="69624.99"/>
        <n v="13990.52"/>
        <n v="82924.36"/>
        <n v="511173.56"/>
        <n v="540565.41"/>
        <n v="23495.03"/>
        <n v="10942"/>
        <n v="58268.04"/>
        <n v="352341.71"/>
        <n v="-17442.79"/>
        <n v="1640.49"/>
        <n v="2548124.8"/>
        <n v="575193.75"/>
        <n v="-9897.18"/>
        <n v="131687.92"/>
        <n v="32040.94"/>
        <n v="1848"/>
        <n v="51535.56"/>
        <n v="116.22"/>
        <n v="-3645372.89"/>
        <n v="1554.17"/>
        <n v="34500"/>
        <n v="4988000"/>
        <n v="13306.16"/>
        <n v="11444.87"/>
        <n v="4324.85"/>
        <n v="23465.11"/>
        <n v="14079.95"/>
        <n v="25443.45"/>
        <n v="142196.25"/>
        <n v="-24899.91"/>
        <n v="117292.61"/>
        <n v="104003.53"/>
        <n v="50761.22"/>
        <n v="7999.14"/>
        <n v="-41687.43"/>
        <n v="-3603"/>
        <n v="114226.1"/>
        <n v="79740.17"/>
        <n v="-204425.37"/>
        <n v="60000"/>
        <n v="45470.1"/>
        <n v="21200"/>
        <n v="21938.91"/>
        <n v="65248.84"/>
        <n v="-32700"/>
        <n v="47807.11"/>
        <n v="71562.6"/>
        <n v="263.4"/>
        <n v="29212.28"/>
        <n v="7508.54"/>
        <n v="4203.37"/>
        <n v="20972.27"/>
        <n v="202564.54"/>
        <n v="20432.03"/>
        <n v="476530.16"/>
        <n v="376136.32"/>
        <n v="48886.89"/>
        <n v="26960.16"/>
        <n v="111.25"/>
        <n v="289975.59"/>
        <n v="-58.15"/>
        <n v="-11060.81"/>
        <n v="-1214.6"/>
        <n v="22956.62"/>
        <n v="38178.36"/>
        <n v="123676.89"/>
        <n v="138481.54"/>
        <n v="504.32"/>
        <n v="135426.8"/>
        <n v="164313.53"/>
        <n v="24365.89"/>
        <n v="-25932.64"/>
        <n v="25103.86"/>
        <n v="-99.04"/>
        <n v="12355.05"/>
        <n v="393.11"/>
        <n v="27098.89"/>
        <n v="1123.73"/>
        <n v="7157.88"/>
        <n v="17017.55"/>
        <n v="4640.89"/>
        <n v="2268.36"/>
        <n v="54464.62"/>
        <n v="293197.98"/>
        <n v="-420029.18"/>
        <n v="96.45"/>
        <n v="-7374.99"/>
        <n v="168.39"/>
        <n v="53431.39"/>
        <n v="3943"/>
        <n v="7256.15"/>
        <n v="253871.22"/>
        <n v="252002.68"/>
        <n v="307769.31"/>
        <n v="21055"/>
        <n v="2577.35"/>
        <n v="-16882.07"/>
        <n v="71482.08"/>
        <n v="53302.02"/>
        <n v="37520.17"/>
        <n v="113543.95"/>
        <n v="391825.82"/>
        <n v="81742.17"/>
        <n v="2676.65"/>
        <n v="135017.78"/>
        <n v="-11.03"/>
        <n v="69910.2"/>
        <n v="251384"/>
        <n v="322268.56"/>
        <n v="234648.35"/>
        <n v="31800"/>
        <n v="325126.73"/>
        <n v="64231.27"/>
        <n v="24549.2"/>
        <n v="37875.87"/>
        <n v="104646.12"/>
        <n v="57572.9"/>
        <n v="706.2"/>
        <n v="29264.08"/>
        <n v="11661.07"/>
        <n v="108313.4"/>
        <n v="14409.12"/>
        <n v="98378.7"/>
        <n v="208086.2"/>
        <n v="70603"/>
        <n v="643014.47"/>
        <n v="6750.05"/>
        <n v="50908.24"/>
        <n v="138456.05"/>
        <n v="6070.59"/>
        <n v="214358.89"/>
        <n v="351691.33"/>
        <n v="-27538.04"/>
        <n v="76359.42"/>
        <n v="1242.58"/>
        <n v="-7165"/>
        <n v="1317.48"/>
        <n v="18638.5"/>
        <n v="35778.6"/>
        <n v="19770"/>
        <n v="29378.35"/>
        <n v="17789.46"/>
        <n v="32001.5"/>
        <n v="494.58"/>
        <n v="785.54"/>
        <n v="48593.24"/>
        <n v="3242.07"/>
        <n v="2005.78"/>
        <n v="12799.33"/>
        <n v="165657.25"/>
        <n v="97675.31"/>
        <n v="19504"/>
        <n v="58500"/>
        <n v="234815.78"/>
        <n v="4705"/>
        <n v="229.97"/>
        <n v="53869.33"/>
        <n v="-13219.37"/>
        <n v="58918.75"/>
        <n v="68916.01"/>
        <n v="52662.47"/>
        <n v="105000"/>
        <n v="-257388.3"/>
        <n v="79374.91"/>
        <n v="123365.28"/>
        <n v="65155.78"/>
        <n v="46156.65"/>
        <n v="10293.57"/>
        <n v="67873.1"/>
        <n v="14249.24"/>
        <n v="140038.94"/>
        <n v="365515.94"/>
        <n v="6873.47"/>
        <n v="387402"/>
        <n v="-608.58"/>
        <n v="42258.87"/>
        <n v="39627.19"/>
        <n v="157000"/>
        <n v="43684.45"/>
        <n v="44941.64"/>
        <n v="44994.76"/>
        <n v="47366.02"/>
        <n v="1172250"/>
        <n v="49800"/>
        <n v="5152.8"/>
        <n v="140910.29"/>
        <n v="32552.19"/>
        <n v="183.6"/>
        <n v="-752"/>
        <n v="429525.04"/>
        <n v="43179.11"/>
        <n v="12459.85"/>
        <n v="85195.52"/>
        <n v="2143.3"/>
        <n v="769274.04"/>
        <n v="30768.42"/>
        <n v="-1718013.2"/>
        <n v="-53431.26"/>
        <n v="170711.03"/>
        <n v="1600000"/>
        <n v="74187.42"/>
        <n v="15388.89"/>
        <n v="250699.43"/>
        <n v="991033.44"/>
        <n v="11595.15"/>
        <n v="8316.42"/>
        <n v="15042.87"/>
        <n v="123772.58"/>
        <n v="6135.82"/>
        <n v="153914.6"/>
        <n v="1940.42"/>
        <n v="18271.69"/>
        <n v="4945.94"/>
        <n v="78674.49"/>
        <n v="337304.59"/>
        <n v="194591.99"/>
        <n v="-9347.56"/>
        <n v="35069.48"/>
        <n v="50468.53"/>
        <n v="42581.99"/>
        <n v="-49800"/>
        <n v="-47084.53"/>
        <n v="257011.76"/>
        <n v="18020.23"/>
        <n v="-16511.55"/>
        <n v="56754.3"/>
        <n v="44536.18"/>
        <n v="123772.57"/>
        <n v="17237.87"/>
        <n v="333333.33"/>
        <n v="16745.35"/>
        <n v="27675.36"/>
        <n v="-8390"/>
        <n v="34099.43"/>
        <n v="284778.17"/>
        <n v="242004"/>
        <n v="814.26"/>
        <n v="22349.71"/>
        <n v="8061.43"/>
        <n v="66401.86"/>
        <n v="250000"/>
        <n v="-90071.16"/>
        <n v="-54000"/>
        <n v="80873.44"/>
        <n v="149221.43"/>
        <n v="-30307.34"/>
        <n v="5.97"/>
        <n v="2000"/>
        <n v="3600"/>
        <n v="63600"/>
        <n v="-8748.84"/>
        <n v="216773.31"/>
        <n v="8070.69"/>
        <n v="27498.1"/>
        <n v="153164.55"/>
        <n v="502288.6"/>
        <n v="5194.2"/>
        <n v="25835.92"/>
        <n v="33547"/>
        <n v="290.85"/>
        <n v="419135"/>
        <n v="57159.33"/>
        <n v="88365.37"/>
        <n v="6651.33"/>
        <n v="69291.58"/>
        <n v="1182.64"/>
        <n v="73000.81"/>
        <n v="60650.96"/>
        <n v="7073.13"/>
        <n v="20000"/>
        <n v="397640.24"/>
        <n v="117000"/>
        <n v="157537.6"/>
        <n v="7201.58"/>
        <n v="11403.76"/>
        <n v="58382.44"/>
        <n v="-25830.94"/>
        <n v="172256.07"/>
        <n v="74881.8"/>
        <n v="209090.22"/>
        <n v="-69902.66"/>
        <n v="22729.02"/>
        <n v="6170.59"/>
        <n v="5896.73"/>
        <n v="33418.19"/>
        <n v="5445.03"/>
        <n v="8975.33"/>
        <n v="18505.74"/>
        <n v="-89"/>
        <n v="-25151.1"/>
        <n v="125749.42"/>
        <n v="49595.27"/>
        <n v="50672.33"/>
        <n v="-282.1"/>
        <n v="44520"/>
        <n v="680383.4"/>
        <n v="342102.25"/>
        <n v="-757186.61"/>
        <n v="60973.48"/>
        <n v="37786.17"/>
        <n v="67262.62"/>
        <n v="919155.78"/>
        <n v="1264630.62"/>
        <n v="2000000"/>
        <n v="28777.92"/>
        <n v="5272.83"/>
        <n v="266765.82"/>
        <n v="-7835.99"/>
        <n v="-1088829.57"/>
        <n v="22356.12"/>
        <n v="24215.11"/>
        <n v="18290.9"/>
        <n v="5562.31"/>
        <n v="84128.23"/>
        <n v="36185.2"/>
        <n v="11242.22"/>
        <n v="50000"/>
        <n v="24174.13"/>
        <n v="39350.7"/>
        <n v="41523.04"/>
        <n v="280000"/>
        <n v="-34099.43"/>
        <n v="28258.67"/>
        <n v="-40503.83"/>
        <n v="1886.17"/>
        <n v="149459.22"/>
        <n v="600"/>
        <n v="9733.71"/>
        <n v="67097.5"/>
        <n v="7871.56"/>
        <n v="215.85"/>
        <n v="30304.9"/>
        <n v="29797.87"/>
        <n v="37027"/>
        <n v="48760"/>
        <n v="771807.98"/>
        <n v="879631.13"/>
        <n v="110204.01"/>
        <n v="11350.91"/>
        <n v="-242004"/>
        <n v="142082.99"/>
        <n v="365606.46"/>
        <n v="198200"/>
        <n v="19296.28"/>
        <n v="149095.2"/>
        <n v="715.2"/>
        <n v="172926.34"/>
        <n v="5914.08"/>
        <n v="24501.02"/>
        <n v="339700.5"/>
        <n v="1542028.1"/>
        <n v="246857.37"/>
        <n v="1061290.74"/>
        <n v="6239.24"/>
        <n v="10137.1"/>
        <n v="7184.22"/>
        <n v="80563.77"/>
        <n v="40289.54"/>
        <n v="4985.52"/>
        <n v="-1665920.46"/>
        <n v="325402.4"/>
        <n v="23716.82"/>
        <n v="19444.8"/>
        <n v="-5033.97"/>
        <n v="1683684.71"/>
        <n v="381397.12"/>
        <n v="-69.5"/>
        <n v="-39144.81"/>
        <n v="1389.01"/>
        <n v="-41048.55"/>
        <n v="129409.42"/>
        <n v="91121.48"/>
        <n v="-7868.73"/>
        <n v="14055.6"/>
        <n v="4940.6"/>
        <n v="14174.07"/>
        <n v="39239"/>
        <n v="2174.45"/>
        <n v="172.25"/>
        <n v="510000"/>
        <n v="76530.83"/>
        <n v="-20000"/>
        <n v="11515.18"/>
        <n v="264479.53"/>
        <n v="669.36"/>
        <n v="7603.24"/>
        <n v="13526.71"/>
        <n v="18760.44"/>
        <n v="6693.16"/>
        <n v="219536.84"/>
        <n v="50872.2"/>
        <n v="37396.51"/>
        <n v="5894.26"/>
        <n v="35163.7"/>
        <n v="54197.22"/>
        <n v="590677.3"/>
        <n v="17268.03"/>
        <n v="143115.92"/>
        <n v="-6753"/>
        <n v="31730.88"/>
        <n v="1123001.86"/>
        <n v="17519.08"/>
        <n v="475273.53"/>
        <n v="-442849.05"/>
        <n v="8284.86"/>
        <n v="69045.55"/>
        <n v="1170.46"/>
        <n v="1188.23"/>
        <n v="16852.34"/>
        <n v="3871.72"/>
        <n v="1938.8"/>
        <n v="60871.64"/>
        <n v="285.02"/>
        <n v="264250.38"/>
        <n v="-23132.93"/>
        <n v="-307045.37"/>
        <n v="17193.78"/>
        <n v="-12439.44"/>
        <n v="-1686.67"/>
        <n v="-103.4"/>
        <n v="-6335.38"/>
        <n v="-10176"/>
        <n v="54748.09"/>
        <n v="65000"/>
        <n v="12740.5"/>
        <n v="9381.4"/>
        <n v="15803.81"/>
        <n v="29113.56"/>
        <n v="13555.96"/>
        <n v="126816.01"/>
        <n v="1098192.35"/>
        <n v="30000"/>
        <n v="3855.18"/>
        <n v="3000000"/>
        <n v="-1468990.86"/>
        <n v="296028.76"/>
        <n v="1500.24"/>
        <n v="118746.75"/>
        <n v="-293994.61"/>
        <n v="4117.67"/>
        <n v="-1500.24"/>
        <n v="1706.45"/>
        <n v="757.04"/>
        <n v="-23557.82"/>
        <n v="39849.5"/>
        <n v="-461.42"/>
        <n v="26993.18"/>
        <n v="-473"/>
        <n v="-40232.48"/>
        <n v="194.65"/>
        <n v="709.76"/>
        <n v="17293"/>
        <n v="4650.31"/>
        <n v="28893.76"/>
        <n v="859.12"/>
        <n v="43339.9"/>
        <n v="97605.9"/>
        <n v="20328.89"/>
        <n v="672054.82"/>
        <n v="325976.73"/>
        <n v="1300000"/>
        <n v="-1000000"/>
        <n v="283013.4"/>
        <n v="4889.39"/>
        <n v="1728.39"/>
        <n v="4754.33"/>
        <n v="37818.7"/>
        <n v="30655.35"/>
        <n v="3368.85"/>
        <n v="3801"/>
        <n v="-690621.47"/>
        <n v="-18532"/>
        <n v="204640.58"/>
        <n v="20220.13"/>
        <n v="85388.93"/>
        <n v="40833.48"/>
        <n v="45000"/>
        <n v="144481.49"/>
        <n v="103605.3"/>
        <n v="8452.02"/>
        <n v="100000"/>
        <n v="24549"/>
        <n v="26923.85"/>
        <n v="6770.2"/>
        <n v="11431.54"/>
        <n v="336784.67"/>
        <n v="272022.37"/>
        <n v="12876.15"/>
        <n v="682300"/>
        <n v="176368.61"/>
        <n v="22808.46"/>
        <n v="31946"/>
        <n v="85554.15"/>
        <n v="498036.39"/>
        <n v="305316.62"/>
        <n v="13265.67"/>
        <n v="6321.76"/>
        <n v="48295.09"/>
        <n v="35512.51"/>
        <n v="1922.8"/>
        <n v="20061.91"/>
        <n v="1552.4"/>
        <n v="1650.21"/>
        <n v="16613.84"/>
        <n v="6114"/>
        <n v="12272.04"/>
        <n v="19661.68"/>
        <n v="5299.87"/>
        <n v="2460.51"/>
        <n v="5231.99"/>
        <n v="62070.08"/>
        <n v="50945.98"/>
        <n v="32580.83"/>
        <n v="86392.88"/>
        <n v="90996.74"/>
        <n v="30604.13"/>
        <n v="30508.77"/>
        <n v="-238595.6"/>
        <n v="89702.27"/>
        <n v="0.08"/>
        <n v="-30508.77"/>
        <n v="1133683.45"/>
        <n v="38413.97"/>
        <n v="-283013.4"/>
        <n v="46992.88"/>
        <n v="-108042.5"/>
        <n v="85918.21"/>
        <n v="1778.15"/>
        <n v="22796.29"/>
        <n v="16851.41"/>
        <n v="51033.46"/>
        <n v="-13432.86"/>
        <n v="17224.36"/>
        <n v="454202.73"/>
        <n v="1324.26"/>
        <n v="16750"/>
        <n v="34600.6"/>
        <n v="-15.13"/>
        <n v="32755.28"/>
        <n v="16500"/>
        <n v="862.85"/>
        <n v="10121.2"/>
        <n v="27811.85"/>
        <n v="12172.2"/>
        <n v="109.45"/>
        <n v="54378.2"/>
        <n v="27034.82"/>
        <n v="735877.53"/>
        <n v="233277.68"/>
        <n v="19627.8"/>
        <n v="186696.22"/>
        <n v="75429"/>
        <n v="38654.38"/>
        <n v="87311.49"/>
        <n v="12481.02"/>
        <n v="70111.57"/>
        <n v="160916.8"/>
        <n v="6500"/>
        <n v="61145.35"/>
        <n v="1350.8"/>
        <n v="15700.43"/>
        <n v="24429.26"/>
        <n v="2953.02"/>
        <n v="295892.3"/>
        <n v="25659.93"/>
        <n v="7140.29"/>
        <n v="58070.84"/>
        <n v="-36667.97"/>
        <n v="-1050.45"/>
        <n v="83538.14"/>
        <n v="65893.56"/>
        <n v="21186.18"/>
        <n v="49.19"/>
        <n v="181431.29"/>
        <n v="3305.04"/>
        <n v="78504.4"/>
        <n v="34275.27"/>
        <n v="42608.9"/>
        <n v="451871.24"/>
        <n v="178799.58"/>
        <n v="-368.4"/>
        <n v="55071.34"/>
        <n v="-42264.84"/>
        <n v="37400"/>
        <n v="-72119.95"/>
        <n v="-10220.77"/>
        <n v="31186.96"/>
        <n v="15294.49"/>
        <n v="81071.88"/>
        <n v="-37818.7"/>
        <n v="45910"/>
        <n v="-32784.98"/>
        <n v="1085.78"/>
        <n v="13117.23"/>
        <n v="110775.89"/>
        <n v="6617.47"/>
        <n v="1739.95"/>
        <n v="9666.32"/>
        <n v="15820.28"/>
        <n v="11737.49"/>
        <n v="77400"/>
        <n v="-11.44"/>
        <n v="214858.51"/>
        <n v="25277.61"/>
        <n v="210065.34"/>
        <n v="-79772.04"/>
        <n v="60770.37"/>
        <n v="-190442.55"/>
        <n v="10885.88"/>
        <n v="1271.17"/>
        <n v="500.09"/>
        <n v="1080"/>
        <n v="3660921.57"/>
        <n v="427153.22"/>
        <n v="0.36"/>
        <n v="-1105.47"/>
        <n v="2819.57"/>
        <n v="829.21"/>
        <n v="-45951.52"/>
        <n v="140325.61"/>
        <n v="18788.33"/>
        <n v="7987.26"/>
        <n v="4944.28"/>
        <n v="216921.78"/>
        <n v="21532.21"/>
        <n v="-3439.24"/>
        <n v="245285.06"/>
        <n v="200580.78"/>
        <n v="487650.76"/>
        <n v="22975.76"/>
        <n v="1107.3"/>
        <n v="41293.03"/>
        <n v="54110.4"/>
        <n v="8080"/>
        <n v="3959.19"/>
        <n v="19912.86"/>
        <n v="33760.14"/>
        <n v="1697.71"/>
        <n v="-500"/>
        <n v="144097.31"/>
        <n v="20555.15"/>
        <n v="13610.06"/>
        <n v="65200"/>
        <n v="102.36"/>
        <n v="3530.46"/>
        <n v="360082.36"/>
        <n v="37145.42"/>
        <n v="57418.91"/>
        <n v="288329.21"/>
        <n v="25.69"/>
        <n v="9631.15"/>
        <n v="400"/>
        <n v="11990.38"/>
        <n v="7764.79"/>
        <n v="37312.44"/>
        <n v="-2868.64"/>
        <n v="779270.69"/>
        <n v="57643.49"/>
        <n v="18655.92"/>
        <n v="76487.64"/>
        <n v="176235.4"/>
        <n v="3959.98"/>
        <n v="451897.23"/>
        <n v="20348.98"/>
        <n v="264464.31"/>
        <n v="5339.86"/>
        <n v="8531.28"/>
        <n v="55914.02"/>
        <n v="-498.72"/>
        <n v="102132.58"/>
        <n v="-12500"/>
        <n v="13718.2"/>
        <n v="21487.85"/>
        <n v="-28363"/>
        <n v="276621.42"/>
        <n v="50649.84"/>
        <n v="9100"/>
        <n v="-1169484.23"/>
        <n v="5345.3"/>
        <n v="30309.03"/>
        <n v="2925.85"/>
        <n v="1582.53"/>
        <n v="531499.39"/>
        <n v="9693.81"/>
        <n v="16292.36"/>
        <n v="11244.85"/>
        <n v="-4000"/>
        <n v="1161758.71"/>
        <n v="965324.31"/>
        <n v="-1423013.42"/>
        <n v="305709.19"/>
        <n v="245285.05"/>
        <n v="-245285.06"/>
        <n v="-425.24"/>
        <n v="-5572.74"/>
        <n v="243132.69"/>
        <n v="3999.99"/>
        <n v="-122781.44"/>
        <n v="5634.9"/>
        <n v="-15293.58"/>
        <n v="8332.18"/>
        <n v="15883.52"/>
        <n v="12581.01"/>
        <n v="160526.64"/>
        <n v="21557.98"/>
        <n v="3000"/>
        <n v="54367.67"/>
        <n v="40000"/>
        <n v="1996.66"/>
        <n v="168367.87"/>
        <n v="12572.46"/>
        <n v="610837.72"/>
        <n v="504090.94"/>
        <n v="178513.77"/>
        <n v="1310.48"/>
        <n v="13345.61"/>
        <n v="3551.07"/>
        <n v="72914.42"/>
        <n v="141763.27"/>
        <n v="4662.06"/>
        <n v="6872.03"/>
        <n v="164121.31"/>
        <n v="212890.11"/>
        <n v="32341.4"/>
        <n v="5179.4"/>
        <n v="-422.88"/>
        <n v="32481.61"/>
        <n v="9270.54"/>
        <n v="52754.63"/>
        <n v="44204.29"/>
        <n v="3566.91"/>
        <n v="36270.31"/>
        <n v="321286.37"/>
        <n v="9768"/>
        <n v="202680.42"/>
        <n v="2593351.24"/>
        <n v="171780"/>
        <n v="987788.59"/>
        <n v="2219.75"/>
        <n v="-14356.2"/>
        <n v="59184.11"/>
        <n v="8379.31"/>
        <n v="12906.54"/>
        <n v="19853.29"/>
        <n v="1114.75"/>
        <n v="40793.85"/>
        <n v="12809.9"/>
        <n v="503321.13"/>
        <n v="139173.13"/>
        <n v="7540.37"/>
        <n v="408669.58"/>
        <n v="47492.21"/>
        <n v="31745.75"/>
        <n v="339740.85"/>
        <n v="86.91"/>
        <n v="252173.36"/>
        <n v="23389.85"/>
        <n v="35659.4"/>
        <n v="58.2"/>
        <n v="10242.02"/>
        <n v="71588"/>
        <n v="1413932.82"/>
        <n v="17792.98"/>
        <n v="151820.28"/>
        <n v="818500.61"/>
        <n v="71000"/>
        <n v="31617.8"/>
        <n v="392304.53"/>
        <n v="103143.12"/>
        <n v="-21768.98"/>
        <n v="44511.43"/>
        <n v="160646.31"/>
        <n v="-2910.01"/>
        <n v="437137.9"/>
        <n v="52524.99"/>
        <n v="2004138.13"/>
        <n v="-10796.44"/>
        <n v="49514.92"/>
        <n v="36740.5"/>
        <n v="0"/>
        <n v="4.54747350886464e-13"/>
        <n v="0.77"/>
        <n v="1968280.06"/>
        <n v="-153729.53"/>
        <n v="185852.92"/>
        <n v="-516839.92"/>
        <n v="3888.99"/>
        <n v="-105000"/>
        <n v="779.74"/>
        <n v="6842.06"/>
        <n v="-36048.45"/>
        <n v="-92804.48"/>
        <n v="-534.2"/>
        <n v="138.69"/>
        <n v="-349922.55"/>
        <n v="12003.05"/>
        <n v="39222.79"/>
        <n v="88000"/>
        <n v="12133.04"/>
        <n v="64.78"/>
        <n v="25000"/>
        <n v="3939"/>
        <n v="36907.2"/>
        <n v="39897.78"/>
        <n v="5252"/>
        <n v="12913.99"/>
        <n v="17301.27"/>
        <n v="2585.08"/>
        <n v="20063.67"/>
        <n v="8727.65"/>
        <n v="29948.67"/>
        <n v="2052.55"/>
        <n v="540381.11"/>
        <n v="14882.24"/>
        <n v="23114.02"/>
        <n v="107309.3"/>
        <n v="226406.32"/>
        <n v="87140.78"/>
        <n v="-79385.97"/>
        <n v="30092.34"/>
        <n v="457.26"/>
        <n v="51476.81"/>
        <n v="17081.38"/>
        <n v="1907616.01"/>
        <n v="219683.59"/>
        <n v="6345.62"/>
        <n v="153615.39"/>
        <n v="1945.26"/>
        <n v="6562.7"/>
        <n v="5992.07"/>
        <n v="270062.07"/>
        <n v="17523.47"/>
        <n v="91581.44"/>
        <n v="8391.56"/>
        <n v="84232"/>
        <n v="316771.8"/>
        <n v="37805.24"/>
        <n v="29430.89"/>
        <n v="881378.67"/>
        <n v="93406.29"/>
        <n v="25323.1"/>
        <n v="3334.7"/>
        <n v="13627.15"/>
        <n v="463717.07"/>
        <n v="12474.78"/>
        <n v="333533.28"/>
        <n v="57720"/>
        <n v="27970.61"/>
        <n v="467153.22"/>
        <n v="57426.08"/>
        <n v="4910.69"/>
        <n v="169022.45"/>
        <n v="199262.86"/>
        <n v="708.36"/>
        <n v="10289.8"/>
        <n v="115.36"/>
        <n v="27766.22"/>
        <n v="2823.22"/>
        <n v="55186.09"/>
        <n v="10298.55"/>
        <n v="1753.04"/>
        <n v="1353.84"/>
        <n v="879622.72"/>
        <n v="21904.75"/>
        <n v="27468.63"/>
        <n v="207677.42"/>
        <n v="-16775.76"/>
        <n v="-12090"/>
        <n v="65354.48"/>
        <n v="35436.12"/>
        <n v="244527.84"/>
        <n v="70371"/>
        <n v="47894.53"/>
        <n v="3417.48"/>
        <n v="11000"/>
        <n v="1251.13"/>
        <n v="14119.73"/>
        <n v="-26283.8"/>
        <n v="62469.24"/>
        <n v="7702.33"/>
        <n v="2092.97"/>
        <n v="62880.14"/>
        <n v="-9358"/>
        <n v="17722"/>
        <n v="68734.28"/>
        <n v="15999.45"/>
        <n v="366762.05"/>
        <n v="54389.89"/>
        <n v="580968.56"/>
        <n v="213323.89"/>
        <n v="2054317.29"/>
        <n v="2434146.36"/>
        <n v="-270062.07"/>
        <n v="-29948.67"/>
        <n v="-1945.26"/>
        <n v="-153615.39"/>
        <n v="520.24"/>
        <n v="4121.42"/>
        <n v="2642"/>
        <n v="-50250.02"/>
        <n v="50250.01"/>
        <n v="80354.7"/>
      </sharedItems>
    </cacheField>
    <cacheField name="no_taxrate_money" numFmtId="176">
      <sharedItems containsSemiMixedTypes="0" containsString="0" containsNumber="1" minValue="-3439031.03" maxValue="4705660.38" count="928">
        <n v="607272.55"/>
        <n v="43378.34"/>
        <n v="149060.75"/>
        <n v="280241.66"/>
        <n v="48925.83"/>
        <n v="68229.43"/>
        <n v="213.02"/>
        <n v="64217.25"/>
        <n v="5211.29"/>
        <n v="505232.73"/>
        <n v="-249.4"/>
        <n v="5028.51"/>
        <n v="164.52"/>
        <n v="39327.76"/>
        <n v="257841.73"/>
        <n v="5660.93"/>
        <n v="66665.78"/>
        <n v="3399.06"/>
        <n v="184724.56"/>
        <n v="50000"/>
        <n v="65683.95"/>
        <n v="13198.6"/>
        <n v="78230.53"/>
        <n v="482239.21"/>
        <n v="509967.37"/>
        <n v="22165.12"/>
        <n v="10322.64"/>
        <n v="54969.85"/>
        <n v="332397.84"/>
        <n v="-16455.46"/>
        <n v="1547.63"/>
        <n v="2403891.32"/>
        <n v="542635.61"/>
        <n v="-9336.96"/>
        <n v="124233.89"/>
        <n v="30227.3"/>
        <n v="1743.4"/>
        <n v="48618.45"/>
        <n v="109.64"/>
        <n v="-3439031.03"/>
        <n v="1466.2"/>
        <n v="32547.17"/>
        <n v="4705660.38"/>
        <n v="12552.98"/>
        <n v="10797.05"/>
        <n v="4080.05"/>
        <n v="22136.9"/>
        <n v="13282.97"/>
        <n v="24003.25"/>
        <n v="134147.41"/>
        <n v="-23490.48"/>
        <n v="110653.41"/>
        <n v="98116.54"/>
        <n v="47887.94"/>
        <n v="7546.36"/>
        <n v="-39327.76"/>
        <n v="-3399.06"/>
        <n v="107760.47"/>
        <n v="75226.58"/>
        <n v="-192854.12"/>
        <n v="56603.77"/>
        <n v="42896.32"/>
        <n v="20000"/>
        <n v="20697.08"/>
        <n v="61555.51"/>
        <n v="-30849.06"/>
        <n v="45101.05"/>
        <n v="67511.89"/>
        <n v="248.49"/>
        <n v="27558.75"/>
        <n v="7083.53"/>
        <n v="3965.44"/>
        <n v="19785.16"/>
        <n v="191098.62"/>
        <n v="19275.5"/>
        <n v="449556.75"/>
        <n v="354845.58"/>
        <n v="46119.71"/>
        <n v="25434.11"/>
        <n v="104.95"/>
        <n v="273561.88"/>
        <n v="-54.86"/>
        <n v="-10434.73"/>
        <n v="-1145.85"/>
        <n v="21657.19"/>
        <n v="36017.32"/>
        <n v="116676.31"/>
        <n v="130642.96"/>
        <n v="475.77"/>
        <n v="127761.13"/>
        <n v="155012.76"/>
        <n v="22986.69"/>
        <n v="-24464.75"/>
        <n v="23682.89"/>
        <n v="-93.43"/>
        <n v="11655.71"/>
        <n v="370.86"/>
        <n v="25564.99"/>
        <n v="1060.12"/>
        <n v="6752.72"/>
        <n v="16054.29"/>
        <n v="4378.2"/>
        <n v="2139.96"/>
        <n v="51381.72"/>
        <n v="276601.87"/>
        <n v="-396253.94"/>
        <n v="90.99"/>
        <n v="-6957.54"/>
        <n v="158.86"/>
        <n v="50406.97"/>
        <n v="3719.81"/>
        <n v="6845.42"/>
        <n v="239501.15"/>
        <n v="237738.38"/>
        <n v="290348.41"/>
        <n v="19863.21"/>
        <n v="2431.46"/>
        <n v="-15926.48"/>
        <n v="67435.92"/>
        <n v="50284.92"/>
        <n v="35396.39"/>
        <n v="107116.93"/>
        <n v="369647"/>
        <n v="77115.25"/>
        <n v="2525.14"/>
        <n v="127375.26"/>
        <n v="-10.41"/>
        <n v="65953.02"/>
        <n v="237154.72"/>
        <n v="304026.94"/>
        <n v="221366.37"/>
        <n v="30000"/>
        <n v="306723.33"/>
        <n v="60595.54"/>
        <n v="23159.62"/>
        <n v="35731.95"/>
        <n v="98722.75"/>
        <n v="54314.06"/>
        <n v="666.23"/>
        <n v="27607.62"/>
        <n v="11001.01"/>
        <n v="102182.45"/>
        <n v="13593.51"/>
        <n v="92810.09"/>
        <n v="196307.74"/>
        <n v="66606.6"/>
        <n v="606617.42"/>
        <n v="6367.97"/>
        <n v="48026.64"/>
        <n v="130618.92"/>
        <n v="5726.97"/>
        <n v="202225.37"/>
        <n v="331784.27"/>
        <n v="-25979.28"/>
        <n v="72037.19"/>
        <n v="1172.25"/>
        <n v="-6759.43"/>
        <n v="1242.91"/>
        <n v="17583.49"/>
        <n v="33753.4"/>
        <n v="18650.94"/>
        <n v="27715.42"/>
        <n v="16782.51"/>
        <n v="30190.09"/>
        <n v="466.58"/>
        <n v="741.08"/>
        <n v="45842.68"/>
        <n v="3058.56"/>
        <n v="1892.25"/>
        <n v="12074.84"/>
        <n v="156280.42"/>
        <n v="92146.52"/>
        <n v="18400"/>
        <n v="55188.68"/>
        <n v="221524.32"/>
        <n v="4438.68"/>
        <n v="216.95"/>
        <n v="50820.12"/>
        <n v="-12471.13"/>
        <n v="55583.69"/>
        <n v="65015.13"/>
        <n v="49681.6"/>
        <n v="99056.61"/>
        <n v="-242819.15"/>
        <n v="74881.99"/>
        <n v="116382.34"/>
        <n v="61467.72"/>
        <n v="43544.01"/>
        <n v="9710.92"/>
        <n v="64031.23"/>
        <n v="13442.68"/>
        <n v="132112.21"/>
        <n v="344826.36"/>
        <n v="6484.41"/>
        <n v="365473.58"/>
        <n v="-574.13"/>
        <n v="39866.86"/>
        <n v="37384.14"/>
        <n v="148113.21"/>
        <n v="41211.75"/>
        <n v="42397.77"/>
        <n v="42447.89"/>
        <n v="44684.92"/>
        <n v="1105896.23"/>
        <n v="46981.13"/>
        <n v="4861.13"/>
        <n v="132934.24"/>
        <n v="30709.61"/>
        <n v="173.21"/>
        <n v="-709.43"/>
        <n v="405212.3"/>
        <n v="40735.01"/>
        <n v="11754.58"/>
        <n v="80373.13"/>
        <n v="2021.98"/>
        <n v="725730.23"/>
        <n v="29026.81"/>
        <n v="-1620767.17"/>
        <n v="-50406.85"/>
        <n v="161048.14"/>
        <n v="1509433.96"/>
        <n v="69988.13"/>
        <n v="14517.82"/>
        <n v="236508.9"/>
        <n v="934937.21"/>
        <n v="10938.82"/>
        <n v="7845.68"/>
        <n v="14191.39"/>
        <n v="116766.58"/>
        <n v="5788.51"/>
        <n v="145202.45"/>
        <n v="1830.58"/>
        <n v="17237.44"/>
        <n v="4665.98"/>
        <n v="74221.22"/>
        <n v="318211.88"/>
        <n v="183577.35"/>
        <n v="-8818.45"/>
        <n v="33084.42"/>
        <n v="47611.82"/>
        <n v="40171.69"/>
        <n v="-46981.13"/>
        <n v="-44419.37"/>
        <n v="242463.92"/>
        <n v="17000.22"/>
        <n v="-15576.93"/>
        <n v="53541.79"/>
        <n v="42015.26"/>
        <n v="16262.14"/>
        <n v="314465.41"/>
        <n v="15797.5"/>
        <n v="26108.83"/>
        <n v="-7915.09"/>
        <n v="32169.27"/>
        <n v="268658.65"/>
        <n v="228305.66"/>
        <n v="768.17"/>
        <n v="21084.63"/>
        <n v="7605.12"/>
        <n v="62643.26"/>
        <n v="235849.06"/>
        <n v="-84972.79"/>
        <n v="-50943.4"/>
        <n v="76295.7"/>
        <n v="140774.93"/>
        <n v="-28591.83"/>
        <n v="5.63"/>
        <n v="1886.79"/>
        <n v="3396.23"/>
        <n v="60000"/>
        <n v="-8253.62"/>
        <n v="204503.12"/>
        <n v="7613.86"/>
        <n v="25941.6"/>
        <n v="144494.86"/>
        <n v="473857.17"/>
        <n v="4900.19"/>
        <n v="24373.51"/>
        <n v="31648.11"/>
        <n v="274.39"/>
        <n v="395410.38"/>
        <n v="53923.9"/>
        <n v="83363.56"/>
        <n v="6274.84"/>
        <n v="65369.42"/>
        <n v="1115.7"/>
        <n v="68868.69"/>
        <n v="57217.89"/>
        <n v="6672.76"/>
        <n v="18867.92"/>
        <n v="375132.3"/>
        <n v="110377.36"/>
        <n v="148620.38"/>
        <n v="6793.94"/>
        <n v="10758.26"/>
        <n v="55077.77"/>
        <n v="-24368.81"/>
        <n v="162505.73"/>
        <n v="70643.21"/>
        <n v="197254.92"/>
        <n v="-65945.91"/>
        <n v="21442.47"/>
        <n v="5821.31"/>
        <n v="5562.95"/>
        <n v="31526.59"/>
        <n v="5136.82"/>
        <n v="8467.29"/>
        <n v="17458.25"/>
        <n v="-83.97"/>
        <n v="-23727.46"/>
        <n v="118631.53"/>
        <n v="46787.95"/>
        <n v="47804.13"/>
        <n v="-266.13"/>
        <n v="42000"/>
        <n v="641871.13"/>
        <n v="322737.97"/>
        <n v="-714326.99"/>
        <n v="57522.15"/>
        <n v="35647.33"/>
        <n v="63455.3"/>
        <n v="867128.09"/>
        <n v="1193047.75"/>
        <n v="1886792.45"/>
        <n v="27148.98"/>
        <n v="4974.37"/>
        <n v="251665.87"/>
        <n v="-7392.44"/>
        <n v="-1027197.71"/>
        <n v="21090.68"/>
        <n v="22844.44"/>
        <n v="17255.57"/>
        <n v="5247.46"/>
        <n v="79366.25"/>
        <n v="34136.98"/>
        <n v="10605.87"/>
        <n v="47169.81"/>
        <n v="22805.78"/>
        <n v="37123.3"/>
        <n v="39172.68"/>
        <n v="264150.94"/>
        <n v="-32169.27"/>
        <n v="26659.12"/>
        <n v="-38211.16"/>
        <n v="1779.41"/>
        <n v="140999.26"/>
        <n v="566.04"/>
        <n v="9182.75"/>
        <n v="63299.53"/>
        <n v="7426"/>
        <n v="203.63"/>
        <n v="28589.53"/>
        <n v="28111.2"/>
        <n v="34931.13"/>
        <n v="46000"/>
        <n v="728120.74"/>
        <n v="829840.69"/>
        <n v="103966.05"/>
        <n v="10708.41"/>
        <n v="-228305.66"/>
        <n v="134040.56"/>
        <n v="344911.75"/>
        <n v="186981.13"/>
        <n v="18204.04"/>
        <n v="140655.85"/>
        <n v="674.72"/>
        <n v="163138.06"/>
        <n v="5579.32"/>
        <n v="23114.17"/>
        <n v="320472.17"/>
        <n v="1454743.49"/>
        <n v="232884.31"/>
        <n v="1001217.68"/>
        <n v="5886.08"/>
        <n v="9563.3"/>
        <n v="6777.57"/>
        <n v="76003.56"/>
        <n v="38009"/>
        <n v="4703.32"/>
        <n v="-1571623.07"/>
        <n v="306983.36"/>
        <n v="22374.35"/>
        <n v="18344.17"/>
        <n v="-4749.03"/>
        <n v="1588381.8"/>
        <n v="359808.6"/>
        <n v="-65.57"/>
        <n v="-36929.07"/>
        <n v="1310.39"/>
        <n v="-38725.05"/>
        <n v="122084.36"/>
        <n v="85963.66"/>
        <n v="-7423.33"/>
        <n v="13260"/>
        <n v="4660.94"/>
        <n v="13371.76"/>
        <n v="37017.92"/>
        <n v="2051.37"/>
        <n v="162.5"/>
        <n v="481132.08"/>
        <n v="72198.9"/>
        <n v="-18867.92"/>
        <n v="10863.38"/>
        <n v="249508.99"/>
        <n v="631.47"/>
        <n v="7172.87"/>
        <n v="12761.05"/>
        <n v="17698.53"/>
        <n v="6314.3"/>
        <n v="207110.23"/>
        <n v="47992.64"/>
        <n v="35279.73"/>
        <n v="5560.62"/>
        <n v="33173.3"/>
        <n v="51129.45"/>
        <n v="557242.74"/>
        <n v="16290.59"/>
        <n v="135015.02"/>
        <n v="-6370.75"/>
        <n v="29934.79"/>
        <n v="1059435.72"/>
        <n v="16527.43"/>
        <n v="448371.25"/>
        <n v="-417782.12"/>
        <n v="7815.91"/>
        <n v="65137.31"/>
        <n v="1104.21"/>
        <n v="1120.97"/>
        <n v="15898.43"/>
        <n v="3652.57"/>
        <n v="1829.06"/>
        <n v="57426.08"/>
        <n v="268.89"/>
        <n v="249292.81"/>
        <n v="-21823.52"/>
        <n v="-289665.44"/>
        <n v="16220.55"/>
        <n v="-11735.32"/>
        <n v="-1591.2"/>
        <n v="-97.55"/>
        <n v="-5976.77"/>
        <n v="-9600"/>
        <n v="51649.14"/>
        <n v="61320.75"/>
        <n v="12019.34"/>
        <n v="8850.38"/>
        <n v="14909.25"/>
        <n v="27465.62"/>
        <n v="12788.64"/>
        <n v="119637.75"/>
        <n v="1036030.52"/>
        <n v="28301.89"/>
        <n v="3636.96"/>
        <n v="2830188.68"/>
        <n v="-1385840.42"/>
        <n v="279272.38"/>
        <n v="1415.32"/>
        <n v="112025.24"/>
        <n v="-277353.41"/>
        <n v="3884.59"/>
        <n v="-1415.32"/>
        <n v="1609.86"/>
        <n v="714.19"/>
        <n v="-22224.36"/>
        <n v="37593.87"/>
        <n v="-435.3"/>
        <n v="25465.26"/>
        <n v="-446.23"/>
        <n v="-37955.17"/>
        <n v="183.63"/>
        <n v="669.58"/>
        <n v="16314.15"/>
        <n v="4387.08"/>
        <n v="27258.26"/>
        <n v="810.49"/>
        <n v="40886.7"/>
        <n v="92081.04"/>
        <n v="19178.2"/>
        <n v="634013.98"/>
        <n v="307525.22"/>
        <n v="1226415.09"/>
        <n v="-943396.23"/>
        <n v="266993.77"/>
        <n v="4612.63"/>
        <n v="1630.56"/>
        <n v="4485.22"/>
        <n v="35678.02"/>
        <n v="28920.14"/>
        <n v="3178.16"/>
        <n v="3585.85"/>
        <n v="-651529.69"/>
        <n v="-17483.02"/>
        <n v="193057.15"/>
        <n v="19075.59"/>
        <n v="80555.59"/>
        <n v="38522.15"/>
        <n v="42452.83"/>
        <n v="136303.29"/>
        <n v="97740.85"/>
        <n v="7973.6"/>
        <n v="94339.62"/>
        <n v="23159.43"/>
        <n v="25399.86"/>
        <n v="6386.98"/>
        <n v="10784.47"/>
        <n v="317721.39"/>
        <n v="256624.88"/>
        <n v="12147.31"/>
        <n v="643679.25"/>
        <n v="166385.48"/>
        <n v="21517.42"/>
        <n v="30137.74"/>
        <n v="80711.46"/>
        <n v="469845.65"/>
        <n v="288034.55"/>
        <n v="12514.78"/>
        <n v="5963.92"/>
        <n v="45561.41"/>
        <n v="33502.37"/>
        <n v="1813.96"/>
        <n v="18926.33"/>
        <n v="1464.53"/>
        <n v="1556.8"/>
        <n v="15673.43"/>
        <n v="5767.92"/>
        <n v="11577.4"/>
        <n v="18548.75"/>
        <n v="4999.88"/>
        <n v="2321.24"/>
        <n v="4935.84"/>
        <n v="58556.68"/>
        <n v="48062.25"/>
        <n v="30736.63"/>
        <n v="81502.72"/>
        <n v="85845.98"/>
        <n v="28871.82"/>
        <n v="28781.86"/>
        <n v="-225090.19"/>
        <n v="84624.78"/>
        <n v="0.08"/>
        <n v="-28781.86"/>
        <n v="1069512.69"/>
        <n v="36239.59"/>
        <n v="-266993.77"/>
        <n v="44332.91"/>
        <n v="-101926.89"/>
        <n v="81054.92"/>
        <n v="1677.5"/>
        <n v="21505.93"/>
        <n v="15897.56"/>
        <n v="48144.77"/>
        <n v="-12672.51"/>
        <n v="16249.4"/>
        <n v="428493.14"/>
        <n v="1249.3"/>
        <n v="15801.89"/>
        <n v="32642.08"/>
        <n v="-14.27"/>
        <n v="30901.21"/>
        <n v="15566.04"/>
        <n v="814.01"/>
        <n v="9548.3"/>
        <n v="26237.59"/>
        <n v="11483.21"/>
        <n v="103.25"/>
        <n v="51300.19"/>
        <n v="25504.55"/>
        <n v="694224.08"/>
        <n v="220073.28"/>
        <n v="18516.79"/>
        <n v="176128.51"/>
        <n v="71159.43"/>
        <n v="36466.4"/>
        <n v="82369.33"/>
        <n v="11774.55"/>
        <n v="66142.99"/>
        <n v="151808.3"/>
        <n v="6132.08"/>
        <n v="57684.29"/>
        <n v="1274.34"/>
        <n v="14811.73"/>
        <n v="23046.47"/>
        <n v="2785.87"/>
        <n v="279143.68"/>
        <n v="24207.48"/>
        <n v="6736.12"/>
        <n v="54783.81"/>
        <n v="-34592.42"/>
        <n v="-990.99"/>
        <n v="78809.57"/>
        <n v="62163.74"/>
        <n v="19986.96"/>
        <n v="46.41"/>
        <n v="171161.59"/>
        <n v="3117.96"/>
        <n v="74060.75"/>
        <n v="32335.16"/>
        <n v="40197.08"/>
        <n v="426293.62"/>
        <n v="168678.85"/>
        <n v="-347.55"/>
        <n v="51954.09"/>
        <n v="-39872.49"/>
        <n v="35283.02"/>
        <n v="-68037.69"/>
        <n v="-9642.24"/>
        <n v="29421.66"/>
        <n v="14428.76"/>
        <n v="76482.91"/>
        <n v="-35678.02"/>
        <n v="43311.32"/>
        <n v="-30929.23"/>
        <n v="1024.32"/>
        <n v="12374.75"/>
        <n v="104505.56"/>
        <n v="6242.9"/>
        <n v="1641.46"/>
        <n v="9119.17"/>
        <n v="14924.79"/>
        <n v="11073.1"/>
        <n v="73018.87"/>
        <n v="-10.79"/>
        <n v="202696.71"/>
        <n v="23846.8"/>
        <n v="198174.85"/>
        <n v="-75256.65"/>
        <n v="57330.5"/>
        <n v="-179662.79"/>
        <n v="10269.7"/>
        <n v="1199.22"/>
        <n v="471.78"/>
        <n v="1018.87"/>
        <n v="3453699.6"/>
        <n v="402974.74"/>
        <n v="0.34"/>
        <n v="-1042.9"/>
        <n v="2659.97"/>
        <n v="782.27"/>
        <n v="-43350.49"/>
        <n v="132382.65"/>
        <n v="17724.84"/>
        <n v="7535.15"/>
        <n v="4664.42"/>
        <n v="204643.19"/>
        <n v="20313.41"/>
        <n v="-3244.57"/>
        <n v="231401"/>
        <n v="189227.15"/>
        <n v="460047.89"/>
        <n v="21675.25"/>
        <n v="1044.62"/>
        <n v="38955.69"/>
        <n v="51047.55"/>
        <n v="7622.64"/>
        <n v="3735.08"/>
        <n v="18785.72"/>
        <n v="31849.19"/>
        <n v="1601.61"/>
        <n v="-471.7"/>
        <n v="135940.86"/>
        <n v="19391.65"/>
        <n v="12839.68"/>
        <n v="61509.43"/>
        <n v="96.57"/>
        <n v="3330.62"/>
        <n v="339700.34"/>
        <n v="35042.85"/>
        <n v="54168.78"/>
        <n v="272008.69"/>
        <n v="24.24"/>
        <n v="9085.99"/>
        <n v="377.36"/>
        <n v="11311.68"/>
        <n v="7325.27"/>
        <n v="35200.42"/>
        <n v="-2706.26"/>
        <n v="735161.03"/>
        <n v="54380.65"/>
        <n v="17599.92"/>
        <n v="72158.15"/>
        <n v="166259.81"/>
        <n v="3735.83"/>
        <n v="426318.14"/>
        <n v="19197.15"/>
        <n v="249494.63"/>
        <n v="5037.6"/>
        <n v="8048.38"/>
        <n v="52749.08"/>
        <n v="-470.49"/>
        <n v="96351.49"/>
        <n v="-11792.45"/>
        <n v="12941.7"/>
        <n v="20271.56"/>
        <n v="-26757.55"/>
        <n v="260963.6"/>
        <n v="47782.87"/>
        <n v="8584.91"/>
        <n v="-1103287.01"/>
        <n v="5042.74"/>
        <n v="28593.42"/>
        <n v="2760.24"/>
        <n v="1492.95"/>
        <n v="501414.52"/>
        <n v="9145.1"/>
        <n v="15370.15"/>
        <n v="10608.35"/>
        <n v="-3773.58"/>
        <n v="1095998.78"/>
        <n v="910683.31"/>
        <n v="-1342465.5"/>
        <n v="288404.87"/>
        <n v="238140.83"/>
        <n v="-231401"/>
        <n v="-401.17"/>
        <n v="-5257.3"/>
        <n v="229370.46"/>
        <n v="3773.58"/>
        <n v="-115831.55"/>
        <n v="5315.94"/>
        <n v="-14427.91"/>
        <n v="7860.55"/>
        <n v="14984.45"/>
        <n v="11868.88"/>
        <n v="151440.23"/>
        <n v="20337.72"/>
        <n v="2830.19"/>
        <n v="51290.25"/>
        <n v="37735.85"/>
        <n v="1883.64"/>
        <n v="158837.61"/>
        <n v="11860.81"/>
        <n v="576262"/>
        <n v="475557.49"/>
        <n v="168409.22"/>
        <n v="1236.3"/>
        <n v="12590.2"/>
        <n v="3350.07"/>
        <n v="68787.19"/>
        <n v="133738.93"/>
        <n v="4398.17"/>
        <n v="6483.05"/>
        <n v="154831.42"/>
        <n v="200839.73"/>
        <n v="30510.75"/>
        <n v="4886.23"/>
        <n v="-398.94"/>
        <n v="30643.03"/>
        <n v="8745.79"/>
        <n v="49768.52"/>
        <n v="41702.16"/>
        <n v="3365.01"/>
        <n v="34217.27"/>
        <n v="303100.35"/>
        <n v="9215.09"/>
        <n v="191207.94"/>
        <n v="2446557.77"/>
        <n v="162056.6"/>
        <n v="931876.03"/>
        <n v="2094.1"/>
        <n v="-13543.58"/>
        <n v="55834.07"/>
        <n v="7905.01"/>
        <n v="12175.98"/>
        <n v="18729.52"/>
        <n v="1051.65"/>
        <n v="38484.76"/>
        <n v="12084.81"/>
        <n v="474831.25"/>
        <n v="131295.41"/>
        <n v="7113.56"/>
        <n v="385537.34"/>
        <n v="44803.97"/>
        <n v="29948.82"/>
        <n v="320510.24"/>
        <n v="81.99"/>
        <n v="237899.4"/>
        <n v="22065.9"/>
        <n v="33640.94"/>
        <n v="54.91"/>
        <n v="9662.28"/>
        <n v="67535.85"/>
        <n v="1333898.89"/>
        <n v="16785.83"/>
        <n v="143226.68"/>
        <n v="772170.39"/>
        <n v="66981.13"/>
        <n v="29828.11"/>
        <n v="370098.61"/>
        <n v="97304.83"/>
        <n v="-20536.77"/>
        <n v="41991.92"/>
        <n v="151553.12"/>
        <n v="-2745.29"/>
        <n v="412394.25"/>
        <n v="49551.88"/>
        <n v="1890696.35"/>
        <n v="-10185.32"/>
        <n v="46712.11"/>
        <n v="34660.85"/>
        <n v="30.6299999999999"/>
        <n v="1120.92"/>
        <n v="3824.13"/>
        <n v="74.8700000000004"/>
        <n v="0.73"/>
        <n v="1856867.98"/>
        <n v="-145027.86"/>
        <n v="175332.94"/>
        <n v="-487584.83"/>
        <n v="3668.86"/>
        <n v="-99056.6"/>
        <n v="735.6"/>
        <n v="6454.77"/>
        <n v="-34007.97"/>
        <n v="-87551.4"/>
        <n v="-503.96"/>
        <n v="130.84"/>
        <n v="-330115.61"/>
        <n v="11323.63"/>
        <n v="37002.63"/>
        <n v="83018.87"/>
        <n v="11446.26"/>
        <n v="61.11"/>
        <n v="23584.91"/>
        <n v="3716.04"/>
        <n v="34818.11"/>
        <n v="37639.42"/>
        <n v="4954.72"/>
        <n v="12183.01"/>
        <n v="16321.95"/>
        <n v="2438.75"/>
        <n v="18927.99"/>
        <n v="8233.63"/>
        <n v="28253.46"/>
        <n v="1936.37"/>
        <n v="509793.5"/>
        <n v="14039.85"/>
        <n v="21805.68"/>
        <n v="101235.19"/>
        <n v="213590.87"/>
        <n v="82208.28"/>
        <n v="-74892.42"/>
        <n v="28389"/>
        <n v="431.38"/>
        <n v="48563.03"/>
        <n v="16114.51"/>
        <n v="1799637.75"/>
        <n v="207248.67"/>
        <n v="5986.43"/>
        <n v="144920.18"/>
        <n v="1835.15"/>
        <n v="6191.23"/>
        <n v="5652.9"/>
        <n v="254775.54"/>
        <n v="16531.58"/>
        <n v="86397.58"/>
        <n v="7916.57"/>
        <n v="79464.15"/>
        <n v="298841.32"/>
        <n v="35665.32"/>
        <n v="27764.99"/>
        <n v="831489.31"/>
        <n v="88119.14"/>
        <n v="23889.72"/>
        <n v="3145.94"/>
        <n v="12855.8"/>
        <n v="437468.93"/>
        <n v="11768.66"/>
        <n v="314654.04"/>
        <n v="54452.83"/>
        <n v="26387.37"/>
        <n v="440710.58"/>
        <n v="54175.55"/>
        <n v="4632.73"/>
        <n v="159455.14"/>
        <n v="187983.83"/>
        <n v="668.26"/>
        <n v="9707.36"/>
        <n v="108.83"/>
        <n v="26194.55"/>
        <n v="2663.42"/>
        <n v="52062.35"/>
        <n v="9715.61"/>
        <n v="1653.81"/>
        <n v="1277.21"/>
        <n v="829832.75"/>
        <n v="20664.86"/>
        <n v="25913.8"/>
        <n v="195922.09"/>
        <n v="-15826.19"/>
        <n v="-11405.66"/>
        <n v="61655.17"/>
        <n v="33430.3"/>
        <n v="230686.64"/>
        <n v="66387.74"/>
        <n v="45183.52"/>
        <n v="3224.04"/>
        <n v="10377.36"/>
        <n v="1180.31"/>
        <n v="13320.5"/>
        <n v="-24796.04"/>
        <n v="58933.25"/>
        <n v="7266.35"/>
        <n v="1974.5"/>
        <n v="59320.89"/>
        <n v="-8828.34"/>
        <n v="16718.92"/>
        <n v="64843.62"/>
        <n v="15093.84"/>
        <n v="346001.93"/>
        <n v="51311.22"/>
        <n v="548083.55"/>
        <n v="201248.95"/>
        <n v="1938035.18"/>
        <n v="2296364.49"/>
        <n v="262196.18"/>
        <n v="-254775.54"/>
        <n v="-28253.46"/>
        <n v="29076.38"/>
        <n v="-1835.15"/>
        <n v="1888.6"/>
        <n v="-144920.18"/>
        <n v="149141.16"/>
        <n v="520.24"/>
        <n v="4121.42"/>
        <n v="2642"/>
        <n v="-47405.68"/>
        <n v="49752.49"/>
        <n v="75806.32"/>
      </sharedItems>
    </cacheField>
    <cacheField name="tax" numFmtId="176">
      <sharedItems containsSemiMixedTypes="0" containsString="0" containsNumber="1" minValue="-206341.86" maxValue="282339.62" count="926">
        <n v="36436.35"/>
        <n v="2602.7"/>
        <n v="8943.65"/>
        <n v="16814.5"/>
        <n v="2935.55"/>
        <n v="4093.77"/>
        <n v="12.78"/>
        <n v="3853.04"/>
        <n v="312.68"/>
        <n v="30313.96"/>
        <n v="-14.96"/>
        <n v="301.71"/>
        <n v="9.87"/>
        <n v="2359.67"/>
        <n v="15470.5"/>
        <n v="339.66"/>
        <n v="3999.95"/>
        <n v="203.94"/>
        <n v="11083.47"/>
        <n v="3000"/>
        <n v="3941.04"/>
        <n v="791.92"/>
        <n v="4693.83"/>
        <n v="28934.35"/>
        <n v="30598.04"/>
        <n v="1329.91"/>
        <n v="619.36"/>
        <n v="3298.19"/>
        <n v="19943.87"/>
        <n v="-987.33"/>
        <n v="92.86"/>
        <n v="144233.48"/>
        <n v="32558.14"/>
        <n v="-560.22"/>
        <n v="7454.03"/>
        <n v="1813.64"/>
        <n v="104.6"/>
        <n v="2917.11"/>
        <n v="6.58"/>
        <n v="-206341.86"/>
        <n v="87.97"/>
        <n v="1952.83"/>
        <n v="282339.62"/>
        <n v="753.18"/>
        <n v="647.82"/>
        <n v="244.8"/>
        <n v="1328.21"/>
        <n v="796.98"/>
        <n v="1440.2"/>
        <n v="8048.84"/>
        <n v="-1409.43"/>
        <n v="6639.2"/>
        <n v="5886.99000000001"/>
        <n v="2873.28"/>
        <n v="452.780000000001"/>
        <n v="-2359.67"/>
        <n v="-203.94"/>
        <n v="6465.63"/>
        <n v="4513.59"/>
        <n v="-11571.25"/>
        <n v="3396.23"/>
        <n v="2573.78"/>
        <n v="1200"/>
        <n v="1241.83"/>
        <n v="3693.33"/>
        <n v="-1850.94"/>
        <n v="2706.06"/>
        <n v="4050.71"/>
        <n v="14.91"/>
        <n v="1653.53"/>
        <n v="425.01"/>
        <n v="237.93"/>
        <n v="1187.11"/>
        <n v="11465.92"/>
        <n v="1156.53"/>
        <n v="26973.41"/>
        <n v="21290.74"/>
        <n v="2767.18"/>
        <n v="1526.05"/>
        <n v="6.3"/>
        <n v="16413.71"/>
        <n v="-3.29"/>
        <n v="-626.08"/>
        <n v="-68.75"/>
        <n v="1299.43"/>
        <n v="2161.04"/>
        <n v="7000.58"/>
        <n v="7838.58"/>
        <n v="28.55"/>
        <n v="7665.67"/>
        <n v="9300.77"/>
        <n v="1379.2"/>
        <n v="-1467.89"/>
        <n v="1420.97"/>
        <n v="-5.61"/>
        <n v="699.34"/>
        <n v="22.25"/>
        <n v="1533.9"/>
        <n v="63.61"/>
        <n v="405.16"/>
        <n v="963.26"/>
        <n v="262.69"/>
        <n v="128.4"/>
        <n v="3082.9"/>
        <n v="16596.11"/>
        <n v="-23775.24"/>
        <n v="5.46"/>
        <n v="-417.45"/>
        <n v="9.53"/>
        <n v="3024.42"/>
        <n v="223.19"/>
        <n v="410.73"/>
        <n v="14370.07"/>
        <n v="14264.3"/>
        <n v="17420.9"/>
        <n v="1191.79"/>
        <n v="145.89"/>
        <n v="-955.59"/>
        <n v="4046.16"/>
        <n v="3017.1"/>
        <n v="2123.78"/>
        <n v="6427.02"/>
        <n v="22178.82"/>
        <n v="4626.92"/>
        <n v="151.51"/>
        <n v="7642.52"/>
        <n v="-0.619999999999999"/>
        <n v="3957.17999999999"/>
        <n v="14229.28"/>
        <n v="18241.62"/>
        <n v="13281.98"/>
        <n v="1800"/>
        <n v="18403.4"/>
        <n v="3635.73"/>
        <n v="1389.58"/>
        <n v="2143.92"/>
        <n v="5923.37"/>
        <n v="3258.84"/>
        <n v="39.97"/>
        <n v="1656.46"/>
        <n v="660.06"/>
        <n v="6130.95"/>
        <n v="815.61"/>
        <n v="5568.61"/>
        <n v="11778.46"/>
        <n v="3996.4"/>
        <n v="36397.05"/>
        <n v="382.08"/>
        <n v="2881.6"/>
        <n v="7837.13"/>
        <n v="343.62"/>
        <n v="12133.52"/>
        <n v="19907.06"/>
        <n v="-1558.76"/>
        <n v="4322.23"/>
        <n v="70.33"/>
        <n v="-405.57"/>
        <n v="74.57"/>
        <n v="1055.01"/>
        <n v="2025.2"/>
        <n v="1119.06"/>
        <n v="1662.93"/>
        <n v="1006.95"/>
        <n v="1811.41"/>
        <n v="28"/>
        <n v="44.46"/>
        <n v="2750.56"/>
        <n v="183.51"/>
        <n v="113.53"/>
        <n v="724.49"/>
        <n v="9376.83"/>
        <n v="5528.79"/>
        <n v="1104"/>
        <n v="3311.32"/>
        <n v="13291.46"/>
        <n v="266.32"/>
        <n v="13.02"/>
        <n v="3049.21"/>
        <n v="-748.240000000002"/>
        <n v="3335.06"/>
        <n v="3900.88"/>
        <n v="2980.87"/>
        <n v="5943.39"/>
        <n v="-14569.15"/>
        <n v="4492.92"/>
        <n v="6982.94"/>
        <n v="3688.06"/>
        <n v="2612.64"/>
        <n v="582.65"/>
        <n v="3841.87"/>
        <n v="806.56"/>
        <n v="7926.73"/>
        <n v="20689.58"/>
        <n v="389.06"/>
        <n v="21928.42"/>
        <n v="-34.45"/>
        <n v="2392.01"/>
        <n v="2243.05"/>
        <n v="8886.79"/>
        <n v="2472.7"/>
        <n v="2543.87"/>
        <n v="2546.87"/>
        <n v="2681.1"/>
        <n v="66353.77"/>
        <n v="2818.87"/>
        <n v="291.67"/>
        <n v="7976.05"/>
        <n v="1842.58"/>
        <n v="10.39"/>
        <n v="-42.57"/>
        <n v="24312.74"/>
        <n v="2444.1"/>
        <n v="705.27"/>
        <n v="4822.39"/>
        <n v="121.32"/>
        <n v="43543.81"/>
        <n v="1741.61"/>
        <n v="-97246.03"/>
        <n v="-3024.41"/>
        <n v="9662.89"/>
        <n v="90566.04"/>
        <n v="4199.29"/>
        <n v="871.07"/>
        <n v="14190.53"/>
        <n v="56096.23"/>
        <n v="656.33"/>
        <n v="470.74"/>
        <n v="851.48"/>
        <n v="7006"/>
        <n v="347.31"/>
        <n v="8712.15"/>
        <n v="109.84"/>
        <n v="1034.25"/>
        <n v="279.96"/>
        <n v="4453.27"/>
        <n v="19092.71"/>
        <n v="11014.64"/>
        <n v="-529.109999999999"/>
        <n v="1985.06"/>
        <n v="2856.71"/>
        <n v="2410.3"/>
        <n v="-2818.87"/>
        <n v="-2665.16"/>
        <n v="14547.84"/>
        <n v="1020.01"/>
        <n v="-934.619999999999"/>
        <n v="3212.51"/>
        <n v="2520.92"/>
        <n v="7005.99000000001"/>
        <n v="975.73"/>
        <n v="18867.92"/>
        <n v="947.85"/>
        <n v="1566.53"/>
        <n v="-474.91"/>
        <n v="1930.16"/>
        <n v="16119.52"/>
        <n v="13698.34"/>
        <n v="46.09"/>
        <n v="1265.08"/>
        <n v="456.31"/>
        <n v="3758.6"/>
        <n v="14150.94"/>
        <n v="-5098.37"/>
        <n v="-3056.6"/>
        <n v="4577.74"/>
        <n v="8446.5"/>
        <n v="-1715.51"/>
        <n v="0.34"/>
        <n v="113.21"/>
        <n v="203.77"/>
        <n v="3600"/>
        <n v="-495.22"/>
        <n v="12270.19"/>
        <n v="456.83"/>
        <n v="1556.5"/>
        <n v="8669.69"/>
        <n v="28431.43"/>
        <n v="294.01"/>
        <n v="1462.41"/>
        <n v="1898.89"/>
        <n v="16.46"/>
        <n v="23724.62"/>
        <n v="3235.43"/>
        <n v="5001.81"/>
        <n v="376.49"/>
        <n v="3922.16"/>
        <n v="66.94"/>
        <n v="4132.12"/>
        <n v="3433.07"/>
        <n v="400.37"/>
        <n v="1132.08"/>
        <n v="22507.94"/>
        <n v="6622.64"/>
        <n v="8917.22"/>
        <n v="407.64"/>
        <n v="645.5"/>
        <n v="3304.67"/>
        <n v="-1462.13"/>
        <n v="9750.34"/>
        <n v="4238.59"/>
        <n v="11835.3"/>
        <n v="-3956.75"/>
        <n v="1286.55"/>
        <n v="349.28"/>
        <n v="333.78"/>
        <n v="1891.6"/>
        <n v="308.21"/>
        <n v="508.04"/>
        <n v="1047.49"/>
        <n v="-5.03"/>
        <n v="-1423.64"/>
        <n v="7117.89"/>
        <n v="2807.32"/>
        <n v="2868.2"/>
        <n v="-15.97"/>
        <n v="2520"/>
        <n v="38512.27"/>
        <n v="19364.28"/>
        <n v="-42859.62"/>
        <n v="3451.33"/>
        <n v="2138.84"/>
        <n v="3807.32"/>
        <n v="52027.69"/>
        <n v="71582.87"/>
        <n v="113207.55"/>
        <n v="1628.94"/>
        <n v="298.46"/>
        <n v="15099.95"/>
        <n v="-443.55"/>
        <n v="-61631.86"/>
        <n v="1265.44"/>
        <n v="1370.67"/>
        <n v="1035.33"/>
        <n v="314.85"/>
        <n v="4761.98"/>
        <n v="2048.22"/>
        <n v="636.35"/>
        <n v="2830.19"/>
        <n v="1368.35"/>
        <n v="2227.4"/>
        <n v="2350.36"/>
        <n v="15849.06"/>
        <n v="-1930.16"/>
        <n v="1599.55"/>
        <n v="-2292.67"/>
        <n v="106.76"/>
        <n v="8459.96"/>
        <n v="33.96"/>
        <n v="550.96"/>
        <n v="3797.97"/>
        <n v="445.56"/>
        <n v="12.22"/>
        <n v="1715.37"/>
        <n v="1686.67"/>
        <n v="2095.87"/>
        <n v="2760"/>
        <n v="43687.24"/>
        <n v="49790.44"/>
        <n v="6237.96"/>
        <n v="642.5"/>
        <n v="-13698.34"/>
        <n v="8042.43"/>
        <n v="20694.71"/>
        <n v="11218.87"/>
        <n v="1092.24"/>
        <n v="8439.35"/>
        <n v="40.48"/>
        <n v="9788.28"/>
        <n v="334.76"/>
        <n v="1386.85"/>
        <n v="19228.33"/>
        <n v="87284.61"/>
        <n v="13973.06"/>
        <n v="60073.06"/>
        <n v="353.16"/>
        <n v="573.8"/>
        <n v="406.65"/>
        <n v="4560.21"/>
        <n v="2280.54"/>
        <n v="282.2"/>
        <n v="-94297.3899999999"/>
        <n v="18419.04"/>
        <n v="1342.47"/>
        <n v="1100.63"/>
        <n v="-284.940000000001"/>
        <n v="95302.9099999999"/>
        <n v="21588.52"/>
        <n v="-3.93000000000001"/>
        <n v="-2215.74"/>
        <n v="78.6199999999999"/>
        <n v="-2323.5"/>
        <n v="7325.06"/>
        <n v="5157.81999999999"/>
        <n v="-445.4"/>
        <n v="795.6"/>
        <n v="279.66"/>
        <n v="802.31"/>
        <n v="2221.08"/>
        <n v="123.08"/>
        <n v="9.75"/>
        <n v="28867.92"/>
        <n v="4331.93"/>
        <n v="-1132.08"/>
        <n v="651.8"/>
        <n v="14970.54"/>
        <n v="37.89"/>
        <n v="430.37"/>
        <n v="765.66"/>
        <n v="1061.91"/>
        <n v="378.86"/>
        <n v="12426.61"/>
        <n v="2879.56"/>
        <n v="2116.78"/>
        <n v="333.64"/>
        <n v="1990.4"/>
        <n v="3067.77"/>
        <n v="33434.56"/>
        <n v="977.44"/>
        <n v="8100.9"/>
        <n v="-382.25"/>
        <n v="1796.09"/>
        <n v="63566.14"/>
        <n v="991.65"/>
        <n v="26902.28"/>
        <n v="-25066.93"/>
        <n v="468.95"/>
        <n v="3908.24"/>
        <n v="66.25"/>
        <n v="67.26"/>
        <n v="953.91"/>
        <n v="219.15"/>
        <n v="109.74"/>
        <n v="3445.56"/>
        <n v="16.13"/>
        <n v="14957.57"/>
        <n v="-1309.41"/>
        <n v="-17379.93"/>
        <n v="973.23"/>
        <n v="-704.12"/>
        <n v="-95.47"/>
        <n v="-5.85"/>
        <n v="-358.61"/>
        <n v="-576"/>
        <n v="3098.95"/>
        <n v="3679.25"/>
        <n v="721.16"/>
        <n v="531.02"/>
        <n v="894.56"/>
        <n v="1647.94"/>
        <n v="767.32"/>
        <n v="7178.26"/>
        <n v="62161.83"/>
        <n v="1698.11"/>
        <n v="218.22"/>
        <n v="169811.32"/>
        <n v="-83150.4400000002"/>
        <n v="16756.38"/>
        <n v="84.9200000000001"/>
        <n v="6721.50999999999"/>
        <n v="-16641.2"/>
        <n v="233.08"/>
        <n v="-84.9200000000001"/>
        <n v="96.5900000000001"/>
        <n v="42.85"/>
        <n v="-1333.46"/>
        <n v="2255.63"/>
        <n v="-26.12"/>
        <n v="1527.92"/>
        <n v="-26.77"/>
        <n v="-2277.31"/>
        <n v="11.02"/>
        <n v="40.18"/>
        <n v="978.85"/>
        <n v="263.23"/>
        <n v="1635.5"/>
        <n v="48.63"/>
        <n v="2453.2"/>
        <n v="5524.86"/>
        <n v="1150.69"/>
        <n v="38040.84"/>
        <n v="18451.51"/>
        <n v="73584.91"/>
        <n v="-56603.77"/>
        <n v="16019.63"/>
        <n v="276.76"/>
        <n v="97.83"/>
        <n v="269.11"/>
        <n v="2140.68"/>
        <n v="1735.21"/>
        <n v="190.69"/>
        <n v="215.15"/>
        <n v="-39091.78"/>
        <n v="-1048.98"/>
        <n v="11583.43"/>
        <n v="1144.54"/>
        <n v="4833.34"/>
        <n v="2311.33"/>
        <n v="2547.17"/>
        <n v="8178.2"/>
        <n v="5864.45"/>
        <n v="478.42"/>
        <n v="5660.38"/>
        <n v="1389.57"/>
        <n v="1523.99"/>
        <n v="383.22"/>
        <n v="647.07"/>
        <n v="19063.28"/>
        <n v="15397.49"/>
        <n v="728.84"/>
        <n v="38620.75"/>
        <n v="9983.13"/>
        <n v="1291.04"/>
        <n v="1808.26"/>
        <n v="4842.69"/>
        <n v="28190.74"/>
        <n v="17282.07"/>
        <n v="750.89"/>
        <n v="357.84"/>
        <n v="2733.68"/>
        <n v="2010.14"/>
        <n v="108.84"/>
        <n v="1135.58"/>
        <n v="87.87"/>
        <n v="93.41"/>
        <n v="940.41"/>
        <n v="346.08"/>
        <n v="694.64"/>
        <n v="1112.93"/>
        <n v="299.99"/>
        <n v="139.27"/>
        <n v="296.15"/>
        <n v="3513.4"/>
        <n v="2883.73"/>
        <n v="1844.2"/>
        <n v="4890.16"/>
        <n v="5150.76"/>
        <n v="1732.31"/>
        <n v="1726.91"/>
        <n v="-13505.41"/>
        <n v="5077.49000000001"/>
        <n v="0"/>
        <n v="-1726.91"/>
        <n v="64170.76"/>
        <n v="2174.38"/>
        <n v="-16019.63"/>
        <n v="2659.97"/>
        <n v="-6115.61"/>
        <n v="4863.29"/>
        <n v="100.65"/>
        <n v="1290.36"/>
        <n v="953.85"/>
        <n v="2888.69"/>
        <n v="-760.35"/>
        <n v="974.96"/>
        <n v="25709.59"/>
        <n v="74.96"/>
        <n v="948.11"/>
        <n v="1958.52"/>
        <n v="-0.86"/>
        <n v="1854.07"/>
        <n v="933.96"/>
        <n v="48.84"/>
        <n v="572.9"/>
        <n v="1574.26"/>
        <n v="688.99"/>
        <n v="6.2"/>
        <n v="3078.01"/>
        <n v="1530.27"/>
        <n v="41653.45"/>
        <n v="13204.4"/>
        <n v="1111.01"/>
        <n v="10567.71"/>
        <n v="4269.57"/>
        <n v="2187.98"/>
        <n v="4942.16"/>
        <n v="706.47"/>
        <n v="3968.58"/>
        <n v="9108.5"/>
        <n v="367.92"/>
        <n v="3461.06"/>
        <n v="76.46"/>
        <n v="888.7"/>
        <n v="1382.79"/>
        <n v="167.15"/>
        <n v="16748.62"/>
        <n v="1452.45"/>
        <n v="404.17"/>
        <n v="3287.03"/>
        <n v="-2075.55"/>
        <n v="-59.46"/>
        <n v="4728.57"/>
        <n v="3729.82"/>
        <n v="1199.22"/>
        <n v="2.78"/>
        <n v="10269.7"/>
        <n v="187.08"/>
        <n v="4443.65"/>
        <n v="1940.11"/>
        <n v="2411.82"/>
        <n v="25577.62"/>
        <n v="10120.73"/>
        <n v="-20.85"/>
        <n v="3117.25"/>
        <n v="-2392.35"/>
        <n v="2116.98"/>
        <n v="-4082.26"/>
        <n v="-578.53"/>
        <n v="1765.3"/>
        <n v="865.73"/>
        <n v="4588.97"/>
        <n v="-2140.68"/>
        <n v="2598.68"/>
        <n v="-1855.75"/>
        <n v="61.46"/>
        <n v="742.48"/>
        <n v="6270.33"/>
        <n v="374.57"/>
        <n v="98.49"/>
        <n v="547.15"/>
        <n v="895.49"/>
        <n v="664.39"/>
        <n v="4381.13"/>
        <n v="-0.65"/>
        <n v="12161.8"/>
        <n v="1430.81"/>
        <n v="11890.49"/>
        <n v="-4515.39"/>
        <n v="3439.87"/>
        <n v="-10779.76"/>
        <n v="616.179999999998"/>
        <n v="71.95"/>
        <n v="28.31"/>
        <n v="61.13"/>
        <n v="207221.97"/>
        <n v="24178.48"/>
        <n v="0.02"/>
        <n v="-62.5699999999999"/>
        <n v="159.6"/>
        <n v="46.9400000000001"/>
        <n v="-2601.03"/>
        <n v="7942.96"/>
        <n v="1063.49"/>
        <n v="452.11"/>
        <n v="279.86"/>
        <n v="12278.59"/>
        <n v="1218.8"/>
        <n v="-194.67"/>
        <n v="13884.06"/>
        <n v="11353.63"/>
        <n v="27602.87"/>
        <n v="1300.51"/>
        <n v="62.68"/>
        <n v="2337.34"/>
        <n v="3062.85"/>
        <n v="457.36"/>
        <n v="224.11"/>
        <n v="1127.14"/>
        <n v="1910.95"/>
        <n v="96.1"/>
        <n v="-28.3"/>
        <n v="8156.45"/>
        <n v="1163.5"/>
        <n v="770.38"/>
        <n v="3690.57"/>
        <n v="5.79"/>
        <n v="199.84"/>
        <n v="20382.02"/>
        <n v="2102.57"/>
        <n v="3250.13"/>
        <n v="16320.52"/>
        <n v="1.45"/>
        <n v="545.16"/>
        <n v="22.64"/>
        <n v="678.7"/>
        <n v="439.52"/>
        <n v="2112.02"/>
        <n v="-162.38"/>
        <n v="44109.66"/>
        <n v="3262.84"/>
        <n v="1056"/>
        <n v="4329.49"/>
        <n v="9975.59"/>
        <n v="224.15"/>
        <n v="25579.09"/>
        <n v="1151.83"/>
        <n v="14969.68"/>
        <n v="302.26"/>
        <n v="482.9"/>
        <n v="3164.94"/>
        <n v="-28.23"/>
        <n v="5781.09"/>
        <n v="-707.55"/>
        <n v="776.5"/>
        <n v="1216.29"/>
        <n v="-1605.45"/>
        <n v="15657.82"/>
        <n v="2866.97"/>
        <n v="515.09"/>
        <n v="-66197.22"/>
        <n v="302.56"/>
        <n v="1715.61"/>
        <n v="165.61"/>
        <n v="89.58"/>
        <n v="30084.87"/>
        <n v="548.71"/>
        <n v="922.21"/>
        <n v="636.5"/>
        <n v="-226.42"/>
        <n v="65759.93"/>
        <n v="54641"/>
        <n v="-80547.9199999999"/>
        <n v="17304.32"/>
        <n v="7144.22"/>
        <n v="-13884.06"/>
        <n v="-24.07"/>
        <n v="-315.44"/>
        <n v="13762.23"/>
        <n v="226.41"/>
        <n v="-6949.89"/>
        <n v="318.96"/>
        <n v="-865.67"/>
        <n v="471.63"/>
        <n v="899.07"/>
        <n v="712.13"/>
        <n v="9086.41"/>
        <n v="1220.26"/>
        <n v="169.81"/>
        <n v="3077.42"/>
        <n v="2264.15"/>
        <n v="113.02"/>
        <n v="9530.26"/>
        <n v="711.65"/>
        <n v="34575.72"/>
        <n v="28533.45"/>
        <n v="10104.55"/>
        <n v="74.18"/>
        <n v="755.41"/>
        <n v="201"/>
        <n v="4127.23"/>
        <n v="8024.34"/>
        <n v="263.89"/>
        <n v="388.98"/>
        <n v="9289.89"/>
        <n v="12050.38"/>
        <n v="1830.65"/>
        <n v="293.17"/>
        <n v="-23.94"/>
        <n v="1838.58"/>
        <n v="524.75"/>
        <n v="2986.11"/>
        <n v="2502.13"/>
        <n v="201.9"/>
        <n v="2053.04"/>
        <n v="18186.02"/>
        <n v="552.91"/>
        <n v="11472.48"/>
        <n v="146793.47"/>
        <n v="9723.4"/>
        <n v="55912.56"/>
        <n v="125.65"/>
        <n v="-812.62"/>
        <n v="3350.04"/>
        <n v="474.3"/>
        <n v="730.56"/>
        <n v="1123.77"/>
        <n v="63.1"/>
        <n v="2309.09"/>
        <n v="725.09"/>
        <n v="28489.88"/>
        <n v="7877.72"/>
        <n v="426.81"/>
        <n v="23132.24"/>
        <n v="2688.24"/>
        <n v="1796.93"/>
        <n v="19230.61"/>
        <n v="4.92"/>
        <n v="14273.96"/>
        <n v="1323.95"/>
        <n v="2018.46"/>
        <n v="3.29"/>
        <n v="579.74"/>
        <n v="4052.15"/>
        <n v="80033.93"/>
        <n v="1007.15"/>
        <n v="8593.6"/>
        <n v="46330.22"/>
        <n v="4018.87"/>
        <n v="1789.69"/>
        <n v="22205.92"/>
        <n v="5838.29"/>
        <n v="-1232.21"/>
        <n v="2519.51"/>
        <n v="9093.19"/>
        <n v="-164.72"/>
        <n v="24743.65"/>
        <n v="2973.11"/>
        <n v="113441.78"/>
        <n v="-611.120000000001"/>
        <n v="2802.81"/>
        <n v="2079.65"/>
        <n v="-30.6299999999999"/>
        <n v="-1120.92"/>
        <n v="-3824.13"/>
        <n v="-74.8699999999999"/>
        <n v="0.04"/>
        <n v="111412.08"/>
        <n v="-8701.67000000001"/>
        <n v="10519.98"/>
        <n v="-29255.09"/>
        <n v="220.13"/>
        <n v="-5943.4"/>
        <n v="44.14"/>
        <n v="387.29"/>
        <n v="-2040.48"/>
        <n v="-5253.08"/>
        <n v="-30.24"/>
        <n v="7.85"/>
        <n v="-19806.94"/>
        <n v="679.42"/>
        <n v="2220.16"/>
        <n v="4981.13"/>
        <n v="686.78"/>
        <n v="3.67"/>
        <n v="1415.09"/>
        <n v="222.96"/>
        <n v="2089.09"/>
        <n v="2258.36"/>
        <n v="297.28"/>
        <n v="730.98"/>
        <n v="979.32"/>
        <n v="146.33"/>
        <n v="1135.68"/>
        <n v="494.02"/>
        <n v="1695.21"/>
        <n v="116.18"/>
        <n v="30587.61"/>
        <n v="842.39"/>
        <n v="1308.34"/>
        <n v="6074.11"/>
        <n v="12815.45"/>
        <n v="4932.5"/>
        <n v="-4493.55"/>
        <n v="1703.34"/>
        <n v="25.88"/>
        <n v="2913.78"/>
        <n v="966.87"/>
        <n v="107978.26"/>
        <n v="12434.92"/>
        <n v="359.19"/>
        <n v="8695.21"/>
        <n v="110.11"/>
        <n v="371.47"/>
        <n v="339.17"/>
        <n v="15286.53"/>
        <n v="991.89"/>
        <n v="5183.86"/>
        <n v="474.99"/>
        <n v="4767.85"/>
        <n v="17930.48"/>
        <n v="2139.92"/>
        <n v="1665.9"/>
        <n v="49889.36"/>
        <n v="5287.15"/>
        <n v="1433.38"/>
        <n v="188.76"/>
        <n v="771.35"/>
        <n v="26248.14"/>
        <n v="706.12"/>
        <n v="18879.24"/>
        <n v="3267.17"/>
        <n v="1583.24"/>
        <n v="26442.64"/>
        <n v="3250.53"/>
        <n v="277.96"/>
        <n v="9567.31"/>
        <n v="11279.03"/>
        <n v="40.1"/>
        <n v="582.44"/>
        <n v="6.53"/>
        <n v="1571.67"/>
        <n v="159.8"/>
        <n v="3123.74"/>
        <n v="582.94"/>
        <n v="99.23"/>
        <n v="76.63"/>
        <n v="49789.97"/>
        <n v="1239.89"/>
        <n v="1554.83"/>
        <n v="11755.33"/>
        <n v="-949.57"/>
        <n v="-684.34"/>
        <n v="3699.31"/>
        <n v="2005.82"/>
        <n v="13841.2"/>
        <n v="3983.26"/>
        <n v="2711.01"/>
        <n v="193.44"/>
        <n v="622.64"/>
        <n v="70.82"/>
        <n v="799.23"/>
        <n v="-1487.76"/>
        <n v="3535.99"/>
        <n v="435.98"/>
        <n v="118.47"/>
        <n v="3559.25"/>
        <n v="-529.66"/>
        <n v="1003.08"/>
        <n v="3890.66"/>
        <n v="905.610000000001"/>
        <n v="20760.12"/>
        <n v="3078.67"/>
        <n v="32885.01"/>
        <n v="12074.94"/>
        <n v="116282.11"/>
        <n v="137781.87"/>
        <n v="7865.89000000001"/>
        <n v="-15286.53"/>
        <n v="-1695.21"/>
        <n v="872.289999999997"/>
        <n v="-110.11"/>
        <n v="56.6600000000001"/>
        <n v="-8695.21000000002"/>
        <n v="4474.23000000001"/>
        <n v="-2844.34"/>
        <n v="497.520000000004"/>
        <n v="4548.37999999999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1.5350810185" refreshedBy="Administrator" recordCount="26">
  <cacheSource type="worksheet">
    <worksheetSource ref="A60:O86" sheet="立减金"/>
  </cacheSource>
  <cacheFields count="15">
    <cacheField name="月份(Year Month Day)" numFmtId="0">
      <sharedItems count="12">
        <s v="2023-01-01"/>
        <s v="2023-02-01"/>
        <s v="2023-03-01"/>
        <s v="2023-04-01"/>
        <s v="2023-05-01"/>
        <s v="2023-06-01"/>
        <s v="2023-07-01"/>
        <s v="2023-08-01"/>
        <s v="2023-09-01"/>
        <s v="2023-10-01"/>
        <s v="2023-11-01"/>
        <s v="2023-12-01"/>
      </sharedItems>
    </cacheField>
    <cacheField name="供应商名称" numFmtId="0">
      <sharedItems count="2">
        <s v="支付宝（中国）网络技术有限公司"/>
        <s v="财付通支付科技有限公司"/>
      </sharedItems>
    </cacheField>
    <cacheField name="商品大类" numFmtId="0">
      <sharedItems count="1">
        <s v="生活服务"/>
      </sharedItems>
    </cacheField>
    <cacheField name="返点" numFmtId="176">
      <sharedItems containsSemiMixedTypes="0" containsString="0" containsNumber="1" containsInteger="1" minValue="0" maxValue="0" count="1">
        <n v="0"/>
      </sharedItems>
    </cacheField>
    <cacheField name="调整后gmv" numFmtId="176">
      <sharedItems containsSemiMixedTypes="0" containsString="0" containsNumber="1" minValue="0" maxValue="99269088.42" count="25">
        <n v="20204294.65"/>
        <n v="13374200.83"/>
        <n v="27744388.04"/>
        <n v="17882795.79"/>
        <n v="20629251.7"/>
        <n v="60381189.2988"/>
        <n v="82972665.75"/>
        <n v="18394316.09"/>
        <n v="97526043.79"/>
        <n v="16525649.9"/>
        <n v="13277774.7"/>
        <n v="99269088.42"/>
        <n v="85005475.87"/>
        <n v="13706954.95"/>
        <n v="80407305.72"/>
        <n v="16699731.92"/>
        <n v="32817311.32"/>
        <n v="33279094.12"/>
        <n v="20520541.24"/>
        <n v="58488333.74"/>
        <n v="50098850.99"/>
        <n v="20999445.9"/>
        <n v="21912169.45"/>
        <n v="47233734.16"/>
        <n v="0"/>
      </sharedItems>
    </cacheField>
    <cacheField name="调整后成本" numFmtId="176">
      <sharedItems containsSemiMixedTypes="0" containsString="0" containsNumber="1" minValue="-4556407.403" maxValue="98290779.02" count="26">
        <n v="20022473.3"/>
        <n v="13175429.47"/>
        <n v="27537083"/>
        <n v="17601241.33"/>
        <n v="17551301.45"/>
        <n v="59969677.31"/>
        <n v="82447331.28"/>
        <n v="18139514.65"/>
        <n v="96974693.77"/>
        <n v="16342622.05"/>
        <n v="13486402.83"/>
        <n v="98290779.02"/>
        <n v="84987656.55"/>
        <n v="13510106.82"/>
        <n v="80021561.82"/>
        <n v="16350032.06"/>
        <n v="32538098.47"/>
        <n v="33923972.65"/>
        <n v="20275384.98"/>
        <n v="58520627.04"/>
        <n v="49859546.39"/>
        <n v="20706472.95"/>
        <n v="21824454"/>
        <n v="46903979.21"/>
        <n v="-4556407.403"/>
        <n v="-1477069.1688"/>
      </sharedItems>
    </cacheField>
    <cacheField name="调整后毛利" numFmtId="176">
      <sharedItems containsSemiMixedTypes="0" containsString="0" containsNumber="1" minValue="-644878.530000001" maxValue="4556407.403" count="26">
        <n v="181821.349999998"/>
        <n v="198771.359999999"/>
        <n v="207305.039999999"/>
        <n v="281554.460000001"/>
        <n v="3077950.25"/>
        <n v="411511.988799997"/>
        <n v="525334.469999999"/>
        <n v="254801.440000001"/>
        <n v="551350.020000011"/>
        <n v="183027.85"/>
        <n v="-208628.130000001"/>
        <n v="978309.399999991"/>
        <n v="17819.3200000077"/>
        <n v="196848.129999999"/>
        <n v="385743.900000006"/>
        <n v="349699.859999999"/>
        <n v="279212.849999998"/>
        <n v="-644878.530000001"/>
        <n v="245156.259999998"/>
        <n v="-32293.3000000045"/>
        <n v="239304.600000001"/>
        <n v="292972.949999999"/>
        <n v="87715.4499999993"/>
        <n v="329754.949999996"/>
        <n v="4556407.403"/>
        <n v="1477069.1688"/>
      </sharedItems>
    </cacheField>
    <cacheField name="调整后订单毛利（含返点）" numFmtId="176">
      <sharedItems containsSemiMixedTypes="0" containsString="0" containsNumber="1" minValue="-644878.530000001" maxValue="4556407.403" count="26">
        <n v="181821.349999998"/>
        <n v="198771.359999999"/>
        <n v="207305.039999999"/>
        <n v="281554.460000001"/>
        <n v="3077950.25"/>
        <n v="411511.988799997"/>
        <n v="525334.469999999"/>
        <n v="254801.440000001"/>
        <n v="551350.020000011"/>
        <n v="183027.85"/>
        <n v="-208628.130000001"/>
        <n v="978309.399999991"/>
        <n v="17819.3200000077"/>
        <n v="196848.129999999"/>
        <n v="385743.900000006"/>
        <n v="349699.859999999"/>
        <n v="279212.849999998"/>
        <n v="-644878.530000001"/>
        <n v="245156.259999998"/>
        <n v="-32293.3000000045"/>
        <n v="239304.600000001"/>
        <n v="292972.949999999"/>
        <n v="87715.4499999993"/>
        <n v="329754.949999996"/>
        <n v="4556407.403"/>
        <n v="1477069.1688"/>
      </sharedItems>
    </cacheField>
    <cacheField name="代运营收入" numFmtId="176">
      <sharedItems containsSemiMixedTypes="0" containsString="0" containsNumber="1" containsInteger="1" minValue="0" maxValue="0" count="1">
        <n v="0"/>
      </sharedItems>
    </cacheField>
    <cacheField name="代运营成本" numFmtId="176">
      <sharedItems containsSemiMixedTypes="0" containsString="0" containsNumber="1" containsInteger="1" minValue="0" maxValue="0" count="1">
        <n v="0"/>
      </sharedItems>
    </cacheField>
    <cacheField name="代运营毛利" numFmtId="176">
      <sharedItems containsSemiMixedTypes="0" containsString="0" containsNumber="1" containsInteger="1" minValue="0" maxValue="0" count="1">
        <n v="0"/>
      </sharedItems>
    </cacheField>
    <cacheField name="合并毛利" numFmtId="176">
      <sharedItems containsSemiMixedTypes="0" containsString="0" containsNumber="1" minValue="-644878.530000001" maxValue="4556407.403" count="26">
        <n v="181821.349999998"/>
        <n v="198771.359999999"/>
        <n v="207305.039999999"/>
        <n v="281554.460000001"/>
        <n v="3077950.25"/>
        <n v="411511.988799997"/>
        <n v="525334.469999999"/>
        <n v="254801.440000001"/>
        <n v="551350.020000011"/>
        <n v="183027.85"/>
        <n v="-208628.130000001"/>
        <n v="978309.399999991"/>
        <n v="17819.3200000077"/>
        <n v="196848.129999999"/>
        <n v="385743.900000006"/>
        <n v="349699.859999999"/>
        <n v="279212.849999998"/>
        <n v="-644878.530000001"/>
        <n v="245156.259999998"/>
        <n v="-32293.3000000045"/>
        <n v="239304.600000001"/>
        <n v="292972.949999999"/>
        <n v="87715.4499999993"/>
        <n v="329754.949999996"/>
        <n v="4556407.403"/>
        <n v="1477069.1688"/>
      </sharedItems>
    </cacheField>
    <cacheField name="留存率" numFmtId="0">
      <sharedItems containsNumber="1" containsMixedTypes="1" count="25">
        <n v="0.00899914365483666"/>
        <n v="0.0148622981310502"/>
        <n v="0.00747196296783049"/>
        <n v="0.0157444318721933"/>
        <n v="0.149203194316544"/>
        <n v="0.00681523490310222"/>
        <n v="0.00633141607843302"/>
        <n v="0.0138521834002039"/>
        <n v="0.0056533618977431"/>
        <n v="0.0110753798554089"/>
        <n v="-0.0157125824706154"/>
        <n v="0.00985512625905094"/>
        <n v="0.000209625554325984"/>
        <n v="0.0143611860342475"/>
        <n v="0.00479737377774192"/>
        <n v="0.0209404475278546"/>
        <n v="0.00850809645182103"/>
        <n v="-0.0193778871406371"/>
        <n v="0.0119468710465649"/>
        <n v="-0.000552132330244846"/>
        <n v="0.00477664847139444"/>
        <n v="0.013951460976406"/>
        <n v="0.00400304726559146"/>
        <n v="0.00698134407250082"/>
        <e v="#DIV/0!"/>
      </sharedItems>
    </cacheField>
    <cacheField name="供应商+商品大类" numFmtId="0">
      <sharedItems count="2">
        <s v="支付宝（中国）网络技术有限公司生活服务"/>
        <s v="财付通支付科技有限公司生活服务"/>
      </sharedItems>
    </cacheField>
    <cacheField name="品牌分类" numFmtId="10">
      <sharedItems count="1">
        <s v="生活-立减金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1.5359837963" refreshedBy="Administrator" recordCount="34">
  <cacheSource type="worksheet">
    <worksheetSource ref="A22:O56" sheet="立减金"/>
  </cacheSource>
  <cacheFields count="15">
    <cacheField name="月份(Year Month Day)" numFmtId="177">
      <sharedItems count="12">
        <s v="2024-01-01"/>
        <s v="2024-02-01"/>
        <s v="2024-03-01"/>
        <s v="2024-04-01"/>
        <s v="2024-05-01"/>
        <s v="2024-06-01"/>
        <s v="2024-07-01"/>
        <s v="2024-08-01"/>
        <s v="2024-09-01"/>
        <s v="2024-10-01"/>
        <s v="2024-11-01"/>
        <s v="2024-12-01"/>
      </sharedItems>
    </cacheField>
    <cacheField name="供应商名称" numFmtId="0">
      <sharedItems count="4">
        <s v="支付宝（中国）网络技术有限公司"/>
        <s v="财付通支付科技有限公司"/>
        <s v="沭阳惠联信息技术有限公司"/>
        <s v="沭阳畅盈科技信息技术有限公司"/>
      </sharedItems>
    </cacheField>
    <cacheField name="商品大类" numFmtId="0">
      <sharedItems count="1">
        <s v="生活服务"/>
      </sharedItems>
    </cacheField>
    <cacheField name="返点" numFmtId="0">
      <sharedItems containsString="0" containsBlank="1" containsNumber="1" containsInteger="1" minValue="0" maxValue="0" count="2">
        <n v="0"/>
        <m/>
      </sharedItems>
    </cacheField>
    <cacheField name="调整后gmv" numFmtId="0">
      <sharedItems containsSemiMixedTypes="0" containsString="0" containsNumber="1" minValue="0" maxValue="104551692.535406" count="34">
        <n v="49664137.91"/>
        <n v="21009752.29"/>
        <n v="18071089.08"/>
        <n v="54514747.82"/>
        <n v="15308238.21"/>
        <n v="49428282.52"/>
        <n v="21109565.1"/>
        <n v="9991177.75"/>
        <n v="27012687.25"/>
        <n v="24224478.9"/>
        <n v="91622182.6662"/>
        <n v="15705774.1225999"/>
        <n v="104551692.535406"/>
        <n v="27134855.4918999"/>
        <n v="92388767.0663777"/>
        <n v="2589697.73"/>
        <n v="1212060.6452"/>
        <n v="13558878.6709"/>
        <n v="14133835.6736343"/>
        <n v="16342049.9998"/>
        <n v="10327495.9831999"/>
        <n v="13407049.7912"/>
        <n v="57259958.3935005"/>
        <n v="16773619.1071999"/>
        <n v="13873376.8641999"/>
        <n v="16735650.4182"/>
        <n v="65927565.5731526"/>
        <n v="13626478.8429"/>
        <n v="7636778.8787"/>
        <n v="16736278.6416999"/>
        <n v="45234067.3145166"/>
        <n v="24016267.929"/>
        <n v="3497346.68659999"/>
        <n v="21322410.0274999"/>
      </sharedItems>
    </cacheField>
    <cacheField name="调整后成本" numFmtId="0">
      <sharedItems containsSemiMixedTypes="0" containsString="0" containsNumber="1" minValue="0" maxValue="101728298.350005" count="34">
        <n v="49223724.66"/>
        <n v="20702730.46"/>
        <n v="17839964.74"/>
        <n v="53982475.39"/>
        <n v="15066603.1"/>
        <n v="48838056.72"/>
        <n v="20311963.15"/>
        <n v="10573044.23"/>
        <n v="27925599.89"/>
        <n v="24010221.65"/>
        <n v="90850606.3135999"/>
        <n v="15651142.3681"/>
        <n v="101728298.350005"/>
        <n v="24836099.2096"/>
        <n v="91626538.9018996"/>
        <n v="2545945.869"/>
        <n v="1191974.2495"/>
        <n v="13439057.8649"/>
        <n v="13342313.7053984"/>
        <n v="16098216.75"/>
        <n v="10138399.239"/>
        <n v="12556813.8418399"/>
        <n v="56913080.58"/>
        <n v="16572817.653"/>
        <n v="13614547.8179999"/>
        <n v="16328550.4287"/>
        <n v="65245474.39"/>
        <n v="13468788.0834999"/>
        <n v="7484300.6084"/>
        <n v="16589365.5280285"/>
        <n v="44303240.215"/>
        <n v="23757409.5759"/>
        <n v="3404408.477"/>
        <n v="20795978.3077777"/>
      </sharedItems>
    </cacheField>
    <cacheField name="调整后毛利" numFmtId="0">
      <sharedItems containsSemiMixedTypes="0" containsString="0" containsNumber="1" minValue="-912912.640000001" maxValue="2823394.18540101" count="34">
        <n v="440413.249999993"/>
        <n v="307021.829999998"/>
        <n v="231124.34"/>
        <n v="532272.43"/>
        <n v="241635.110000001"/>
        <n v="590225.800000004"/>
        <n v="797601.950000003"/>
        <n v="-581866.48"/>
        <n v="-912912.640000001"/>
        <n v="214257.249999996"/>
        <n v="771576.352600098"/>
        <n v="54631.7544998992"/>
        <n v="2823394.18540101"/>
        <n v="2298756.2822999"/>
        <n v="762228.164478093"/>
        <n v="43751.861"/>
        <n v="20086.3957"/>
        <n v="119820.806"/>
        <n v="791521.968235901"/>
        <n v="243833.2498"/>
        <n v="189096.7441999"/>
        <n v="850235.949360102"/>
        <n v="346877.813500501"/>
        <n v="200801.454199899"/>
        <n v="258829.0462"/>
        <n v="407099.989499999"/>
        <n v="682091.183152601"/>
        <n v="157690.759400101"/>
        <n v="152478.2703"/>
        <n v="146913.1136714"/>
        <n v="930827.0995166"/>
        <n v="258858.353099998"/>
        <n v="92938.2095999899"/>
        <n v="526431.7197222"/>
      </sharedItems>
    </cacheField>
    <cacheField name="调整后毛利（含返点）" numFmtId="0">
      <sharedItems containsSemiMixedTypes="0" containsString="0" containsNumber="1" minValue="-912912.640000001" maxValue="2823394.18540101" count="34">
        <n v="440413.249999993"/>
        <n v="307021.829999998"/>
        <n v="231124.34"/>
        <n v="532272.43"/>
        <n v="241635.110000001"/>
        <n v="590225.800000004"/>
        <n v="797601.950000003"/>
        <n v="-581866.48"/>
        <n v="-912912.640000001"/>
        <n v="214257.249999996"/>
        <n v="771576.352600098"/>
        <n v="54631.7544998992"/>
        <n v="2823394.18540101"/>
        <n v="2298756.2822999"/>
        <n v="762228.164478093"/>
        <n v="43751.861"/>
        <n v="20086.3957"/>
        <n v="119820.806"/>
        <n v="791521.968235901"/>
        <n v="243833.2498"/>
        <n v="189096.7441999"/>
        <n v="850235.949360102"/>
        <n v="346877.813500501"/>
        <n v="200801.454199899"/>
        <n v="258829.0462"/>
        <n v="407099.989499999"/>
        <n v="682091.183152601"/>
        <n v="157690.759400101"/>
        <n v="152478.2703"/>
        <n v="146913.1136714"/>
        <n v="930827.0995166"/>
        <n v="258858.353099998"/>
        <n v="92938.2095999899"/>
        <n v="526431.7197222"/>
      </sharedItems>
    </cacheField>
    <cacheField name="代运营收入" numFmtId="0">
      <sharedItems containsString="0" containsBlank="1" containsNumber="1" containsInteger="1" minValue="0" maxValue="0" count="2">
        <n v="0"/>
        <m/>
      </sharedItems>
    </cacheField>
    <cacheField name="代运营成本" numFmtId="0">
      <sharedItems containsString="0" containsBlank="1" containsNumber="1" containsInteger="1" minValue="0" maxValue="0" count="2">
        <n v="0"/>
        <m/>
      </sharedItems>
    </cacheField>
    <cacheField name="代运营毛利" numFmtId="0">
      <sharedItems containsString="0" containsBlank="1" containsNumber="1" containsInteger="1" minValue="0" maxValue="0" count="2">
        <n v="0"/>
        <m/>
      </sharedItems>
    </cacheField>
    <cacheField name="合并毛利" numFmtId="0">
      <sharedItems containsSemiMixedTypes="0" containsString="0" containsNumber="1" minValue="-912912.640000001" maxValue="2823394.18540101" count="34">
        <n v="440413.249999993"/>
        <n v="307021.829999998"/>
        <n v="231124.34"/>
        <n v="532272.43"/>
        <n v="241635.109999999"/>
        <n v="590225.800000004"/>
        <n v="797601.950000003"/>
        <n v="-581866.48"/>
        <n v="-912912.640000001"/>
        <n v="214257.249999996"/>
        <n v="771576.352600098"/>
        <n v="54631.7544998992"/>
        <n v="2823394.18540101"/>
        <n v="2298756.2822999"/>
        <n v="762228.164478093"/>
        <n v="43751.861"/>
        <n v="20086.3957"/>
        <n v="119820.806"/>
        <n v="791521.968235901"/>
        <n v="243833.2498"/>
        <n v="189096.7441999"/>
        <n v="850235.949360102"/>
        <n v="346877.813500501"/>
        <n v="200801.454199899"/>
        <n v="258829.0462"/>
        <n v="407099.989499999"/>
        <n v="682091.183152601"/>
        <n v="157690.759400101"/>
        <n v="152478.2703"/>
        <n v="146913.1136714"/>
        <n v="930827.0995166"/>
        <n v="258858.353099998"/>
        <n v="92938.2095999899"/>
        <n v="526431.7197222"/>
      </sharedItems>
    </cacheField>
    <cacheField name="留存率" numFmtId="0">
      <sharedItems containsSemiMixedTypes="0" containsString="0" containsNumber="1" minValue="-0.0582380270434084" maxValue="0.0847159950045104" count="34">
        <n v="0.00886783237429989"/>
        <n v="0.0146133008025102"/>
        <n v="0.0127897294389299"/>
        <n v="0.00976382449309842"/>
        <n v="0.0157846452795693"/>
        <n v="0.0119410541881803"/>
        <n v="0.0377839119954206"/>
        <n v="-0.0582380270434084"/>
        <n v="-0.033795698723014"/>
        <n v="0.00884465878025538"/>
        <n v="0.00842128325419972"/>
        <n v="0.00347845028671886"/>
        <n v="0.0270047678515092"/>
        <n v="0.0847159950045104"/>
        <n v="0.00825022552720573"/>
        <n v="0.0168945821333365"/>
        <n v="0.0165721045226129"/>
        <n v="0.00883707339731262"/>
        <n v="0.0560013280409938"/>
        <n v="0.0149206035841883"/>
        <n v="0.0183100283464172"/>
        <n v="0.0634170800139918"/>
        <n v="0.00605794735505562"/>
        <n v="0.0119712658858282"/>
        <n v="0.0186565281642356"/>
        <n v="0.0243253162755646"/>
        <n v="0.0103460696178105"/>
        <n v="0.0115723776639675"/>
        <n v="0.0199663068319658"/>
        <n v="0.00877812307123955"/>
        <n v="0.0205780102205816"/>
        <n v="0.0107784587457664"/>
        <n v="0.0265739195819736"/>
        <n v="0.0246891284354466"/>
      </sharedItems>
    </cacheField>
    <cacheField name="供应商+商品大类" numFmtId="0">
      <sharedItems count="4">
        <s v="支付宝（中国）网络技术有限公司生活服务"/>
        <s v="财付通支付科技有限公司生活服务"/>
        <s v="沭阳惠联信息技术有限公司生活服务"/>
        <s v="沭阳畅盈科技信息技术有限公司生活服务"/>
      </sharedItems>
    </cacheField>
    <cacheField name="品牌分类" numFmtId="0">
      <sharedItems count="1">
        <s v="生活-立减金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1.5368171296" refreshedBy="Administrator" recordCount="16">
  <cacheSource type="worksheet">
    <worksheetSource ref="A1:O17" sheet="立减金"/>
  </cacheSource>
  <cacheFields count="15">
    <cacheField name="月份" numFmtId="0">
      <sharedItems containsSemiMixedTypes="0" containsString="0" containsNonDate="0" containsDate="1" minDate="2025-01-01T00:00:00" maxDate="2025-04-01T00:00:00" count="4">
        <d v="2025-01-01T00:00:00"/>
        <d v="2025-02-01T00:00:00"/>
        <d v="2025-03-01T00:00:00"/>
        <d v="2025-04-01T00:00:00"/>
      </sharedItems>
    </cacheField>
    <cacheField name="供应商名称" numFmtId="0">
      <sharedItems count="4">
        <s v="支付宝（中国）网络技术有限公司"/>
        <s v="沭阳惠联信息技术有限公司"/>
        <s v="沭阳畅盈科技信息技术有限公司"/>
        <s v="财付通支付科技有限公司"/>
      </sharedItems>
    </cacheField>
    <cacheField name="商品大类" numFmtId="0">
      <sharedItems count="1">
        <s v="生活服务"/>
      </sharedItems>
    </cacheField>
    <cacheField name="返点" numFmtId="43">
      <sharedItems containsString="0" containsBlank="1" containsNonDate="0" count="1">
        <m/>
      </sharedItems>
    </cacheField>
    <cacheField name="调整后gmv" numFmtId="43">
      <sharedItems containsSemiMixedTypes="0" containsString="0" containsNumber="1" minValue="0" maxValue="95623002.8486527" count="16">
        <n v="90597596.2132329"/>
        <n v="20202421.6827999"/>
        <n v="10003216.808"/>
        <n v="15437951.8681999"/>
        <n v="69109643.708478"/>
        <n v="24852032.382"/>
        <n v="8837897.64449999"/>
        <n v="5237929.64399999"/>
        <n v="25774731.4176"/>
        <n v="8366262.88109999"/>
        <n v="73862586.6826619"/>
        <n v="91665462.201355"/>
        <n v="20065149.7824"/>
        <n v="6679401.79229999"/>
        <n v="53799523.7891666"/>
        <n v="95623002.8486527"/>
      </sharedItems>
    </cacheField>
    <cacheField name="调整后成本" numFmtId="43">
      <sharedItems containsSemiMixedTypes="0" containsString="0" containsNumber="1" minValue="0" maxValue="94868968.443" count="16">
        <n v="92113782.7771861"/>
        <n v="19844156.7859999"/>
        <n v="9804994.8503"/>
        <n v="15225491.9799999"/>
        <n v="64799546.3999999"/>
        <n v="24532127.5690999"/>
        <n v="8661417.9911"/>
        <n v="5044771.47671428"/>
        <n v="25535316.5297619"/>
        <n v="8189757.5972"/>
        <n v="72618086.5763"/>
        <n v="90606283.2269999"/>
        <n v="19878292.9816667"/>
        <n v="6544012.9132"/>
        <n v="52857505.3298999"/>
        <n v="94868968.443"/>
      </sharedItems>
    </cacheField>
    <cacheField name="调整后毛利" numFmtId="43">
      <sharedItems containsSemiMixedTypes="0" containsString="0" containsNumber="1" minValue="-1516186.56395319" maxValue="4310097.3084781" count="16">
        <n v="-1516186.56395319"/>
        <n v="358264.8968"/>
        <n v="198221.957700001"/>
        <n v="212459.8882"/>
        <n v="4310097.3084781"/>
        <n v="319904.8129001"/>
        <n v="176479.653399989"/>
        <n v="193158.16728571"/>
        <n v="239414.887838093"/>
        <n v="176505.28389999"/>
        <n v="1244500.1063619"/>
        <n v="1059178.9743551"/>
        <n v="186856.800733333"/>
        <n v="135388.879099989"/>
        <n v="942018.459266702"/>
        <n v="754034.405652699"/>
      </sharedItems>
    </cacheField>
    <cacheField name="调整后毛利（含返点）" numFmtId="43">
      <sharedItems containsSemiMixedTypes="0" containsString="0" containsNumber="1" minValue="-1516186.56395319" maxValue="4310097.3084781" count="16">
        <n v="-1516186.56395319"/>
        <n v="358264.8968"/>
        <n v="198221.957700001"/>
        <n v="212459.8882"/>
        <n v="4310097.3084781"/>
        <n v="319904.8129001"/>
        <n v="176479.653399989"/>
        <n v="193158.16728571"/>
        <n v="239414.887838093"/>
        <n v="176505.28389999"/>
        <n v="1244500.1063619"/>
        <n v="1059178.9743551"/>
        <n v="186856.800733333"/>
        <n v="135388.879099989"/>
        <n v="942018.459266702"/>
        <n v="754034.405652699"/>
      </sharedItems>
    </cacheField>
    <cacheField name="代运营收入" numFmtId="43">
      <sharedItems containsString="0" containsBlank="1" containsNonDate="0" count="1">
        <m/>
      </sharedItems>
    </cacheField>
    <cacheField name="代运营成本" numFmtId="43">
      <sharedItems containsString="0" containsBlank="1" containsNonDate="0" count="1">
        <m/>
      </sharedItems>
    </cacheField>
    <cacheField name="代运营毛利" numFmtId="43">
      <sharedItems containsSemiMixedTypes="0" containsString="0" containsNumber="1" containsInteger="1" minValue="0" maxValue="0" count="1">
        <n v="0"/>
      </sharedItems>
    </cacheField>
    <cacheField name="合并毛利" numFmtId="43">
      <sharedItems containsSemiMixedTypes="0" containsString="0" containsNumber="1" minValue="-1516186.56395319" maxValue="4310097.3084781" count="16">
        <n v="-1516186.56395319"/>
        <n v="358264.8968"/>
        <n v="198221.957700001"/>
        <n v="212459.8882"/>
        <n v="4310097.3084781"/>
        <n v="319904.8129001"/>
        <n v="176479.653399989"/>
        <n v="193158.16728571"/>
        <n v="239414.887838093"/>
        <n v="176505.28389999"/>
        <n v="1244500.1063619"/>
        <n v="1059178.9743551"/>
        <n v="186856.800733333"/>
        <n v="135388.879099989"/>
        <n v="942018.459266702"/>
        <n v="754034.405652699"/>
      </sharedItems>
    </cacheField>
    <cacheField name="留存率" numFmtId="0">
      <sharedItems containsSemiMixedTypes="0" containsString="0" containsNumber="1" minValue="-0.0167353950582161" maxValue="0.0623660762405198" count="16">
        <n v="-0.0167353950582161"/>
        <n v="0.017733759963293"/>
        <n v="0.0198158214007193"/>
        <n v="0.0137621810207634"/>
        <n v="0.0623660762405198"/>
        <n v="0.0128723803342459"/>
        <n v="0.0199685106683506"/>
        <n v="0.0368768159203839"/>
        <n v="0.00928874423399854"/>
        <n v="0.0210972672516338"/>
        <n v="0.0168488562647919"/>
        <n v="0.0115548315463514"/>
        <n v="0.00931250465407605"/>
        <n v="0.0202696114577304"/>
        <n v="0.0175097917773092"/>
        <n v="0.00788549180834811"/>
      </sharedItems>
    </cacheField>
    <cacheField name="供应商+商品大类" numFmtId="0">
      <sharedItems count="4">
        <s v="支付宝（中国）网络技术有限公司生活服务"/>
        <s v="沭阳惠联信息技术有限公司生活服务"/>
        <s v="沭阳畅盈科技信息技术有限公司生活服务"/>
        <s v="财付通支付科技有限公司生活服务"/>
      </sharedItems>
    </cacheField>
    <cacheField name="品牌分类" numFmtId="0">
      <sharedItems count="1">
        <s v="生活-立减金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1"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1"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91"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91"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6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1"/>
    <x v="1"/>
    <x v="1"/>
    <x v="0"/>
    <x v="0"/>
    <x v="0"/>
    <x v="1"/>
    <x v="1"/>
    <x v="1"/>
    <x v="0"/>
  </r>
  <r>
    <x v="1"/>
    <x v="0"/>
    <x v="0"/>
    <x v="0"/>
    <x v="2"/>
    <x v="2"/>
    <x v="2"/>
    <x v="2"/>
    <x v="0"/>
    <x v="0"/>
    <x v="0"/>
    <x v="2"/>
    <x v="2"/>
    <x v="0"/>
    <x v="0"/>
  </r>
  <r>
    <x v="1"/>
    <x v="1"/>
    <x v="0"/>
    <x v="0"/>
    <x v="3"/>
    <x v="3"/>
    <x v="3"/>
    <x v="3"/>
    <x v="0"/>
    <x v="0"/>
    <x v="0"/>
    <x v="3"/>
    <x v="3"/>
    <x v="1"/>
    <x v="0"/>
  </r>
  <r>
    <x v="2"/>
    <x v="1"/>
    <x v="0"/>
    <x v="0"/>
    <x v="4"/>
    <x v="4"/>
    <x v="4"/>
    <x v="4"/>
    <x v="0"/>
    <x v="0"/>
    <x v="0"/>
    <x v="4"/>
    <x v="4"/>
    <x v="1"/>
    <x v="0"/>
  </r>
  <r>
    <x v="2"/>
    <x v="0"/>
    <x v="0"/>
    <x v="0"/>
    <x v="5"/>
    <x v="5"/>
    <x v="5"/>
    <x v="5"/>
    <x v="0"/>
    <x v="0"/>
    <x v="0"/>
    <x v="5"/>
    <x v="5"/>
    <x v="0"/>
    <x v="0"/>
  </r>
  <r>
    <x v="3"/>
    <x v="0"/>
    <x v="0"/>
    <x v="0"/>
    <x v="6"/>
    <x v="6"/>
    <x v="6"/>
    <x v="6"/>
    <x v="0"/>
    <x v="0"/>
    <x v="0"/>
    <x v="6"/>
    <x v="6"/>
    <x v="0"/>
    <x v="0"/>
  </r>
  <r>
    <x v="3"/>
    <x v="1"/>
    <x v="0"/>
    <x v="0"/>
    <x v="7"/>
    <x v="7"/>
    <x v="7"/>
    <x v="7"/>
    <x v="0"/>
    <x v="0"/>
    <x v="0"/>
    <x v="7"/>
    <x v="7"/>
    <x v="1"/>
    <x v="0"/>
  </r>
  <r>
    <x v="4"/>
    <x v="0"/>
    <x v="0"/>
    <x v="0"/>
    <x v="8"/>
    <x v="8"/>
    <x v="8"/>
    <x v="8"/>
    <x v="0"/>
    <x v="0"/>
    <x v="0"/>
    <x v="8"/>
    <x v="8"/>
    <x v="0"/>
    <x v="0"/>
  </r>
  <r>
    <x v="4"/>
    <x v="1"/>
    <x v="0"/>
    <x v="0"/>
    <x v="9"/>
    <x v="9"/>
    <x v="9"/>
    <x v="9"/>
    <x v="0"/>
    <x v="0"/>
    <x v="0"/>
    <x v="9"/>
    <x v="9"/>
    <x v="1"/>
    <x v="0"/>
  </r>
  <r>
    <x v="5"/>
    <x v="1"/>
    <x v="0"/>
    <x v="0"/>
    <x v="10"/>
    <x v="10"/>
    <x v="10"/>
    <x v="10"/>
    <x v="0"/>
    <x v="0"/>
    <x v="0"/>
    <x v="10"/>
    <x v="10"/>
    <x v="1"/>
    <x v="0"/>
  </r>
  <r>
    <x v="5"/>
    <x v="0"/>
    <x v="0"/>
    <x v="0"/>
    <x v="11"/>
    <x v="11"/>
    <x v="11"/>
    <x v="11"/>
    <x v="0"/>
    <x v="0"/>
    <x v="0"/>
    <x v="11"/>
    <x v="11"/>
    <x v="0"/>
    <x v="0"/>
  </r>
  <r>
    <x v="6"/>
    <x v="0"/>
    <x v="0"/>
    <x v="0"/>
    <x v="12"/>
    <x v="12"/>
    <x v="12"/>
    <x v="12"/>
    <x v="0"/>
    <x v="0"/>
    <x v="0"/>
    <x v="12"/>
    <x v="12"/>
    <x v="0"/>
    <x v="0"/>
  </r>
  <r>
    <x v="6"/>
    <x v="1"/>
    <x v="0"/>
    <x v="0"/>
    <x v="13"/>
    <x v="13"/>
    <x v="13"/>
    <x v="13"/>
    <x v="0"/>
    <x v="0"/>
    <x v="0"/>
    <x v="13"/>
    <x v="13"/>
    <x v="1"/>
    <x v="0"/>
  </r>
  <r>
    <x v="7"/>
    <x v="0"/>
    <x v="0"/>
    <x v="0"/>
    <x v="14"/>
    <x v="14"/>
    <x v="14"/>
    <x v="14"/>
    <x v="0"/>
    <x v="0"/>
    <x v="0"/>
    <x v="14"/>
    <x v="14"/>
    <x v="0"/>
    <x v="0"/>
  </r>
  <r>
    <x v="7"/>
    <x v="1"/>
    <x v="0"/>
    <x v="0"/>
    <x v="15"/>
    <x v="15"/>
    <x v="15"/>
    <x v="15"/>
    <x v="0"/>
    <x v="0"/>
    <x v="0"/>
    <x v="15"/>
    <x v="15"/>
    <x v="1"/>
    <x v="0"/>
  </r>
  <r>
    <x v="8"/>
    <x v="1"/>
    <x v="0"/>
    <x v="0"/>
    <x v="16"/>
    <x v="16"/>
    <x v="16"/>
    <x v="16"/>
    <x v="0"/>
    <x v="0"/>
    <x v="0"/>
    <x v="16"/>
    <x v="16"/>
    <x v="1"/>
    <x v="0"/>
  </r>
  <r>
    <x v="8"/>
    <x v="0"/>
    <x v="0"/>
    <x v="0"/>
    <x v="17"/>
    <x v="17"/>
    <x v="17"/>
    <x v="17"/>
    <x v="0"/>
    <x v="0"/>
    <x v="0"/>
    <x v="17"/>
    <x v="17"/>
    <x v="0"/>
    <x v="0"/>
  </r>
  <r>
    <x v="9"/>
    <x v="1"/>
    <x v="0"/>
    <x v="0"/>
    <x v="18"/>
    <x v="18"/>
    <x v="18"/>
    <x v="18"/>
    <x v="0"/>
    <x v="0"/>
    <x v="0"/>
    <x v="18"/>
    <x v="18"/>
    <x v="1"/>
    <x v="0"/>
  </r>
  <r>
    <x v="9"/>
    <x v="0"/>
    <x v="0"/>
    <x v="0"/>
    <x v="19"/>
    <x v="19"/>
    <x v="19"/>
    <x v="19"/>
    <x v="0"/>
    <x v="0"/>
    <x v="0"/>
    <x v="19"/>
    <x v="19"/>
    <x v="0"/>
    <x v="0"/>
  </r>
  <r>
    <x v="10"/>
    <x v="0"/>
    <x v="0"/>
    <x v="0"/>
    <x v="20"/>
    <x v="20"/>
    <x v="20"/>
    <x v="20"/>
    <x v="0"/>
    <x v="0"/>
    <x v="0"/>
    <x v="20"/>
    <x v="20"/>
    <x v="0"/>
    <x v="0"/>
  </r>
  <r>
    <x v="10"/>
    <x v="1"/>
    <x v="0"/>
    <x v="0"/>
    <x v="21"/>
    <x v="21"/>
    <x v="21"/>
    <x v="21"/>
    <x v="0"/>
    <x v="0"/>
    <x v="0"/>
    <x v="21"/>
    <x v="21"/>
    <x v="1"/>
    <x v="0"/>
  </r>
  <r>
    <x v="11"/>
    <x v="1"/>
    <x v="0"/>
    <x v="0"/>
    <x v="22"/>
    <x v="22"/>
    <x v="22"/>
    <x v="22"/>
    <x v="0"/>
    <x v="0"/>
    <x v="0"/>
    <x v="22"/>
    <x v="22"/>
    <x v="1"/>
    <x v="0"/>
  </r>
  <r>
    <x v="11"/>
    <x v="0"/>
    <x v="0"/>
    <x v="0"/>
    <x v="23"/>
    <x v="23"/>
    <x v="23"/>
    <x v="23"/>
    <x v="0"/>
    <x v="0"/>
    <x v="0"/>
    <x v="23"/>
    <x v="23"/>
    <x v="0"/>
    <x v="0"/>
  </r>
  <r>
    <x v="11"/>
    <x v="0"/>
    <x v="0"/>
    <x v="0"/>
    <x v="24"/>
    <x v="24"/>
    <x v="24"/>
    <x v="24"/>
    <x v="0"/>
    <x v="0"/>
    <x v="0"/>
    <x v="24"/>
    <x v="24"/>
    <x v="0"/>
    <x v="0"/>
  </r>
  <r>
    <x v="11"/>
    <x v="1"/>
    <x v="0"/>
    <x v="0"/>
    <x v="24"/>
    <x v="25"/>
    <x v="25"/>
    <x v="25"/>
    <x v="0"/>
    <x v="0"/>
    <x v="0"/>
    <x v="25"/>
    <x v="24"/>
    <x v="1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4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1"/>
    <x v="1"/>
    <x v="1"/>
    <x v="0"/>
    <x v="0"/>
    <x v="0"/>
    <x v="1"/>
    <x v="1"/>
    <x v="1"/>
    <x v="0"/>
  </r>
  <r>
    <x v="1"/>
    <x v="1"/>
    <x v="0"/>
    <x v="0"/>
    <x v="2"/>
    <x v="2"/>
    <x v="2"/>
    <x v="2"/>
    <x v="0"/>
    <x v="0"/>
    <x v="0"/>
    <x v="2"/>
    <x v="2"/>
    <x v="1"/>
    <x v="0"/>
  </r>
  <r>
    <x v="1"/>
    <x v="0"/>
    <x v="0"/>
    <x v="0"/>
    <x v="3"/>
    <x v="3"/>
    <x v="3"/>
    <x v="3"/>
    <x v="0"/>
    <x v="0"/>
    <x v="0"/>
    <x v="3"/>
    <x v="3"/>
    <x v="0"/>
    <x v="0"/>
  </r>
  <r>
    <x v="2"/>
    <x v="1"/>
    <x v="0"/>
    <x v="0"/>
    <x v="4"/>
    <x v="4"/>
    <x v="4"/>
    <x v="4"/>
    <x v="0"/>
    <x v="0"/>
    <x v="0"/>
    <x v="4"/>
    <x v="4"/>
    <x v="1"/>
    <x v="0"/>
  </r>
  <r>
    <x v="2"/>
    <x v="0"/>
    <x v="0"/>
    <x v="0"/>
    <x v="5"/>
    <x v="5"/>
    <x v="5"/>
    <x v="5"/>
    <x v="0"/>
    <x v="0"/>
    <x v="0"/>
    <x v="5"/>
    <x v="5"/>
    <x v="0"/>
    <x v="0"/>
  </r>
  <r>
    <x v="3"/>
    <x v="0"/>
    <x v="0"/>
    <x v="0"/>
    <x v="6"/>
    <x v="6"/>
    <x v="6"/>
    <x v="6"/>
    <x v="0"/>
    <x v="0"/>
    <x v="0"/>
    <x v="6"/>
    <x v="6"/>
    <x v="0"/>
    <x v="0"/>
  </r>
  <r>
    <x v="3"/>
    <x v="1"/>
    <x v="0"/>
    <x v="0"/>
    <x v="7"/>
    <x v="7"/>
    <x v="7"/>
    <x v="7"/>
    <x v="0"/>
    <x v="0"/>
    <x v="0"/>
    <x v="7"/>
    <x v="7"/>
    <x v="1"/>
    <x v="0"/>
  </r>
  <r>
    <x v="4"/>
    <x v="1"/>
    <x v="0"/>
    <x v="0"/>
    <x v="8"/>
    <x v="8"/>
    <x v="8"/>
    <x v="8"/>
    <x v="0"/>
    <x v="0"/>
    <x v="0"/>
    <x v="8"/>
    <x v="8"/>
    <x v="1"/>
    <x v="0"/>
  </r>
  <r>
    <x v="4"/>
    <x v="0"/>
    <x v="0"/>
    <x v="0"/>
    <x v="9"/>
    <x v="9"/>
    <x v="9"/>
    <x v="9"/>
    <x v="0"/>
    <x v="0"/>
    <x v="0"/>
    <x v="9"/>
    <x v="9"/>
    <x v="0"/>
    <x v="0"/>
  </r>
  <r>
    <x v="5"/>
    <x v="0"/>
    <x v="0"/>
    <x v="1"/>
    <x v="10"/>
    <x v="10"/>
    <x v="10"/>
    <x v="10"/>
    <x v="1"/>
    <x v="1"/>
    <x v="0"/>
    <x v="10"/>
    <x v="10"/>
    <x v="0"/>
    <x v="0"/>
  </r>
  <r>
    <x v="5"/>
    <x v="1"/>
    <x v="0"/>
    <x v="1"/>
    <x v="11"/>
    <x v="11"/>
    <x v="11"/>
    <x v="11"/>
    <x v="1"/>
    <x v="1"/>
    <x v="0"/>
    <x v="11"/>
    <x v="11"/>
    <x v="1"/>
    <x v="0"/>
  </r>
  <r>
    <x v="6"/>
    <x v="0"/>
    <x v="0"/>
    <x v="1"/>
    <x v="12"/>
    <x v="12"/>
    <x v="12"/>
    <x v="12"/>
    <x v="1"/>
    <x v="1"/>
    <x v="0"/>
    <x v="12"/>
    <x v="12"/>
    <x v="0"/>
    <x v="0"/>
  </r>
  <r>
    <x v="6"/>
    <x v="1"/>
    <x v="0"/>
    <x v="1"/>
    <x v="13"/>
    <x v="13"/>
    <x v="13"/>
    <x v="13"/>
    <x v="1"/>
    <x v="1"/>
    <x v="0"/>
    <x v="13"/>
    <x v="13"/>
    <x v="1"/>
    <x v="0"/>
  </r>
  <r>
    <x v="7"/>
    <x v="0"/>
    <x v="0"/>
    <x v="1"/>
    <x v="14"/>
    <x v="14"/>
    <x v="14"/>
    <x v="14"/>
    <x v="1"/>
    <x v="1"/>
    <x v="0"/>
    <x v="14"/>
    <x v="14"/>
    <x v="0"/>
    <x v="0"/>
  </r>
  <r>
    <x v="7"/>
    <x v="2"/>
    <x v="0"/>
    <x v="1"/>
    <x v="15"/>
    <x v="15"/>
    <x v="15"/>
    <x v="15"/>
    <x v="1"/>
    <x v="1"/>
    <x v="0"/>
    <x v="15"/>
    <x v="15"/>
    <x v="2"/>
    <x v="0"/>
  </r>
  <r>
    <x v="7"/>
    <x v="3"/>
    <x v="0"/>
    <x v="1"/>
    <x v="16"/>
    <x v="16"/>
    <x v="16"/>
    <x v="16"/>
    <x v="1"/>
    <x v="1"/>
    <x v="0"/>
    <x v="16"/>
    <x v="16"/>
    <x v="3"/>
    <x v="0"/>
  </r>
  <r>
    <x v="7"/>
    <x v="1"/>
    <x v="0"/>
    <x v="1"/>
    <x v="17"/>
    <x v="17"/>
    <x v="17"/>
    <x v="17"/>
    <x v="1"/>
    <x v="1"/>
    <x v="0"/>
    <x v="17"/>
    <x v="17"/>
    <x v="1"/>
    <x v="0"/>
  </r>
  <r>
    <x v="8"/>
    <x v="0"/>
    <x v="0"/>
    <x v="1"/>
    <x v="18"/>
    <x v="18"/>
    <x v="18"/>
    <x v="18"/>
    <x v="1"/>
    <x v="1"/>
    <x v="0"/>
    <x v="18"/>
    <x v="18"/>
    <x v="0"/>
    <x v="0"/>
  </r>
  <r>
    <x v="8"/>
    <x v="2"/>
    <x v="0"/>
    <x v="1"/>
    <x v="19"/>
    <x v="19"/>
    <x v="19"/>
    <x v="19"/>
    <x v="1"/>
    <x v="1"/>
    <x v="0"/>
    <x v="19"/>
    <x v="19"/>
    <x v="2"/>
    <x v="0"/>
  </r>
  <r>
    <x v="8"/>
    <x v="3"/>
    <x v="0"/>
    <x v="1"/>
    <x v="20"/>
    <x v="20"/>
    <x v="20"/>
    <x v="20"/>
    <x v="1"/>
    <x v="1"/>
    <x v="0"/>
    <x v="20"/>
    <x v="20"/>
    <x v="3"/>
    <x v="0"/>
  </r>
  <r>
    <x v="8"/>
    <x v="1"/>
    <x v="0"/>
    <x v="1"/>
    <x v="21"/>
    <x v="21"/>
    <x v="21"/>
    <x v="21"/>
    <x v="1"/>
    <x v="1"/>
    <x v="0"/>
    <x v="21"/>
    <x v="21"/>
    <x v="1"/>
    <x v="0"/>
  </r>
  <r>
    <x v="9"/>
    <x v="0"/>
    <x v="0"/>
    <x v="1"/>
    <x v="22"/>
    <x v="22"/>
    <x v="22"/>
    <x v="22"/>
    <x v="1"/>
    <x v="1"/>
    <x v="0"/>
    <x v="22"/>
    <x v="22"/>
    <x v="0"/>
    <x v="0"/>
  </r>
  <r>
    <x v="9"/>
    <x v="2"/>
    <x v="0"/>
    <x v="1"/>
    <x v="23"/>
    <x v="23"/>
    <x v="23"/>
    <x v="23"/>
    <x v="1"/>
    <x v="1"/>
    <x v="0"/>
    <x v="23"/>
    <x v="23"/>
    <x v="2"/>
    <x v="0"/>
  </r>
  <r>
    <x v="9"/>
    <x v="3"/>
    <x v="0"/>
    <x v="1"/>
    <x v="24"/>
    <x v="24"/>
    <x v="24"/>
    <x v="24"/>
    <x v="1"/>
    <x v="1"/>
    <x v="0"/>
    <x v="24"/>
    <x v="24"/>
    <x v="3"/>
    <x v="0"/>
  </r>
  <r>
    <x v="9"/>
    <x v="1"/>
    <x v="0"/>
    <x v="1"/>
    <x v="25"/>
    <x v="25"/>
    <x v="25"/>
    <x v="25"/>
    <x v="1"/>
    <x v="1"/>
    <x v="0"/>
    <x v="25"/>
    <x v="25"/>
    <x v="1"/>
    <x v="0"/>
  </r>
  <r>
    <x v="10"/>
    <x v="0"/>
    <x v="0"/>
    <x v="1"/>
    <x v="26"/>
    <x v="26"/>
    <x v="26"/>
    <x v="26"/>
    <x v="1"/>
    <x v="1"/>
    <x v="0"/>
    <x v="26"/>
    <x v="26"/>
    <x v="0"/>
    <x v="0"/>
  </r>
  <r>
    <x v="10"/>
    <x v="2"/>
    <x v="0"/>
    <x v="1"/>
    <x v="27"/>
    <x v="27"/>
    <x v="27"/>
    <x v="27"/>
    <x v="1"/>
    <x v="1"/>
    <x v="0"/>
    <x v="27"/>
    <x v="27"/>
    <x v="2"/>
    <x v="0"/>
  </r>
  <r>
    <x v="10"/>
    <x v="3"/>
    <x v="0"/>
    <x v="1"/>
    <x v="28"/>
    <x v="28"/>
    <x v="28"/>
    <x v="28"/>
    <x v="1"/>
    <x v="1"/>
    <x v="0"/>
    <x v="28"/>
    <x v="28"/>
    <x v="3"/>
    <x v="0"/>
  </r>
  <r>
    <x v="10"/>
    <x v="1"/>
    <x v="0"/>
    <x v="1"/>
    <x v="29"/>
    <x v="29"/>
    <x v="29"/>
    <x v="29"/>
    <x v="1"/>
    <x v="1"/>
    <x v="0"/>
    <x v="29"/>
    <x v="29"/>
    <x v="1"/>
    <x v="0"/>
  </r>
  <r>
    <x v="11"/>
    <x v="0"/>
    <x v="0"/>
    <x v="1"/>
    <x v="30"/>
    <x v="30"/>
    <x v="30"/>
    <x v="30"/>
    <x v="1"/>
    <x v="1"/>
    <x v="1"/>
    <x v="30"/>
    <x v="30"/>
    <x v="0"/>
    <x v="0"/>
  </r>
  <r>
    <x v="11"/>
    <x v="2"/>
    <x v="0"/>
    <x v="1"/>
    <x v="31"/>
    <x v="31"/>
    <x v="31"/>
    <x v="31"/>
    <x v="1"/>
    <x v="1"/>
    <x v="1"/>
    <x v="31"/>
    <x v="31"/>
    <x v="2"/>
    <x v="0"/>
  </r>
  <r>
    <x v="11"/>
    <x v="3"/>
    <x v="0"/>
    <x v="1"/>
    <x v="32"/>
    <x v="32"/>
    <x v="32"/>
    <x v="32"/>
    <x v="1"/>
    <x v="1"/>
    <x v="1"/>
    <x v="32"/>
    <x v="32"/>
    <x v="3"/>
    <x v="0"/>
  </r>
  <r>
    <x v="11"/>
    <x v="1"/>
    <x v="0"/>
    <x v="1"/>
    <x v="33"/>
    <x v="33"/>
    <x v="33"/>
    <x v="33"/>
    <x v="1"/>
    <x v="1"/>
    <x v="1"/>
    <x v="33"/>
    <x v="33"/>
    <x v="1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1"/>
    <x v="1"/>
    <x v="1"/>
    <x v="0"/>
    <x v="0"/>
    <x v="0"/>
    <x v="1"/>
    <x v="1"/>
    <x v="1"/>
    <x v="0"/>
  </r>
  <r>
    <x v="0"/>
    <x v="2"/>
    <x v="0"/>
    <x v="0"/>
    <x v="2"/>
    <x v="2"/>
    <x v="2"/>
    <x v="2"/>
    <x v="0"/>
    <x v="0"/>
    <x v="0"/>
    <x v="2"/>
    <x v="2"/>
    <x v="2"/>
    <x v="0"/>
  </r>
  <r>
    <x v="0"/>
    <x v="3"/>
    <x v="0"/>
    <x v="0"/>
    <x v="3"/>
    <x v="3"/>
    <x v="3"/>
    <x v="3"/>
    <x v="0"/>
    <x v="0"/>
    <x v="0"/>
    <x v="3"/>
    <x v="3"/>
    <x v="3"/>
    <x v="0"/>
  </r>
  <r>
    <x v="1"/>
    <x v="0"/>
    <x v="0"/>
    <x v="0"/>
    <x v="4"/>
    <x v="4"/>
    <x v="4"/>
    <x v="4"/>
    <x v="0"/>
    <x v="0"/>
    <x v="0"/>
    <x v="4"/>
    <x v="4"/>
    <x v="0"/>
    <x v="0"/>
  </r>
  <r>
    <x v="1"/>
    <x v="1"/>
    <x v="0"/>
    <x v="0"/>
    <x v="5"/>
    <x v="5"/>
    <x v="5"/>
    <x v="5"/>
    <x v="0"/>
    <x v="0"/>
    <x v="0"/>
    <x v="5"/>
    <x v="5"/>
    <x v="1"/>
    <x v="0"/>
  </r>
  <r>
    <x v="1"/>
    <x v="2"/>
    <x v="0"/>
    <x v="0"/>
    <x v="6"/>
    <x v="6"/>
    <x v="6"/>
    <x v="6"/>
    <x v="0"/>
    <x v="0"/>
    <x v="0"/>
    <x v="6"/>
    <x v="6"/>
    <x v="2"/>
    <x v="0"/>
  </r>
  <r>
    <x v="1"/>
    <x v="3"/>
    <x v="0"/>
    <x v="0"/>
    <x v="7"/>
    <x v="7"/>
    <x v="7"/>
    <x v="7"/>
    <x v="0"/>
    <x v="0"/>
    <x v="0"/>
    <x v="7"/>
    <x v="7"/>
    <x v="3"/>
    <x v="0"/>
  </r>
  <r>
    <x v="2"/>
    <x v="3"/>
    <x v="0"/>
    <x v="0"/>
    <x v="8"/>
    <x v="8"/>
    <x v="8"/>
    <x v="8"/>
    <x v="0"/>
    <x v="0"/>
    <x v="0"/>
    <x v="8"/>
    <x v="8"/>
    <x v="3"/>
    <x v="0"/>
  </r>
  <r>
    <x v="2"/>
    <x v="2"/>
    <x v="0"/>
    <x v="0"/>
    <x v="9"/>
    <x v="9"/>
    <x v="9"/>
    <x v="9"/>
    <x v="0"/>
    <x v="0"/>
    <x v="0"/>
    <x v="9"/>
    <x v="9"/>
    <x v="2"/>
    <x v="0"/>
  </r>
  <r>
    <x v="2"/>
    <x v="1"/>
    <x v="0"/>
    <x v="0"/>
    <x v="10"/>
    <x v="10"/>
    <x v="10"/>
    <x v="10"/>
    <x v="0"/>
    <x v="0"/>
    <x v="0"/>
    <x v="10"/>
    <x v="10"/>
    <x v="1"/>
    <x v="0"/>
  </r>
  <r>
    <x v="2"/>
    <x v="0"/>
    <x v="0"/>
    <x v="0"/>
    <x v="11"/>
    <x v="11"/>
    <x v="11"/>
    <x v="11"/>
    <x v="0"/>
    <x v="0"/>
    <x v="0"/>
    <x v="11"/>
    <x v="11"/>
    <x v="0"/>
    <x v="0"/>
  </r>
  <r>
    <x v="3"/>
    <x v="3"/>
    <x v="0"/>
    <x v="0"/>
    <x v="12"/>
    <x v="12"/>
    <x v="12"/>
    <x v="12"/>
    <x v="0"/>
    <x v="0"/>
    <x v="0"/>
    <x v="12"/>
    <x v="12"/>
    <x v="3"/>
    <x v="0"/>
  </r>
  <r>
    <x v="3"/>
    <x v="2"/>
    <x v="0"/>
    <x v="0"/>
    <x v="13"/>
    <x v="13"/>
    <x v="13"/>
    <x v="13"/>
    <x v="0"/>
    <x v="0"/>
    <x v="0"/>
    <x v="13"/>
    <x v="13"/>
    <x v="2"/>
    <x v="0"/>
  </r>
  <r>
    <x v="3"/>
    <x v="1"/>
    <x v="0"/>
    <x v="0"/>
    <x v="14"/>
    <x v="14"/>
    <x v="14"/>
    <x v="14"/>
    <x v="0"/>
    <x v="0"/>
    <x v="0"/>
    <x v="14"/>
    <x v="14"/>
    <x v="1"/>
    <x v="0"/>
  </r>
  <r>
    <x v="3"/>
    <x v="0"/>
    <x v="0"/>
    <x v="0"/>
    <x v="15"/>
    <x v="15"/>
    <x v="15"/>
    <x v="15"/>
    <x v="0"/>
    <x v="0"/>
    <x v="0"/>
    <x v="15"/>
    <x v="1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4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60:S73" firstHeaderRow="0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numFmtId="176" showAll="0"/>
    <pivotField dataField="1" compact="0" numFmtId="176" showAll="0">
      <items count="26">
        <item x="24"/>
        <item x="10"/>
        <item x="1"/>
        <item x="13"/>
        <item x="9"/>
        <item x="15"/>
        <item x="3"/>
        <item x="7"/>
        <item x="0"/>
        <item x="18"/>
        <item x="4"/>
        <item x="21"/>
        <item x="22"/>
        <item x="2"/>
        <item x="16"/>
        <item x="17"/>
        <item x="23"/>
        <item x="20"/>
        <item x="19"/>
        <item x="5"/>
        <item x="14"/>
        <item x="6"/>
        <item x="12"/>
        <item x="8"/>
        <item x="11"/>
        <item t="default"/>
      </items>
    </pivotField>
    <pivotField compact="0" numFmtId="176" showAll="0"/>
    <pivotField compact="0" numFmtId="176" showAll="0"/>
    <pivotField dataField="1" compact="0" numFmtId="176" showAll="0">
      <items count="27">
        <item x="17"/>
        <item x="10"/>
        <item x="19"/>
        <item x="12"/>
        <item x="22"/>
        <item x="0"/>
        <item x="9"/>
        <item x="13"/>
        <item x="1"/>
        <item x="2"/>
        <item x="20"/>
        <item x="18"/>
        <item x="7"/>
        <item x="16"/>
        <item x="3"/>
        <item x="21"/>
        <item x="23"/>
        <item x="15"/>
        <item x="14"/>
        <item x="5"/>
        <item x="6"/>
        <item x="8"/>
        <item x="11"/>
        <item x="25"/>
        <item x="4"/>
        <item x="24"/>
        <item t="default"/>
      </items>
    </pivotField>
    <pivotField compact="0" numFmtId="176" showAll="0"/>
    <pivotField compact="0" numFmtId="176" showAll="0"/>
    <pivotField compact="0" numFmtId="176" showAll="0"/>
    <pivotField compact="0" numFmtId="176" showAll="0"/>
    <pivotField compact="0" showAll="0"/>
    <pivotField compact="0" showAll="0"/>
    <pivotField compact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调整后gmv" fld="4" baseField="0" baseItem="0"/>
    <dataField name="求和项:调整后订单毛利（含返点）" fld="7" baseField="0" baseItem="0"/>
  </dataFields>
  <formats count="18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field="0" type="button" dataOnly="0" labelOnly="1" outline="0" fieldPosition="0"/>
    </format>
    <format dxfId="5">
      <pivotArea dataOnly="0" labelOnly="1" fieldPosition="0">
        <references count="1">
          <reference field="0" count="1">
            <x v="0"/>
          </reference>
        </references>
      </pivotArea>
    </format>
    <format dxfId="6">
      <pivotArea dataOnly="0" labelOnly="1" fieldPosition="0">
        <references count="1">
          <reference field="0" count="1">
            <x v="1"/>
          </reference>
        </references>
      </pivotArea>
    </format>
    <format dxfId="7">
      <pivotArea dataOnly="0" labelOnly="1" fieldPosition="0">
        <references count="1">
          <reference field="0" count="1">
            <x v="2"/>
          </reference>
        </references>
      </pivotArea>
    </format>
    <format dxfId="8">
      <pivotArea dataOnly="0" labelOnly="1" fieldPosition="0">
        <references count="1">
          <reference field="0" count="1">
            <x v="3"/>
          </reference>
        </references>
      </pivotArea>
    </format>
    <format dxfId="9">
      <pivotArea dataOnly="0" labelOnly="1" fieldPosition="0">
        <references count="1">
          <reference field="0" count="1">
            <x v="4"/>
          </reference>
        </references>
      </pivotArea>
    </format>
    <format dxfId="10">
      <pivotArea dataOnly="0" labelOnly="1" fieldPosition="0">
        <references count="1">
          <reference field="0" count="1">
            <x v="5"/>
          </reference>
        </references>
      </pivotArea>
    </format>
    <format dxfId="11">
      <pivotArea dataOnly="0" labelOnly="1" fieldPosition="0">
        <references count="1">
          <reference field="0" count="1">
            <x v="6"/>
          </reference>
        </references>
      </pivotArea>
    </format>
    <format dxfId="12">
      <pivotArea dataOnly="0" labelOnly="1" fieldPosition="0">
        <references count="1">
          <reference field="0" count="1">
            <x v="7"/>
          </reference>
        </references>
      </pivotArea>
    </format>
    <format dxfId="13">
      <pivotArea dataOnly="0" labelOnly="1" fieldPosition="0">
        <references count="1">
          <reference field="0" count="1">
            <x v="8"/>
          </reference>
        </references>
      </pivotArea>
    </format>
    <format dxfId="14">
      <pivotArea dataOnly="0" labelOnly="1" fieldPosition="0">
        <references count="1">
          <reference field="0" count="1">
            <x v="9"/>
          </reference>
        </references>
      </pivotArea>
    </format>
    <format dxfId="15">
      <pivotArea dataOnly="0" labelOnly="1" fieldPosition="0">
        <references count="1">
          <reference field="0" count="1">
            <x v="10"/>
          </reference>
        </references>
      </pivotArea>
    </format>
    <format dxfId="16">
      <pivotArea dataOnly="0" labelOnly="1" fieldPosition="0">
        <references count="1">
          <reference field="0" count="1">
            <x v="11"/>
          </reference>
        </references>
      </pivotArea>
    </format>
    <format dxfId="17">
      <pivotArea dataOnly="0" labelOnly="1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5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22:S35" firstHeaderRow="0" firstDataRow="1" firstDataCol="1"/>
  <pivotFields count="15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showAll="0"/>
    <pivotField dataField="1" compact="0" showAll="0">
      <items count="35">
        <item x="16"/>
        <item x="15"/>
        <item x="32"/>
        <item x="28"/>
        <item x="7"/>
        <item x="20"/>
        <item x="21"/>
        <item x="17"/>
        <item x="27"/>
        <item x="24"/>
        <item x="18"/>
        <item x="4"/>
        <item x="11"/>
        <item x="19"/>
        <item x="25"/>
        <item x="29"/>
        <item x="23"/>
        <item x="2"/>
        <item x="1"/>
        <item x="6"/>
        <item x="33"/>
        <item x="31"/>
        <item x="9"/>
        <item x="8"/>
        <item x="13"/>
        <item x="30"/>
        <item x="5"/>
        <item x="0"/>
        <item x="3"/>
        <item x="22"/>
        <item x="26"/>
        <item x="10"/>
        <item x="14"/>
        <item x="12"/>
        <item t="default"/>
      </items>
    </pivotField>
    <pivotField compact="0" showAll="0"/>
    <pivotField compact="0" showAll="0"/>
    <pivotField dataField="1" compact="0" showAll="0">
      <items count="35">
        <item x="8"/>
        <item x="7"/>
        <item x="16"/>
        <item x="15"/>
        <item x="11"/>
        <item x="32"/>
        <item x="17"/>
        <item x="29"/>
        <item x="28"/>
        <item x="27"/>
        <item x="20"/>
        <item x="23"/>
        <item x="9"/>
        <item x="2"/>
        <item x="4"/>
        <item x="19"/>
        <item x="24"/>
        <item x="31"/>
        <item x="1"/>
        <item x="22"/>
        <item x="25"/>
        <item x="0"/>
        <item x="33"/>
        <item x="3"/>
        <item x="5"/>
        <item x="26"/>
        <item x="14"/>
        <item x="10"/>
        <item x="18"/>
        <item x="6"/>
        <item x="21"/>
        <item x="30"/>
        <item x="13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调整后gmv" fld="4" baseField="0" baseItem="0"/>
    <dataField name="求和项:调整后毛利（含返点）" fld="7" baseField="0" baseItem="0"/>
  </dataFields>
  <formats count="16">
    <format dxfId="18">
      <pivotArea type="all" dataOnly="0" outline="0" fieldPosition="0"/>
    </format>
    <format dxfId="19">
      <pivotArea type="all" dataOnly="0" outline="0" fieldPosition="0"/>
    </format>
    <format dxfId="20">
      <pivotArea field="0" type="button" dataOnly="0" labelOnly="1" outline="0" fieldPosition="0"/>
    </format>
    <format dxfId="21">
      <pivotArea dataOnly="0" labelOnly="1" fieldPosition="0">
        <references count="1">
          <reference field="0" count="1">
            <x v="0"/>
          </reference>
        </references>
      </pivotArea>
    </format>
    <format dxfId="22">
      <pivotArea dataOnly="0" labelOnly="1" fieldPosition="0">
        <references count="1">
          <reference field="0" count="1">
            <x v="1"/>
          </reference>
        </references>
      </pivotArea>
    </format>
    <format dxfId="23">
      <pivotArea dataOnly="0" labelOnly="1" fieldPosition="0">
        <references count="1">
          <reference field="0" count="1">
            <x v="2"/>
          </reference>
        </references>
      </pivotArea>
    </format>
    <format dxfId="24">
      <pivotArea dataOnly="0" labelOnly="1" fieldPosition="0">
        <references count="1">
          <reference field="0" count="1">
            <x v="3"/>
          </reference>
        </references>
      </pivotArea>
    </format>
    <format dxfId="25">
      <pivotArea dataOnly="0" labelOnly="1" fieldPosition="0">
        <references count="1">
          <reference field="0" count="1">
            <x v="4"/>
          </reference>
        </references>
      </pivotArea>
    </format>
    <format dxfId="26">
      <pivotArea dataOnly="0" labelOnly="1" fieldPosition="0">
        <references count="1">
          <reference field="0" count="1">
            <x v="5"/>
          </reference>
        </references>
      </pivotArea>
    </format>
    <format dxfId="27">
      <pivotArea dataOnly="0" labelOnly="1" fieldPosition="0">
        <references count="1">
          <reference field="0" count="1">
            <x v="6"/>
          </reference>
        </references>
      </pivotArea>
    </format>
    <format dxfId="28">
      <pivotArea dataOnly="0" labelOnly="1" fieldPosition="0">
        <references count="1">
          <reference field="0" count="1">
            <x v="7"/>
          </reference>
        </references>
      </pivotArea>
    </format>
    <format dxfId="29">
      <pivotArea dataOnly="0" labelOnly="1" fieldPosition="0">
        <references count="1">
          <reference field="0" count="1">
            <x v="8"/>
          </reference>
        </references>
      </pivotArea>
    </format>
    <format dxfId="30">
      <pivotArea dataOnly="0" labelOnly="1" fieldPosition="0">
        <references count="1">
          <reference field="0" count="1">
            <x v="9"/>
          </reference>
        </references>
      </pivotArea>
    </format>
    <format dxfId="31">
      <pivotArea dataOnly="0" labelOnly="1" fieldPosition="0">
        <references count="1">
          <reference field="0" count="1">
            <x v="10"/>
          </reference>
        </references>
      </pivotArea>
    </format>
    <format dxfId="32">
      <pivotArea dataOnly="0" labelOnly="1" fieldPosition="0">
        <references count="1">
          <reference field="0" count="1">
            <x v="11"/>
          </reference>
        </references>
      </pivotArea>
    </format>
    <format dxfId="33">
      <pivotArea dataOnly="0" labelOnly="1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6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1:S6" firstHeaderRow="0" firstDataRow="1" firstDataCol="1"/>
  <pivotFields count="15"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dataField="1" compact="0" numFmtId="43" showAll="0">
      <items count="17">
        <item x="7"/>
        <item x="13"/>
        <item x="9"/>
        <item x="6"/>
        <item x="2"/>
        <item x="3"/>
        <item x="12"/>
        <item x="1"/>
        <item x="5"/>
        <item x="8"/>
        <item x="14"/>
        <item x="4"/>
        <item x="10"/>
        <item x="0"/>
        <item x="11"/>
        <item x="15"/>
        <item t="default"/>
      </items>
    </pivotField>
    <pivotField compact="0" numFmtId="43" showAll="0"/>
    <pivotField compact="0" numFmtId="43" showAll="0"/>
    <pivotField dataField="1" compact="0" numFmtId="43" showAll="0">
      <items count="17">
        <item x="0"/>
        <item x="13"/>
        <item x="6"/>
        <item x="9"/>
        <item x="12"/>
        <item x="7"/>
        <item x="2"/>
        <item x="3"/>
        <item x="8"/>
        <item x="5"/>
        <item x="1"/>
        <item x="15"/>
        <item x="14"/>
        <item x="11"/>
        <item x="10"/>
        <item x="4"/>
        <item t="default"/>
      </items>
    </pivotField>
    <pivotField compact="0" showAll="0"/>
    <pivotField compact="0" showAll="0"/>
    <pivotField compact="0" numFmtId="43" showAll="0"/>
    <pivotField compact="0" numFmtId="43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调整后gmv" fld="4" baseField="0" baseItem="0"/>
    <dataField name="求和项:调整后毛利（含返点）" fld="7" baseField="0" baseItem="0"/>
  </dataFields>
  <formats count="7">
    <format dxfId="34">
      <pivotArea type="all" dataOnly="0" outline="0" fieldPosition="0"/>
    </format>
    <format dxfId="35">
      <pivotArea field="0" type="button" dataOnly="0" labelOnly="1" outline="0" fieldPosition="0"/>
    </format>
    <format dxfId="36">
      <pivotArea dataOnly="0" labelOnly="1" fieldPosition="0">
        <references count="1">
          <reference field="0" count="1">
            <x v="0"/>
          </reference>
        </references>
      </pivotArea>
    </format>
    <format dxfId="37">
      <pivotArea dataOnly="0" labelOnly="1" fieldPosition="0">
        <references count="1">
          <reference field="0" count="1">
            <x v="1"/>
          </reference>
        </references>
      </pivotArea>
    </format>
    <format dxfId="38">
      <pivotArea dataOnly="0" labelOnly="1" fieldPosition="0">
        <references count="1">
          <reference field="0" count="1">
            <x v="2"/>
          </reference>
        </references>
      </pivotArea>
    </format>
    <format dxfId="39">
      <pivotArea dataOnly="0" labelOnly="1" fieldPosition="0">
        <references count="1">
          <reference field="0" count="1">
            <x v="3"/>
          </reference>
        </references>
      </pivotArea>
    </format>
    <format dxfId="40">
      <pivotArea dataOnly="0" labelOnly="1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1:T78" firstHeaderRow="0" firstDataRow="1" firstDataCol="2"/>
  <pivotFields count="15">
    <pivotField compact="0" showAll="0">
      <items count="3"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5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x="12"/>
        <item x="13"/>
        <item t="default"/>
      </items>
    </pivotField>
    <pivotField compact="0" showAll="0">
      <items count="12">
        <item x="5"/>
        <item x="3"/>
        <item x="0"/>
        <item x="2"/>
        <item x="4"/>
        <item x="1"/>
        <item x="6"/>
        <item x="7"/>
        <item x="8"/>
        <item x="9"/>
        <item x="1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68">
        <item x="0"/>
        <item x="5"/>
        <item x="26"/>
        <item x="25"/>
        <item x="14"/>
        <item x="12"/>
        <item x="20"/>
        <item x="19"/>
        <item x="32"/>
        <item x="34"/>
        <item x="11"/>
        <item x="8"/>
        <item x="13"/>
        <item x="18"/>
        <item x="16"/>
        <item x="10"/>
        <item x="7"/>
        <item x="24"/>
        <item x="1"/>
        <item x="33"/>
        <item x="37"/>
        <item x="31"/>
        <item x="9"/>
        <item x="22"/>
        <item x="2"/>
        <item x="15"/>
        <item x="27"/>
        <item x="29"/>
        <item x="4"/>
        <item x="23"/>
        <item x="38"/>
        <item x="30"/>
        <item x="17"/>
        <item x="6"/>
        <item x="28"/>
        <item x="35"/>
        <item x="3"/>
        <item x="21"/>
        <item x="36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6">
        <item x="2"/>
        <item x="1"/>
        <item x="3"/>
        <item x="4"/>
        <item x="0"/>
        <item t="default"/>
      </items>
    </pivotField>
    <pivotField dataField="1" compact="0" numFmtId="176" showAll="0">
      <items count="1186">
        <item x="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t="default"/>
      </items>
    </pivotField>
    <pivotField dataField="1" compact="0" numFmtId="176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numFmtId="43" showAll="0">
      <items count="1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t="default"/>
      </items>
    </pivotField>
  </pivotFields>
  <rowFields count="2">
    <field x="10"/>
    <field x="8"/>
  </rowFields>
  <rowItems count="77">
    <i>
      <x/>
    </i>
    <i r="1">
      <x v="2"/>
    </i>
    <i r="1">
      <x v="4"/>
    </i>
    <i r="1">
      <x v="16"/>
    </i>
    <i r="1">
      <x v="19"/>
    </i>
    <i r="1">
      <x v="21"/>
    </i>
    <i r="1">
      <x v="24"/>
    </i>
    <i r="1">
      <x v="26"/>
    </i>
    <i r="1">
      <x v="27"/>
    </i>
    <i r="1">
      <x v="30"/>
    </i>
    <i r="1">
      <x v="31"/>
    </i>
    <i r="1">
      <x v="33"/>
    </i>
    <i r="1">
      <x v="38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3"/>
    </i>
    <i r="1">
      <x v="54"/>
    </i>
    <i r="1">
      <x v="55"/>
    </i>
    <i r="1">
      <x v="57"/>
    </i>
    <i r="1">
      <x v="65"/>
    </i>
    <i r="1">
      <x v="66"/>
    </i>
    <i>
      <x v="1"/>
    </i>
    <i r="1">
      <x v="9"/>
    </i>
    <i r="1">
      <x v="12"/>
    </i>
    <i r="1">
      <x v="13"/>
    </i>
    <i r="1">
      <x v="15"/>
    </i>
    <i r="1">
      <x v="18"/>
    </i>
    <i r="1">
      <x v="35"/>
    </i>
    <i r="1">
      <x v="42"/>
    </i>
    <i r="1">
      <x v="58"/>
    </i>
    <i r="1">
      <x v="63"/>
    </i>
    <i r="1">
      <x v="64"/>
    </i>
    <i>
      <x v="2"/>
    </i>
    <i r="1">
      <x v="22"/>
    </i>
    <i r="1">
      <x v="25"/>
    </i>
    <i r="1">
      <x v="36"/>
    </i>
    <i r="1">
      <x v="39"/>
    </i>
    <i r="1">
      <x v="48"/>
    </i>
    <i r="1">
      <x v="50"/>
    </i>
    <i r="1">
      <x v="52"/>
    </i>
    <i r="1">
      <x v="59"/>
    </i>
    <i>
      <x v="3"/>
    </i>
    <i r="1">
      <x v="1"/>
    </i>
    <i r="1">
      <x v="5"/>
    </i>
    <i r="1">
      <x v="13"/>
    </i>
    <i r="1">
      <x v="23"/>
    </i>
    <i r="1">
      <x v="35"/>
    </i>
    <i r="1">
      <x v="56"/>
    </i>
    <i r="1">
      <x v="58"/>
    </i>
    <i>
      <x v="4"/>
    </i>
    <i r="1">
      <x/>
    </i>
    <i r="1">
      <x v="3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7"/>
    </i>
    <i r="1">
      <x v="20"/>
    </i>
    <i r="1">
      <x v="28"/>
    </i>
    <i r="1">
      <x v="29"/>
    </i>
    <i r="1">
      <x v="32"/>
    </i>
    <i r="1">
      <x v="34"/>
    </i>
    <i r="1">
      <x v="37"/>
    </i>
    <i r="1">
      <x v="40"/>
    </i>
    <i r="1">
      <x v="51"/>
    </i>
    <i r="1">
      <x v="60"/>
    </i>
    <i r="1">
      <x v="61"/>
    </i>
    <i r="1"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taxrate_money" fld="11" baseField="8" baseItem="0"/>
    <dataField name="求和项:no_taxrate_money" fld="12" baseField="8" baseItem="0"/>
  </dataFields>
  <formats count="45">
    <format dxfId="41">
      <pivotArea type="all" dataOnly="0" outline="0" fieldPosition="0"/>
    </format>
    <format dxfId="42">
      <pivotArea type="all" dataOnly="0" outline="0" fieldPosition="0"/>
    </format>
    <format dxfId="43">
      <pivotArea dataOnly="0" labelOnly="1" fieldPosition="0">
        <references count="1">
          <reference field="4294967294" count="1">
            <x v="0"/>
          </reference>
        </references>
      </pivotArea>
    </format>
    <format dxfId="44">
      <pivotArea dataOnly="0" labelOnly="1" fieldPosition="0">
        <references count="1">
          <reference field="4294967294" count="1">
            <x v="1"/>
          </reference>
        </references>
      </pivotArea>
    </format>
    <format dxfId="45">
      <pivotArea collapsedLevelsAreSubtotals="1" fieldPosition="0"/>
    </format>
    <format dxfId="46">
      <pivotArea dataOnly="0" labelOnly="1" fieldPosition="0">
        <references count="2">
          <reference field="8" count="1">
            <x v="14"/>
          </reference>
          <reference field="10" count="1" selected="0">
            <x v="4"/>
          </reference>
        </references>
      </pivotArea>
    </format>
    <format dxfId="47">
      <pivotArea collapsedLevelsAreSubtotals="1" fieldPosition="0">
        <references count="2">
          <reference field="8" count="1" selected="0">
            <x v="14"/>
          </reference>
          <reference field="10" count="1" selected="0">
            <x v="4"/>
          </reference>
        </references>
      </pivotArea>
    </format>
    <format dxfId="48">
      <pivotArea dataOnly="0" labelOnly="1" fieldPosition="0">
        <references count="2">
          <reference field="8" count="1">
            <x v="11"/>
          </reference>
          <reference field="10" count="1" selected="0">
            <x v="4"/>
          </reference>
        </references>
      </pivotArea>
    </format>
    <format dxfId="49">
      <pivotArea collapsedLevelsAreSubtotals="1" fieldPosition="0">
        <references count="2">
          <reference field="8" count="1" selected="0">
            <x v="11"/>
          </reference>
          <reference field="10" count="1" selected="0">
            <x v="4"/>
          </reference>
        </references>
      </pivotArea>
    </format>
    <format dxfId="50">
      <pivotArea dataOnly="0" labelOnly="1" fieldPosition="0">
        <references count="2">
          <reference field="8" count="1">
            <x v="10"/>
          </reference>
          <reference field="10" count="1" selected="0">
            <x v="4"/>
          </reference>
        </references>
      </pivotArea>
    </format>
    <format dxfId="51">
      <pivotArea collapsedLevelsAreSubtotals="1" fieldPosition="0">
        <references count="2">
          <reference field="8" count="1" selected="0">
            <x v="10"/>
          </reference>
          <reference field="10" count="1" selected="0">
            <x v="4"/>
          </reference>
        </references>
      </pivotArea>
    </format>
    <format dxfId="52">
      <pivotArea dataOnly="0" labelOnly="1" fieldPosition="0">
        <references count="2">
          <reference field="8" count="1">
            <x v="10"/>
          </reference>
          <reference field="10" count="1" selected="0">
            <x v="4"/>
          </reference>
        </references>
      </pivotArea>
    </format>
    <format dxfId="53">
      <pivotArea collapsedLevelsAreSubtotals="1" fieldPosition="0">
        <references count="2">
          <reference field="8" count="1" selected="0">
            <x v="10"/>
          </reference>
          <reference field="10" count="1" selected="0">
            <x v="4"/>
          </reference>
        </references>
      </pivotArea>
    </format>
    <format dxfId="54">
      <pivotArea dataOnly="0" labelOnly="1" fieldPosition="0">
        <references count="2">
          <reference field="8" count="1">
            <x v="4"/>
          </reference>
          <reference field="10" count="1" selected="0">
            <x v="0"/>
          </reference>
        </references>
      </pivotArea>
    </format>
    <format dxfId="55">
      <pivotArea collapsedLevelsAreSubtotals="1" fieldPosition="0">
        <references count="2">
          <reference field="8" count="1" selected="0">
            <x v="4"/>
          </reference>
          <reference field="10" count="1" selected="0">
            <x v="0"/>
          </reference>
        </references>
      </pivotArea>
    </format>
    <format dxfId="56">
      <pivotArea dataOnly="0" labelOnly="1" fieldPosition="0">
        <references count="2">
          <reference field="8" count="1">
            <x v="16"/>
          </reference>
          <reference field="10" count="1" selected="0">
            <x v="0"/>
          </reference>
        </references>
      </pivotArea>
    </format>
    <format dxfId="57">
      <pivotArea collapsedLevelsAreSubtotals="1" fieldPosition="0">
        <references count="2">
          <reference field="8" count="1" selected="0">
            <x v="16"/>
          </reference>
          <reference field="10" count="1" selected="0">
            <x v="0"/>
          </reference>
        </references>
      </pivotArea>
    </format>
    <format dxfId="58">
      <pivotArea dataOnly="0" labelOnly="1" fieldPosition="0">
        <references count="2">
          <reference field="8" count="1">
            <x v="13"/>
          </reference>
          <reference field="10" count="1" selected="0">
            <x v="4"/>
          </reference>
        </references>
      </pivotArea>
    </format>
    <format dxfId="59">
      <pivotArea collapsedLevelsAreSubtotals="1" fieldPosition="0">
        <references count="2">
          <reference field="8" count="1" selected="0">
            <x v="13"/>
          </reference>
          <reference field="10" count="1" selected="0">
            <x v="4"/>
          </reference>
        </references>
      </pivotArea>
    </format>
    <format dxfId="60">
      <pivotArea dataOnly="0" labelOnly="1" fieldPosition="0">
        <references count="2">
          <reference field="8" count="1">
            <x v="0"/>
          </reference>
          <reference field="10" count="1" selected="0">
            <x v="4"/>
          </reference>
        </references>
      </pivotArea>
    </format>
    <format dxfId="61">
      <pivotArea collapsedLevelsAreSubtotals="1" fieldPosition="0">
        <references count="2">
          <reference field="8" count="1" selected="0">
            <x v="0"/>
          </reference>
          <reference field="10" count="1" selected="0">
            <x v="4"/>
          </reference>
        </references>
      </pivotArea>
    </format>
    <format dxfId="62">
      <pivotArea type="all" dataOnly="0" outline="0" fieldPosition="0"/>
    </format>
    <format dxfId="63">
      <pivotArea type="all" dataOnly="0" outline="0" fieldPosition="0"/>
    </format>
    <format dxfId="64">
      <pivotArea type="all" dataOnly="0" outline="0" fieldPosition="0"/>
    </format>
    <format dxfId="65">
      <pivotArea type="all" dataOnly="0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collapsedLevelsAreSubtotals="1" fieldPosition="0"/>
    </format>
    <format dxfId="69">
      <pivotArea dataOnly="0" labelOnly="1" fieldPosition="0">
        <references count="1">
          <reference field="4294967294" count="1">
            <x v="0"/>
          </reference>
        </references>
      </pivotArea>
    </format>
    <format dxfId="70">
      <pivotArea dataOnly="0" labelOnly="1" fieldPosition="0">
        <references count="1">
          <reference field="4294967294" count="1">
            <x v="1"/>
          </reference>
        </references>
      </pivotArea>
    </format>
    <format dxfId="71">
      <pivotArea collapsedLevelsAreSubtotals="1" fieldPosition="0"/>
    </format>
    <format dxfId="72">
      <pivotArea dataOnly="0" labelOnly="1" fieldPosition="0">
        <references count="1">
          <reference field="4294967294" count="1">
            <x v="0"/>
          </reference>
        </references>
      </pivotArea>
    </format>
    <format dxfId="73">
      <pivotArea dataOnly="0" labelOnly="1" fieldPosition="0">
        <references count="1">
          <reference field="4294967294" count="1">
            <x v="1"/>
          </reference>
        </references>
      </pivotArea>
    </format>
    <format dxfId="74">
      <pivotArea collapsedLevelsAreSubtotals="1" fieldPosition="0"/>
    </format>
    <format dxfId="75">
      <pivotArea type="all" dataOnly="0" outline="0" fieldPosition="0"/>
    </format>
    <format dxfId="76">
      <pivotArea type="all" dataOnly="0" outline="0" fieldPosition="0"/>
    </format>
    <format dxfId="77">
      <pivotArea type="all" dataOnly="0" outline="0" fieldPosition="0"/>
    </format>
    <format dxfId="78">
      <pivotArea type="all" dataOnly="0" outline="0" fieldPosition="0"/>
    </format>
    <format dxfId="79">
      <pivotArea type="all" dataOnly="0" outline="0" fieldPosition="0"/>
    </format>
    <format dxfId="80">
      <pivotArea type="all" dataOnly="0" outline="0" fieldPosition="0"/>
    </format>
    <format dxfId="81">
      <pivotArea type="all" dataOnly="0" outline="0" fieldPosition="0"/>
    </format>
    <format dxfId="82">
      <pivotArea type="all" dataOnly="0" outline="0" fieldPosition="0"/>
    </format>
    <format dxfId="83">
      <pivotArea type="all" dataOnly="0" outline="0" fieldPosition="0"/>
    </format>
    <format dxfId="84">
      <pivotArea type="all" dataOnly="0" outline="0" fieldPosition="0"/>
    </format>
    <format dxfId="8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V1:Y14" firstHeaderRow="0" firstDataRow="1" firstDataCol="1"/>
  <pivotFields count="15">
    <pivotField compact="0" showAll="0">
      <items count="3">
        <item x="0"/>
        <item x="1"/>
        <item t="default"/>
      </items>
    </pivotField>
    <pivotField axis="axisRow" compact="0" numFmtId="17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5">
        <item x="9"/>
        <item x="0"/>
        <item x="1"/>
        <item x="2"/>
        <item x="4"/>
        <item x="3"/>
        <item x="6"/>
        <item x="7"/>
        <item x="5"/>
        <item x="8"/>
        <item x="10"/>
        <item x="11"/>
        <item x="12"/>
        <item x="13"/>
        <item t="default"/>
      </items>
    </pivotField>
    <pivotField compact="0" showAll="0">
      <items count="12">
        <item x="5"/>
        <item x="3"/>
        <item x="0"/>
        <item x="2"/>
        <item x="4"/>
        <item x="1"/>
        <item x="6"/>
        <item x="7"/>
        <item x="8"/>
        <item x="9"/>
        <item x="1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8">
        <item x="0"/>
        <item x="5"/>
        <item x="26"/>
        <item x="25"/>
        <item x="14"/>
        <item x="17"/>
        <item x="39"/>
        <item x="41"/>
        <item x="12"/>
        <item x="30"/>
        <item x="23"/>
        <item x="20"/>
        <item x="42"/>
        <item x="22"/>
        <item x="19"/>
        <item x="2"/>
        <item x="32"/>
        <item x="28"/>
        <item x="34"/>
        <item x="21"/>
        <item x="27"/>
        <item x="38"/>
        <item x="11"/>
        <item x="8"/>
        <item x="13"/>
        <item x="18"/>
        <item x="35"/>
        <item x="40"/>
        <item x="36"/>
        <item x="33"/>
        <item x="16"/>
        <item x="10"/>
        <item x="4"/>
        <item x="6"/>
        <item x="37"/>
        <item x="7"/>
        <item x="29"/>
        <item x="24"/>
        <item x="31"/>
        <item x="15"/>
        <item x="3"/>
        <item x="9"/>
        <item x="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1"/>
        <item x="3"/>
        <item x="4"/>
        <item x="0"/>
        <item t="default"/>
      </items>
    </pivotField>
    <pivotField dataField="1" compact="0" numFmtId="176" showAll="0">
      <items count="1186">
        <item x="225"/>
        <item x="175"/>
        <item x="220"/>
        <item x="36"/>
        <item x="33"/>
        <item x="95"/>
        <item x="5"/>
        <item x="264"/>
        <item x="176"/>
        <item x="184"/>
        <item x="211"/>
        <item x="47"/>
        <item x="14"/>
        <item x="202"/>
        <item x="199"/>
        <item x="63"/>
        <item x="174"/>
        <item x="57"/>
        <item x="234"/>
        <item x="62"/>
        <item x="134"/>
        <item x="240"/>
        <item x="24"/>
        <item x="19"/>
        <item x="140"/>
        <item x="205"/>
        <item x="60"/>
        <item x="106"/>
        <item x="131"/>
        <item x="172"/>
        <item x="173"/>
        <item x="223"/>
        <item x="215"/>
        <item x="119"/>
        <item x="61"/>
        <item x="128"/>
        <item x="178"/>
        <item x="222"/>
        <item x="45"/>
        <item x="59"/>
        <item x="224"/>
        <item x="123"/>
        <item x="170"/>
        <item x="236"/>
        <item x="143"/>
        <item x="229"/>
        <item x="139"/>
        <item x="243"/>
        <item x="35"/>
        <item x="144"/>
        <item x="133"/>
        <item x="206"/>
        <item x="190"/>
        <item x="105"/>
        <item x="92"/>
        <item x="27"/>
        <item x="245"/>
        <item x="104"/>
        <item x="207"/>
        <item x="152"/>
        <item x="235"/>
        <item x="86"/>
        <item x="191"/>
        <item x="188"/>
        <item x="125"/>
        <item x="135"/>
        <item x="107"/>
        <item x="249"/>
        <item x="74"/>
        <item x="192"/>
        <item x="13"/>
        <item x="218"/>
        <item x="226"/>
        <item x="127"/>
        <item x="204"/>
        <item x="239"/>
        <item x="28"/>
        <item x="156"/>
        <item x="9"/>
        <item x="90"/>
        <item x="213"/>
        <item x="34"/>
        <item x="242"/>
        <item x="113"/>
        <item x="137"/>
        <item x="129"/>
        <item x="237"/>
        <item x="15"/>
        <item x="44"/>
        <item x="149"/>
        <item x="194"/>
        <item x="217"/>
        <item x="58"/>
        <item x="246"/>
        <item x="118"/>
        <item x="145"/>
        <item x="180"/>
        <item x="120"/>
        <item x="238"/>
        <item x="121"/>
        <item x="169"/>
        <item x="122"/>
        <item x="94"/>
        <item x="29"/>
        <item x="126"/>
        <item x="96"/>
        <item x="18"/>
        <item x="17"/>
        <item x="219"/>
        <item x="25"/>
        <item x="161"/>
        <item x="67"/>
        <item x="261"/>
        <item x="216"/>
        <item x="71"/>
        <item x="46"/>
        <item x="75"/>
        <item x="89"/>
        <item x="80"/>
        <item x="214"/>
        <item x="251"/>
        <item x="69"/>
        <item x="146"/>
        <item x="16"/>
        <item x="183"/>
        <item x="88"/>
        <item x="132"/>
        <item x="138"/>
        <item x="232"/>
        <item x="231"/>
        <item x="268"/>
        <item x="21"/>
        <item x="244"/>
        <item x="103"/>
        <item x="102"/>
        <item x="165"/>
        <item x="8"/>
        <item x="49"/>
        <item x="40"/>
        <item x="50"/>
        <item x="112"/>
        <item x="72"/>
        <item x="201"/>
        <item x="87"/>
        <item x="155"/>
        <item x="39"/>
        <item x="55"/>
        <item x="91"/>
        <item x="153"/>
        <item x="70"/>
        <item x="228"/>
        <item x="252"/>
        <item x="142"/>
        <item x="250"/>
        <item x="64"/>
        <item x="52"/>
        <item x="115"/>
        <item x="42"/>
        <item x="230"/>
        <item x="2"/>
        <item x="124"/>
        <item x="187"/>
        <item x="97"/>
        <item x="256"/>
        <item x="157"/>
        <item x="41"/>
        <item x="189"/>
        <item x="68"/>
        <item x="263"/>
        <item x="116"/>
        <item x="117"/>
        <item x="110"/>
        <item x="171"/>
        <item x="257"/>
        <item x="158"/>
        <item x="182"/>
        <item x="81"/>
        <item x="7"/>
        <item x="51"/>
        <item x="210"/>
        <item x="147"/>
        <item x="114"/>
        <item x="185"/>
        <item x="154"/>
        <item x="168"/>
        <item x="101"/>
        <item x="130"/>
        <item x="11"/>
        <item x="186"/>
        <item x="248"/>
        <item x="53"/>
        <item x="253"/>
        <item x="84"/>
        <item x="197"/>
        <item x="136"/>
        <item x="160"/>
        <item x="203"/>
        <item x="150"/>
        <item x="77"/>
        <item x="259"/>
        <item x="43"/>
        <item x="209"/>
        <item x="83"/>
        <item x="78"/>
        <item x="109"/>
        <item x="177"/>
        <item x="1"/>
        <item x="227"/>
        <item x="111"/>
        <item x="196"/>
        <item x="265"/>
        <item x="54"/>
        <item x="233"/>
        <item x="98"/>
        <item x="3"/>
        <item x="73"/>
        <item x="85"/>
        <item x="164"/>
        <item x="30"/>
        <item x="23"/>
        <item x="38"/>
        <item x="195"/>
        <item x="148"/>
        <item x="31"/>
        <item x="212"/>
        <item x="37"/>
        <item x="200"/>
        <item x="181"/>
        <item x="93"/>
        <item x="20"/>
        <item x="26"/>
        <item x="99"/>
        <item x="241"/>
        <item x="6"/>
        <item x="208"/>
        <item x="247"/>
        <item x="193"/>
        <item x="22"/>
        <item x="221"/>
        <item x="0"/>
        <item x="108"/>
        <item x="267"/>
        <item x="266"/>
        <item x="32"/>
        <item x="179"/>
        <item x="166"/>
        <item x="66"/>
        <item x="65"/>
        <item x="100"/>
        <item x="254"/>
        <item x="56"/>
        <item x="255"/>
        <item x="198"/>
        <item x="4"/>
        <item x="151"/>
        <item x="141"/>
        <item x="167"/>
        <item x="76"/>
        <item x="79"/>
        <item x="159"/>
        <item x="260"/>
        <item x="262"/>
        <item x="258"/>
        <item x="12"/>
        <item x="163"/>
        <item x="48"/>
        <item x="162"/>
        <item x="10"/>
        <item x="8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t="default"/>
      </items>
    </pivotField>
    <pivotField dataField="1" compact="0" numFmtId="176" showAll="0">
      <items count="1190">
        <item x="225"/>
        <item x="175"/>
        <item x="220"/>
        <item x="36"/>
        <item x="33"/>
        <item x="95"/>
        <item x="5"/>
        <item x="264"/>
        <item x="176"/>
        <item x="184"/>
        <item x="211"/>
        <item x="47"/>
        <item x="14"/>
        <item x="202"/>
        <item x="199"/>
        <item x="63"/>
        <item x="174"/>
        <item x="57"/>
        <item x="234"/>
        <item x="62"/>
        <item x="134"/>
        <item x="240"/>
        <item x="24"/>
        <item x="19"/>
        <item x="140"/>
        <item x="205"/>
        <item x="60"/>
        <item x="106"/>
        <item x="131"/>
        <item x="172"/>
        <item x="173"/>
        <item x="223"/>
        <item x="215"/>
        <item x="119"/>
        <item x="61"/>
        <item x="128"/>
        <item x="178"/>
        <item x="222"/>
        <item x="45"/>
        <item x="59"/>
        <item x="224"/>
        <item x="123"/>
        <item x="170"/>
        <item x="236"/>
        <item x="143"/>
        <item x="229"/>
        <item x="139"/>
        <item x="243"/>
        <item x="35"/>
        <item x="144"/>
        <item x="133"/>
        <item x="206"/>
        <item x="190"/>
        <item x="105"/>
        <item x="92"/>
        <item x="27"/>
        <item x="245"/>
        <item x="104"/>
        <item x="207"/>
        <item x="152"/>
        <item x="235"/>
        <item x="86"/>
        <item x="191"/>
        <item x="188"/>
        <item x="125"/>
        <item x="135"/>
        <item x="107"/>
        <item x="249"/>
        <item x="74"/>
        <item x="192"/>
        <item x="13"/>
        <item x="218"/>
        <item x="226"/>
        <item x="127"/>
        <item x="204"/>
        <item x="239"/>
        <item x="28"/>
        <item x="156"/>
        <item x="9"/>
        <item x="90"/>
        <item x="213"/>
        <item x="34"/>
        <item x="242"/>
        <item x="113"/>
        <item x="137"/>
        <item x="129"/>
        <item x="237"/>
        <item x="15"/>
        <item x="44"/>
        <item x="149"/>
        <item x="194"/>
        <item x="217"/>
        <item x="58"/>
        <item x="246"/>
        <item x="118"/>
        <item x="145"/>
        <item x="180"/>
        <item x="120"/>
        <item x="238"/>
        <item x="121"/>
        <item x="169"/>
        <item x="122"/>
        <item x="94"/>
        <item x="29"/>
        <item x="126"/>
        <item x="96"/>
        <item x="18"/>
        <item x="17"/>
        <item x="219"/>
        <item x="25"/>
        <item x="161"/>
        <item x="67"/>
        <item x="261"/>
        <item x="216"/>
        <item x="71"/>
        <item x="46"/>
        <item x="75"/>
        <item x="89"/>
        <item x="80"/>
        <item x="214"/>
        <item x="251"/>
        <item x="69"/>
        <item x="146"/>
        <item x="16"/>
        <item x="183"/>
        <item x="88"/>
        <item x="132"/>
        <item x="138"/>
        <item x="232"/>
        <item x="231"/>
        <item x="268"/>
        <item x="21"/>
        <item x="244"/>
        <item x="103"/>
        <item x="102"/>
        <item x="165"/>
        <item x="8"/>
        <item x="49"/>
        <item x="40"/>
        <item x="50"/>
        <item x="112"/>
        <item x="72"/>
        <item x="201"/>
        <item x="87"/>
        <item x="155"/>
        <item x="39"/>
        <item x="55"/>
        <item x="91"/>
        <item x="153"/>
        <item x="70"/>
        <item x="228"/>
        <item x="252"/>
        <item x="142"/>
        <item x="250"/>
        <item x="64"/>
        <item x="52"/>
        <item x="115"/>
        <item x="42"/>
        <item x="230"/>
        <item x="2"/>
        <item x="124"/>
        <item x="187"/>
        <item x="97"/>
        <item x="256"/>
        <item x="157"/>
        <item x="41"/>
        <item x="189"/>
        <item x="68"/>
        <item x="263"/>
        <item x="116"/>
        <item x="117"/>
        <item x="110"/>
        <item x="171"/>
        <item x="257"/>
        <item x="158"/>
        <item x="182"/>
        <item x="81"/>
        <item x="7"/>
        <item x="51"/>
        <item x="210"/>
        <item x="147"/>
        <item x="114"/>
        <item x="185"/>
        <item x="154"/>
        <item x="168"/>
        <item x="101"/>
        <item x="130"/>
        <item x="11"/>
        <item x="186"/>
        <item x="248"/>
        <item x="53"/>
        <item x="253"/>
        <item x="84"/>
        <item x="197"/>
        <item x="136"/>
        <item x="160"/>
        <item x="203"/>
        <item x="150"/>
        <item x="77"/>
        <item x="259"/>
        <item x="43"/>
        <item x="209"/>
        <item x="83"/>
        <item x="78"/>
        <item x="109"/>
        <item x="177"/>
        <item x="1"/>
        <item x="227"/>
        <item x="111"/>
        <item x="196"/>
        <item x="265"/>
        <item x="54"/>
        <item x="233"/>
        <item x="98"/>
        <item x="3"/>
        <item x="73"/>
        <item x="85"/>
        <item x="164"/>
        <item x="30"/>
        <item x="23"/>
        <item x="38"/>
        <item x="195"/>
        <item x="148"/>
        <item x="31"/>
        <item x="212"/>
        <item x="37"/>
        <item x="200"/>
        <item x="181"/>
        <item x="93"/>
        <item x="20"/>
        <item x="26"/>
        <item x="99"/>
        <item x="241"/>
        <item x="6"/>
        <item x="208"/>
        <item x="247"/>
        <item x="193"/>
        <item x="22"/>
        <item x="221"/>
        <item x="0"/>
        <item x="108"/>
        <item x="267"/>
        <item x="266"/>
        <item x="32"/>
        <item x="179"/>
        <item x="166"/>
        <item x="66"/>
        <item x="65"/>
        <item x="100"/>
        <item x="254"/>
        <item x="56"/>
        <item x="255"/>
        <item x="198"/>
        <item x="4"/>
        <item x="151"/>
        <item x="141"/>
        <item x="167"/>
        <item x="76"/>
        <item x="79"/>
        <item x="159"/>
        <item x="260"/>
        <item x="262"/>
        <item x="258"/>
        <item x="12"/>
        <item x="163"/>
        <item x="48"/>
        <item x="162"/>
        <item x="10"/>
        <item x="8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dataField="1" compact="0" numFmtId="176" showAll="0">
      <items count="1187">
        <item x="225"/>
        <item x="175"/>
        <item x="220"/>
        <item x="36"/>
        <item x="33"/>
        <item x="95"/>
        <item x="5"/>
        <item x="264"/>
        <item x="176"/>
        <item x="184"/>
        <item x="211"/>
        <item x="47"/>
        <item x="14"/>
        <item x="202"/>
        <item x="199"/>
        <item x="63"/>
        <item x="174"/>
        <item x="57"/>
        <item x="234"/>
        <item x="62"/>
        <item x="134"/>
        <item x="240"/>
        <item x="24"/>
        <item x="19"/>
        <item x="140"/>
        <item x="205"/>
        <item x="60"/>
        <item x="106"/>
        <item x="131"/>
        <item x="172"/>
        <item x="173"/>
        <item x="223"/>
        <item x="215"/>
        <item x="119"/>
        <item x="61"/>
        <item x="128"/>
        <item x="178"/>
        <item x="222"/>
        <item x="45"/>
        <item x="59"/>
        <item x="224"/>
        <item x="123"/>
        <item x="170"/>
        <item x="236"/>
        <item x="143"/>
        <item x="229"/>
        <item x="139"/>
        <item x="243"/>
        <item x="35"/>
        <item x="144"/>
        <item x="133"/>
        <item x="206"/>
        <item x="190"/>
        <item x="105"/>
        <item x="92"/>
        <item x="27"/>
        <item x="245"/>
        <item x="104"/>
        <item x="207"/>
        <item x="152"/>
        <item x="235"/>
        <item x="86"/>
        <item x="191"/>
        <item x="188"/>
        <item x="125"/>
        <item x="135"/>
        <item x="107"/>
        <item x="249"/>
        <item x="74"/>
        <item x="192"/>
        <item x="13"/>
        <item x="218"/>
        <item x="226"/>
        <item x="127"/>
        <item x="204"/>
        <item x="239"/>
        <item x="28"/>
        <item x="156"/>
        <item x="9"/>
        <item x="90"/>
        <item x="213"/>
        <item x="34"/>
        <item x="242"/>
        <item x="113"/>
        <item x="137"/>
        <item x="129"/>
        <item x="237"/>
        <item x="15"/>
        <item x="44"/>
        <item x="149"/>
        <item x="194"/>
        <item x="217"/>
        <item x="58"/>
        <item x="246"/>
        <item x="118"/>
        <item x="145"/>
        <item x="180"/>
        <item x="120"/>
        <item x="238"/>
        <item x="121"/>
        <item x="169"/>
        <item x="122"/>
        <item x="94"/>
        <item x="29"/>
        <item x="126"/>
        <item x="96"/>
        <item x="18"/>
        <item x="17"/>
        <item x="219"/>
        <item x="25"/>
        <item x="161"/>
        <item x="67"/>
        <item x="261"/>
        <item x="216"/>
        <item x="71"/>
        <item x="46"/>
        <item x="75"/>
        <item x="89"/>
        <item x="80"/>
        <item x="214"/>
        <item x="251"/>
        <item x="69"/>
        <item x="146"/>
        <item x="16"/>
        <item x="183"/>
        <item x="88"/>
        <item x="132"/>
        <item x="138"/>
        <item x="232"/>
        <item x="231"/>
        <item x="268"/>
        <item x="21"/>
        <item x="244"/>
        <item x="103"/>
        <item x="102"/>
        <item x="165"/>
        <item x="8"/>
        <item x="49"/>
        <item x="40"/>
        <item x="50"/>
        <item x="112"/>
        <item x="72"/>
        <item x="201"/>
        <item x="87"/>
        <item x="155"/>
        <item x="39"/>
        <item x="55"/>
        <item x="91"/>
        <item x="153"/>
        <item x="70"/>
        <item x="228"/>
        <item x="252"/>
        <item x="142"/>
        <item x="250"/>
        <item x="64"/>
        <item x="52"/>
        <item x="115"/>
        <item x="42"/>
        <item x="230"/>
        <item x="2"/>
        <item x="124"/>
        <item x="187"/>
        <item x="97"/>
        <item x="256"/>
        <item x="157"/>
        <item x="41"/>
        <item x="189"/>
        <item x="68"/>
        <item x="263"/>
        <item x="116"/>
        <item x="117"/>
        <item x="110"/>
        <item x="171"/>
        <item x="257"/>
        <item x="158"/>
        <item x="182"/>
        <item x="81"/>
        <item x="7"/>
        <item x="51"/>
        <item x="210"/>
        <item x="147"/>
        <item x="114"/>
        <item x="185"/>
        <item x="154"/>
        <item x="168"/>
        <item x="101"/>
        <item x="130"/>
        <item x="11"/>
        <item x="186"/>
        <item x="248"/>
        <item x="53"/>
        <item x="253"/>
        <item x="84"/>
        <item x="197"/>
        <item x="136"/>
        <item x="160"/>
        <item x="203"/>
        <item x="150"/>
        <item x="77"/>
        <item x="259"/>
        <item x="43"/>
        <item x="209"/>
        <item x="83"/>
        <item x="78"/>
        <item x="109"/>
        <item x="177"/>
        <item x="1"/>
        <item x="227"/>
        <item x="111"/>
        <item x="196"/>
        <item x="265"/>
        <item x="54"/>
        <item x="233"/>
        <item x="98"/>
        <item x="3"/>
        <item x="73"/>
        <item x="85"/>
        <item x="164"/>
        <item x="30"/>
        <item x="23"/>
        <item x="38"/>
        <item x="195"/>
        <item x="148"/>
        <item x="31"/>
        <item x="212"/>
        <item x="37"/>
        <item x="200"/>
        <item x="181"/>
        <item x="93"/>
        <item x="20"/>
        <item x="26"/>
        <item x="99"/>
        <item x="241"/>
        <item x="6"/>
        <item x="208"/>
        <item x="247"/>
        <item x="193"/>
        <item x="22"/>
        <item x="221"/>
        <item x="0"/>
        <item x="108"/>
        <item x="267"/>
        <item x="266"/>
        <item x="32"/>
        <item x="179"/>
        <item x="166"/>
        <item x="66"/>
        <item x="65"/>
        <item x="100"/>
        <item x="254"/>
        <item x="56"/>
        <item x="255"/>
        <item x="198"/>
        <item x="4"/>
        <item x="151"/>
        <item x="141"/>
        <item x="167"/>
        <item x="76"/>
        <item x="79"/>
        <item x="159"/>
        <item x="260"/>
        <item x="262"/>
        <item x="258"/>
        <item x="12"/>
        <item x="163"/>
        <item x="48"/>
        <item x="162"/>
        <item x="10"/>
        <item x="8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t="default"/>
      </items>
    </pivotField>
    <pivotField compact="0" showAll="0">
      <items count="1165">
        <item x="268"/>
        <item x="283"/>
        <item x="282"/>
        <item x="547"/>
        <item x="655"/>
        <item x="6"/>
        <item x="7"/>
        <item x="5"/>
        <item x="0"/>
        <item x="164"/>
        <item x="166"/>
        <item x="267"/>
        <item x="269"/>
        <item x="286"/>
        <item x="287"/>
        <item x="348"/>
        <item x="349"/>
        <item x="394"/>
        <item x="395"/>
        <item x="393"/>
        <item x="515"/>
        <item x="516"/>
        <item x="644"/>
        <item x="643"/>
        <item x="647"/>
        <item x="649"/>
        <item x="10"/>
        <item x="11"/>
        <item x="8"/>
        <item x="167"/>
        <item x="168"/>
        <item x="165"/>
        <item x="270"/>
        <item x="266"/>
        <item x="271"/>
        <item x="285"/>
        <item x="284"/>
        <item x="288"/>
        <item x="392"/>
        <item x="396"/>
        <item x="398"/>
        <item x="399"/>
        <item x="514"/>
        <item x="513"/>
        <item x="518"/>
        <item x="519"/>
        <item x="520"/>
        <item x="646"/>
        <item x="648"/>
        <item x="650"/>
        <item x="651"/>
        <item x="645"/>
        <item x="653"/>
        <item x="9"/>
        <item x="12"/>
        <item x="13"/>
        <item x="14"/>
        <item x="16"/>
        <item x="17"/>
        <item x="15"/>
        <item x="19"/>
        <item x="170"/>
        <item x="169"/>
        <item x="173"/>
        <item x="171"/>
        <item x="172"/>
        <item x="83"/>
        <item x="87"/>
        <item x="180"/>
        <item x="179"/>
        <item x="181"/>
        <item x="182"/>
        <item x="178"/>
        <item x="184"/>
        <item x="185"/>
        <item x="183"/>
        <item x="188"/>
        <item x="174"/>
        <item x="175"/>
        <item x="177"/>
        <item x="176"/>
        <item x="289"/>
        <item x="290"/>
        <item x="291"/>
        <item x="294"/>
        <item x="295"/>
        <item x="293"/>
        <item x="351"/>
        <item x="353"/>
        <item x="350"/>
        <item x="352"/>
        <item x="397"/>
        <item x="400"/>
        <item x="401"/>
        <item x="403"/>
        <item x="404"/>
        <item x="405"/>
        <item x="402"/>
        <item x="407"/>
        <item x="408"/>
        <item x="406"/>
        <item x="409"/>
        <item x="517"/>
        <item x="523"/>
        <item x="522"/>
        <item x="521"/>
        <item x="524"/>
        <item x="525"/>
        <item x="526"/>
        <item x="527"/>
        <item x="654"/>
        <item x="652"/>
        <item x="549"/>
        <item x="551"/>
        <item x="552"/>
        <item x="550"/>
        <item x="554"/>
        <item x="555"/>
        <item x="553"/>
        <item x="560"/>
        <item x="20"/>
        <item x="18"/>
        <item x="2"/>
        <item x="3"/>
        <item x="4"/>
        <item x="1"/>
        <item x="89"/>
        <item x="91"/>
        <item x="86"/>
        <item x="88"/>
        <item x="90"/>
        <item x="85"/>
        <item x="84"/>
        <item x="92"/>
        <item x="93"/>
        <item x="94"/>
        <item x="190"/>
        <item x="192"/>
        <item x="187"/>
        <item x="189"/>
        <item x="191"/>
        <item x="193"/>
        <item x="186"/>
        <item x="194"/>
        <item x="195"/>
        <item x="196"/>
        <item x="292"/>
        <item x="299"/>
        <item x="301"/>
        <item x="303"/>
        <item x="298"/>
        <item x="300"/>
        <item x="302"/>
        <item x="297"/>
        <item x="296"/>
        <item x="304"/>
        <item x="412"/>
        <item x="413"/>
        <item x="411"/>
        <item x="410"/>
        <item x="417"/>
        <item x="419"/>
        <item x="421"/>
        <item x="416"/>
        <item x="418"/>
        <item x="420"/>
        <item x="415"/>
        <item x="414"/>
        <item x="422"/>
        <item x="529"/>
        <item x="528"/>
        <item x="533"/>
        <item x="535"/>
        <item x="537"/>
        <item x="532"/>
        <item x="534"/>
        <item x="536"/>
        <item x="531"/>
        <item x="530"/>
        <item x="538"/>
        <item x="539"/>
        <item x="540"/>
        <item x="557"/>
        <item x="558"/>
        <item x="559"/>
        <item x="561"/>
        <item x="556"/>
        <item x="563"/>
        <item x="565"/>
        <item x="567"/>
        <item x="562"/>
        <item x="564"/>
        <item x="566"/>
        <item x="568"/>
        <item x="22"/>
        <item x="23"/>
        <item x="24"/>
        <item x="21"/>
        <item x="95"/>
        <item x="199"/>
        <item x="201"/>
        <item x="203"/>
        <item x="280"/>
        <item x="281"/>
        <item x="423"/>
        <item x="426"/>
        <item x="427"/>
        <item x="428"/>
        <item x="543"/>
        <item x="545"/>
        <item x="571"/>
        <item x="569"/>
        <item x="570"/>
        <item x="574"/>
        <item x="572"/>
        <item x="573"/>
        <item x="26"/>
        <item x="28"/>
        <item x="30"/>
        <item x="98"/>
        <item x="100"/>
        <item x="96"/>
        <item x="97"/>
        <item x="99"/>
        <item x="198"/>
        <item x="200"/>
        <item x="202"/>
        <item x="204"/>
        <item x="197"/>
        <item x="279"/>
        <item x="278"/>
        <item x="273"/>
        <item x="275"/>
        <item x="277"/>
        <item x="425"/>
        <item x="424"/>
        <item x="431"/>
        <item x="542"/>
        <item x="544"/>
        <item x="546"/>
        <item x="541"/>
        <item x="577"/>
        <item x="578"/>
        <item x="580"/>
        <item x="576"/>
        <item x="104"/>
        <item x="208"/>
        <item x="274"/>
        <item x="27"/>
        <item x="430"/>
        <item x="461"/>
        <item x="579"/>
        <item x="29"/>
        <item x="31"/>
        <item x="106"/>
        <item x="206"/>
        <item x="276"/>
        <item x="432"/>
        <item x="462"/>
        <item x="581"/>
        <item x="25"/>
        <item x="108"/>
        <item x="103"/>
        <item x="207"/>
        <item x="209"/>
        <item x="272"/>
        <item x="433"/>
        <item x="463"/>
        <item x="575"/>
        <item x="105"/>
        <item x="205"/>
        <item x="305"/>
        <item x="362"/>
        <item x="460"/>
        <item x="583"/>
        <item x="34"/>
        <item x="107"/>
        <item x="36"/>
        <item x="38"/>
        <item x="33"/>
        <item x="35"/>
        <item x="37"/>
        <item x="39"/>
        <item x="32"/>
        <item x="40"/>
        <item x="41"/>
        <item x="42"/>
        <item x="102"/>
        <item x="101"/>
        <item x="111"/>
        <item x="112"/>
        <item x="114"/>
        <item x="110"/>
        <item x="113"/>
        <item x="109"/>
        <item x="116"/>
        <item x="115"/>
        <item x="212"/>
        <item x="213"/>
        <item x="210"/>
        <item x="211"/>
        <item x="355"/>
        <item x="357"/>
        <item x="429"/>
        <item x="435"/>
        <item x="434"/>
        <item x="464"/>
        <item x="465"/>
        <item x="584"/>
        <item x="585"/>
        <item x="582"/>
        <item x="586"/>
        <item x="44"/>
        <item x="43"/>
        <item x="46"/>
        <item x="49"/>
        <item x="45"/>
        <item x="47"/>
        <item x="48"/>
        <item x="50"/>
        <item x="54"/>
        <item x="56"/>
        <item x="52"/>
        <item x="53"/>
        <item x="55"/>
        <item x="57"/>
        <item x="51"/>
        <item x="60"/>
        <item x="62"/>
        <item x="64"/>
        <item x="59"/>
        <item x="61"/>
        <item x="63"/>
        <item x="58"/>
        <item x="118"/>
        <item x="117"/>
        <item x="122"/>
        <item x="121"/>
        <item x="120"/>
        <item x="119"/>
        <item x="124"/>
        <item x="123"/>
        <item x="128"/>
        <item x="127"/>
        <item x="129"/>
        <item x="126"/>
        <item x="125"/>
        <item x="133"/>
        <item x="135"/>
        <item x="137"/>
        <item x="132"/>
        <item x="134"/>
        <item x="136"/>
        <item x="131"/>
        <item x="130"/>
        <item x="141"/>
        <item x="143"/>
        <item x="140"/>
        <item x="142"/>
        <item x="215"/>
        <item x="214"/>
        <item x="217"/>
        <item x="218"/>
        <item x="219"/>
        <item x="216"/>
        <item x="223"/>
        <item x="221"/>
        <item x="222"/>
        <item x="224"/>
        <item x="220"/>
        <item x="226"/>
        <item x="227"/>
        <item x="228"/>
        <item x="229"/>
        <item x="225"/>
        <item x="232"/>
        <item x="234"/>
        <item x="236"/>
        <item x="231"/>
        <item x="233"/>
        <item x="235"/>
        <item x="237"/>
        <item x="230"/>
        <item x="240"/>
        <item x="243"/>
        <item x="239"/>
        <item x="241"/>
        <item x="242"/>
        <item x="244"/>
        <item x="238"/>
        <item x="308"/>
        <item x="307"/>
        <item x="306"/>
        <item x="309"/>
        <item x="311"/>
        <item x="310"/>
        <item x="314"/>
        <item x="313"/>
        <item x="312"/>
        <item x="318"/>
        <item x="320"/>
        <item x="321"/>
        <item x="317"/>
        <item x="319"/>
        <item x="316"/>
        <item x="315"/>
        <item x="325"/>
        <item x="326"/>
        <item x="328"/>
        <item x="324"/>
        <item x="354"/>
        <item x="356"/>
        <item x="327"/>
        <item x="358"/>
        <item x="359"/>
        <item x="436"/>
        <item x="438"/>
        <item x="437"/>
        <item x="439"/>
        <item x="442"/>
        <item x="441"/>
        <item x="443"/>
        <item x="440"/>
        <item x="445"/>
        <item x="446"/>
        <item x="448"/>
        <item x="447"/>
        <item x="444"/>
        <item x="451"/>
        <item x="453"/>
        <item x="361"/>
        <item x="452"/>
        <item x="454"/>
        <item x="450"/>
        <item x="449"/>
        <item x="455"/>
        <item x="457"/>
        <item x="458"/>
        <item x="456"/>
        <item x="367"/>
        <item x="364"/>
        <item x="363"/>
        <item x="366"/>
        <item x="365"/>
        <item x="368"/>
        <item x="467"/>
        <item x="468"/>
        <item x="466"/>
        <item x="469"/>
        <item x="471"/>
        <item x="470"/>
        <item x="472"/>
        <item x="475"/>
        <item x="477"/>
        <item x="479"/>
        <item x="474"/>
        <item x="476"/>
        <item x="478"/>
        <item x="473"/>
        <item x="482"/>
        <item x="483"/>
        <item x="481"/>
        <item x="480"/>
        <item x="488"/>
        <item x="490"/>
        <item x="486"/>
        <item x="487"/>
        <item x="548"/>
        <item x="459"/>
        <item x="589"/>
        <item x="587"/>
        <item x="588"/>
        <item x="590"/>
        <item x="592"/>
        <item x="593"/>
        <item x="594"/>
        <item x="595"/>
        <item x="591"/>
        <item x="597"/>
        <item x="599"/>
        <item x="601"/>
        <item x="596"/>
        <item x="598"/>
        <item x="600"/>
        <item x="604"/>
        <item x="603"/>
        <item x="605"/>
        <item x="606"/>
        <item x="602"/>
        <item x="609"/>
        <item x="611"/>
        <item x="613"/>
        <item x="608"/>
        <item x="610"/>
        <item x="612"/>
        <item x="614"/>
        <item x="607"/>
        <item x="616"/>
        <item x="617"/>
        <item x="619"/>
        <item x="618"/>
        <item x="620"/>
        <item x="615"/>
        <item x="623"/>
        <item x="656"/>
        <item x="657"/>
        <item x="658"/>
        <item x="66"/>
        <item x="67"/>
        <item x="65"/>
        <item x="70"/>
        <item x="72"/>
        <item x="74"/>
        <item x="69"/>
        <item x="71"/>
        <item x="73"/>
        <item x="75"/>
        <item x="68"/>
        <item x="77"/>
        <item x="79"/>
        <item x="81"/>
        <item x="76"/>
        <item x="78"/>
        <item x="80"/>
        <item x="82"/>
        <item x="144"/>
        <item x="139"/>
        <item x="138"/>
        <item x="148"/>
        <item x="150"/>
        <item x="152"/>
        <item x="147"/>
        <item x="149"/>
        <item x="151"/>
        <item x="146"/>
        <item x="145"/>
        <item x="156"/>
        <item x="158"/>
        <item x="160"/>
        <item x="155"/>
        <item x="157"/>
        <item x="159"/>
        <item x="154"/>
        <item x="153"/>
        <item x="161"/>
        <item x="162"/>
        <item x="163"/>
        <item x="247"/>
        <item x="249"/>
        <item x="251"/>
        <item x="246"/>
        <item x="248"/>
        <item x="250"/>
        <item x="252"/>
        <item x="245"/>
        <item x="255"/>
        <item x="257"/>
        <item x="259"/>
        <item x="254"/>
        <item x="256"/>
        <item x="258"/>
        <item x="260"/>
        <item x="253"/>
        <item x="262"/>
        <item x="264"/>
        <item x="265"/>
        <item x="261"/>
        <item x="263"/>
        <item x="323"/>
        <item x="322"/>
        <item x="332"/>
        <item x="334"/>
        <item x="336"/>
        <item x="331"/>
        <item x="333"/>
        <item x="335"/>
        <item x="330"/>
        <item x="329"/>
        <item x="340"/>
        <item x="342"/>
        <item x="344"/>
        <item x="339"/>
        <item x="341"/>
        <item x="343"/>
        <item x="338"/>
        <item x="337"/>
        <item x="345"/>
        <item x="346"/>
        <item x="347"/>
        <item x="373"/>
        <item x="375"/>
        <item x="371"/>
        <item x="372"/>
        <item x="374"/>
        <item x="370"/>
        <item x="369"/>
        <item x="379"/>
        <item x="381"/>
        <item x="383"/>
        <item x="378"/>
        <item x="380"/>
        <item x="382"/>
        <item x="377"/>
        <item x="376"/>
        <item x="387"/>
        <item x="389"/>
        <item x="391"/>
        <item x="386"/>
        <item x="388"/>
        <item x="390"/>
        <item x="385"/>
        <item x="384"/>
        <item x="489"/>
        <item x="485"/>
        <item x="484"/>
        <item x="494"/>
        <item x="496"/>
        <item x="498"/>
        <item x="493"/>
        <item x="495"/>
        <item x="497"/>
        <item x="492"/>
        <item x="491"/>
        <item x="502"/>
        <item x="504"/>
        <item x="506"/>
        <item x="501"/>
        <item x="503"/>
        <item x="505"/>
        <item x="500"/>
        <item x="499"/>
        <item x="508"/>
        <item x="510"/>
        <item x="512"/>
        <item x="507"/>
        <item x="509"/>
        <item x="511"/>
        <item x="626"/>
        <item x="622"/>
        <item x="624"/>
        <item x="625"/>
        <item x="627"/>
        <item x="621"/>
        <item x="630"/>
        <item x="632"/>
        <item x="634"/>
        <item x="629"/>
        <item x="631"/>
        <item x="633"/>
        <item x="635"/>
        <item x="628"/>
        <item x="637"/>
        <item x="639"/>
        <item x="641"/>
        <item x="636"/>
        <item x="638"/>
        <item x="640"/>
        <item x="642"/>
        <item x="360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taxrate_money" fld="11" baseField="0" baseItem="0"/>
    <dataField name="求和项:no_taxrate_money" fld="12" baseField="0" baseItem="0"/>
    <dataField name="求和项:tax" fld="13" baseField="0" baseItem="0"/>
  </dataFields>
  <formats count="67">
    <format dxfId="86">
      <pivotArea type="all" dataOnly="0" outline="0" fieldPosition="0"/>
    </format>
    <format dxfId="87">
      <pivotArea type="all" dataOnly="0" outline="0" fieldPosition="0"/>
    </format>
    <format dxfId="88">
      <pivotArea field="1" type="button" dataOnly="0" labelOnly="1" outline="0" fieldPosition="0"/>
    </format>
    <format dxfId="89">
      <pivotArea dataOnly="0" labelOnly="1" fieldPosition="0">
        <references count="1">
          <reference field="1" count="1">
            <x v="0"/>
          </reference>
        </references>
      </pivotArea>
    </format>
    <format dxfId="90">
      <pivotArea dataOnly="0" labelOnly="1" fieldPosition="0">
        <references count="1">
          <reference field="1" count="1">
            <x v="1"/>
          </reference>
        </references>
      </pivotArea>
    </format>
    <format dxfId="91">
      <pivotArea dataOnly="0" labelOnly="1" fieldPosition="0">
        <references count="1">
          <reference field="1" count="1">
            <x v="2"/>
          </reference>
        </references>
      </pivotArea>
    </format>
    <format dxfId="92">
      <pivotArea dataOnly="0" labelOnly="1" grandRow="1" fieldPosition="0"/>
    </format>
    <format dxfId="93">
      <pivotArea dataOnly="0" labelOnly="1" fieldPosition="0">
        <references count="1">
          <reference field="4294967294" count="1">
            <x v="0"/>
          </reference>
        </references>
      </pivotArea>
    </format>
    <format dxfId="94">
      <pivotArea dataOnly="0" labelOnly="1" fieldPosition="0">
        <references count="1">
          <reference field="4294967294" count="1">
            <x v="1"/>
          </reference>
        </references>
      </pivotArea>
    </format>
    <format dxfId="95">
      <pivotArea dataOnly="0" labelOnly="1" fieldPosition="0">
        <references count="1">
          <reference field="4294967294" count="1">
            <x v="2"/>
          </reference>
        </references>
      </pivotArea>
    </format>
    <format dxfId="96">
      <pivotArea collapsedLevelsAreSubtotals="1" fieldPosition="0"/>
    </format>
    <format dxfId="97">
      <pivotArea field="1" type="button" dataOnly="0" labelOnly="1" outline="0" fieldPosition="0"/>
    </format>
    <format dxfId="98">
      <pivotArea dataOnly="0" labelOnly="1" fieldPosition="0">
        <references count="1">
          <reference field="1" count="1">
            <x v="0"/>
          </reference>
        </references>
      </pivotArea>
    </format>
    <format dxfId="99">
      <pivotArea dataOnly="0" labelOnly="1" fieldPosition="0">
        <references count="1">
          <reference field="1" count="1">
            <x v="1"/>
          </reference>
        </references>
      </pivotArea>
    </format>
    <format dxfId="100">
      <pivotArea dataOnly="0" labelOnly="1" fieldPosition="0">
        <references count="1">
          <reference field="1" count="1">
            <x v="2"/>
          </reference>
        </references>
      </pivotArea>
    </format>
    <format dxfId="101">
      <pivotArea dataOnly="0" labelOnly="1" fieldPosition="0">
        <references count="1">
          <reference field="1" count="1">
            <x v="3"/>
          </reference>
        </references>
      </pivotArea>
    </format>
    <format dxfId="102">
      <pivotArea dataOnly="0" labelOnly="1" grandRow="1" fieldPosition="0"/>
    </format>
    <format dxfId="103">
      <pivotArea type="all" dataOnly="0" outline="0" fieldPosition="0"/>
    </format>
    <format dxfId="104">
      <pivotArea dataOnly="0" labelOnly="1" fieldPosition="0">
        <references count="1">
          <reference field="1" count="1">
            <x v="4"/>
          </reference>
        </references>
      </pivotArea>
    </format>
    <format dxfId="105">
      <pivotArea type="all" dataOnly="0" outline="0" fieldPosition="0"/>
    </format>
    <format dxfId="106">
      <pivotArea dataOnly="0" labelOnly="1" fieldPosition="0">
        <references count="1">
          <reference field="1" count="1">
            <x v="5"/>
          </reference>
        </references>
      </pivotArea>
    </format>
    <format dxfId="107">
      <pivotArea type="all" dataOnly="0" outline="0" fieldPosition="0"/>
    </format>
    <format dxfId="108">
      <pivotArea type="all" dataOnly="0" outline="0" fieldPosition="0"/>
    </format>
    <format dxfId="109">
      <pivotArea type="all" dataOnly="0" outline="0" fieldPosition="0"/>
    </format>
    <format dxfId="110">
      <pivotArea field="1" type="button" dataOnly="0" labelOnly="1" outline="0" fieldPosition="0"/>
    </format>
    <format dxfId="111">
      <pivotArea dataOnly="0" labelOnly="1" fieldPosition="0">
        <references count="1">
          <reference field="1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1"/>
          </reference>
        </references>
      </pivotArea>
    </format>
    <format dxfId="113">
      <pivotArea dataOnly="0" labelOnly="1" fieldPosition="0">
        <references count="1">
          <reference field="1" count="1">
            <x v="2"/>
          </reference>
        </references>
      </pivotArea>
    </format>
    <format dxfId="114">
      <pivotArea dataOnly="0" labelOnly="1" fieldPosition="0">
        <references count="1">
          <reference field="1" count="1">
            <x v="3"/>
          </reference>
        </references>
      </pivotArea>
    </format>
    <format dxfId="115">
      <pivotArea dataOnly="0" labelOnly="1" fieldPosition="0">
        <references count="1">
          <reference field="1" count="1">
            <x v="4"/>
          </reference>
        </references>
      </pivotArea>
    </format>
    <format dxfId="116">
      <pivotArea dataOnly="0" labelOnly="1" fieldPosition="0">
        <references count="1">
          <reference field="1" count="1">
            <x v="5"/>
          </reference>
        </references>
      </pivotArea>
    </format>
    <format dxfId="117">
      <pivotArea dataOnly="0" labelOnly="1" fieldPosition="0">
        <references count="1">
          <reference field="1" count="1">
            <x v="6"/>
          </reference>
        </references>
      </pivotArea>
    </format>
    <format dxfId="118">
      <pivotArea dataOnly="0" labelOnly="1" grandRow="1" fieldPosition="0"/>
    </format>
    <format dxfId="119">
      <pivotArea type="all" dataOnly="0" outline="0" fieldPosition="0"/>
    </format>
    <format dxfId="120">
      <pivotArea type="all" dataOnly="0" outline="0" fieldPosition="0"/>
    </format>
    <format dxfId="121">
      <pivotArea field="1" type="button" dataOnly="0" labelOnly="1" outline="0" fieldPosition="0"/>
    </format>
    <format dxfId="122">
      <pivotArea dataOnly="0" labelOnly="1" fieldPosition="0">
        <references count="1">
          <reference field="1" count="1">
            <x v="0"/>
          </reference>
        </references>
      </pivotArea>
    </format>
    <format dxfId="123">
      <pivotArea dataOnly="0" labelOnly="1" fieldPosition="0">
        <references count="1">
          <reference field="1" count="1">
            <x v="1"/>
          </reference>
        </references>
      </pivotArea>
    </format>
    <format dxfId="124">
      <pivotArea dataOnly="0" labelOnly="1" fieldPosition="0">
        <references count="1">
          <reference field="1" count="1">
            <x v="2"/>
          </reference>
        </references>
      </pivotArea>
    </format>
    <format dxfId="125">
      <pivotArea dataOnly="0" labelOnly="1" fieldPosition="0">
        <references count="1">
          <reference field="1" count="1">
            <x v="3"/>
          </reference>
        </references>
      </pivotArea>
    </format>
    <format dxfId="126">
      <pivotArea dataOnly="0" labelOnly="1" fieldPosition="0">
        <references count="1">
          <reference field="1" count="1">
            <x v="4"/>
          </reference>
        </references>
      </pivotArea>
    </format>
    <format dxfId="127">
      <pivotArea dataOnly="0" labelOnly="1" fieldPosition="0">
        <references count="1">
          <reference field="1" count="1">
            <x v="5"/>
          </reference>
        </references>
      </pivotArea>
    </format>
    <format dxfId="128">
      <pivotArea dataOnly="0" labelOnly="1" fieldPosition="0">
        <references count="1">
          <reference field="1" count="1">
            <x v="6"/>
          </reference>
        </references>
      </pivotArea>
    </format>
    <format dxfId="129">
      <pivotArea dataOnly="0" labelOnly="1" fieldPosition="0">
        <references count="1">
          <reference field="1" count="1">
            <x v="7"/>
          </reference>
        </references>
      </pivotArea>
    </format>
    <format dxfId="130">
      <pivotArea dataOnly="0" labelOnly="1" grandRow="1" fieldPosition="0"/>
    </format>
    <format dxfId="131">
      <pivotArea type="all" dataOnly="0" outline="0" fieldPosition="0"/>
    </format>
    <format dxfId="132">
      <pivotArea dataOnly="0" labelOnly="1" fieldPosition="0">
        <references count="1">
          <reference field="1" count="1">
            <x v="8"/>
          </reference>
        </references>
      </pivotArea>
    </format>
    <format dxfId="133">
      <pivotArea dataOnly="0" labelOnly="1" fieldPosition="0">
        <references count="1">
          <reference field="1" count="1">
            <x v="9"/>
          </reference>
        </references>
      </pivotArea>
    </format>
    <format dxfId="134">
      <pivotArea collapsedLevelsAreSubtotals="1" fieldPosition="0">
        <references count="1">
          <reference field="1" count="1" selected="0">
            <x v="9"/>
          </reference>
        </references>
      </pivotArea>
    </format>
    <format dxfId="135">
      <pivotArea collapsedLevelsAreSubtotals="1" fieldPosition="0">
        <references count="1">
          <reference field="1" count="1" selected="0">
            <x v="9"/>
          </reference>
        </references>
      </pivotArea>
    </format>
    <format dxfId="136">
      <pivotArea dataOnly="0" labelOnly="1" fieldPosition="0">
        <references count="1">
          <reference field="1" count="1">
            <x v="10"/>
          </reference>
        </references>
      </pivotArea>
    </format>
    <format dxfId="137">
      <pivotArea type="all" dataOnly="0" outline="0" fieldPosition="0"/>
    </format>
    <format dxfId="138">
      <pivotArea type="all" dataOnly="0" outline="0" fieldPosition="0"/>
    </format>
    <format dxfId="139">
      <pivotArea field="1" type="button" dataOnly="0" labelOnly="1" outline="0" fieldPosition="0"/>
    </format>
    <format dxfId="140">
      <pivotArea dataOnly="0" labelOnly="1" fieldPosition="0">
        <references count="1">
          <reference field="1" count="1">
            <x v="0"/>
          </reference>
        </references>
      </pivotArea>
    </format>
    <format dxfId="141">
      <pivotArea dataOnly="0" labelOnly="1" fieldPosition="0">
        <references count="1">
          <reference field="1" count="1">
            <x v="1"/>
          </reference>
        </references>
      </pivotArea>
    </format>
    <format dxfId="142">
      <pivotArea dataOnly="0" labelOnly="1" fieldPosition="0">
        <references count="1">
          <reference field="1" count="1">
            <x v="2"/>
          </reference>
        </references>
      </pivotArea>
    </format>
    <format dxfId="143">
      <pivotArea dataOnly="0" labelOnly="1" fieldPosition="0">
        <references count="1">
          <reference field="1" count="1">
            <x v="3"/>
          </reference>
        </references>
      </pivotArea>
    </format>
    <format dxfId="144">
      <pivotArea dataOnly="0" labelOnly="1" fieldPosition="0">
        <references count="1">
          <reference field="1" count="1">
            <x v="4"/>
          </reference>
        </references>
      </pivotArea>
    </format>
    <format dxfId="145">
      <pivotArea dataOnly="0" labelOnly="1" fieldPosition="0">
        <references count="1">
          <reference field="1" count="1">
            <x v="5"/>
          </reference>
        </references>
      </pivotArea>
    </format>
    <format dxfId="146">
      <pivotArea dataOnly="0" labelOnly="1" fieldPosition="0">
        <references count="1">
          <reference field="1" count="1">
            <x v="6"/>
          </reference>
        </references>
      </pivotArea>
    </format>
    <format dxfId="147">
      <pivotArea dataOnly="0" labelOnly="1" fieldPosition="0">
        <references count="1">
          <reference field="1" count="1">
            <x v="7"/>
          </reference>
        </references>
      </pivotArea>
    </format>
    <format dxfId="148">
      <pivotArea dataOnly="0" labelOnly="1" fieldPosition="0">
        <references count="1">
          <reference field="1" count="1">
            <x v="8"/>
          </reference>
        </references>
      </pivotArea>
    </format>
    <format dxfId="149">
      <pivotArea dataOnly="0" labelOnly="1" fieldPosition="0">
        <references count="1">
          <reference field="1" count="1">
            <x v="9"/>
          </reference>
        </references>
      </pivotArea>
    </format>
    <format dxfId="150">
      <pivotArea dataOnly="0" labelOnly="1" fieldPosition="0">
        <references count="1">
          <reference field="1" count="1">
            <x v="10"/>
          </reference>
        </references>
      </pivotArea>
    </format>
    <format dxfId="151">
      <pivotArea dataOnly="0" labelOnly="1" fieldPosition="0">
        <references count="1">
          <reference field="1" count="1">
            <x v="11"/>
          </reference>
        </references>
      </pivotArea>
    </format>
    <format dxfId="152">
      <pivotArea dataOnly="0" labelOnly="1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5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A1:AO79" firstHeaderRow="1" firstDataRow="2" firstDataCol="2"/>
  <pivotFields count="15">
    <pivotField compact="0" showAll="0">
      <items count="3">
        <item x="1"/>
        <item x="0"/>
        <item t="default"/>
      </items>
    </pivotField>
    <pivotField axis="axisCol" compact="0" numFmtId="17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8">
        <item x="0"/>
        <item x="5"/>
        <item x="26"/>
        <item x="25"/>
        <item x="14"/>
        <item x="17"/>
        <item x="39"/>
        <item x="41"/>
        <item x="12"/>
        <item x="30"/>
        <item x="23"/>
        <item x="20"/>
        <item x="42"/>
        <item x="22"/>
        <item x="19"/>
        <item x="2"/>
        <item x="32"/>
        <item x="28"/>
        <item x="34"/>
        <item x="45"/>
        <item x="21"/>
        <item x="27"/>
        <item x="38"/>
        <item x="11"/>
        <item x="44"/>
        <item x="8"/>
        <item x="43"/>
        <item x="13"/>
        <item x="18"/>
        <item x="35"/>
        <item x="40"/>
        <item x="36"/>
        <item x="33"/>
        <item x="16"/>
        <item x="10"/>
        <item x="4"/>
        <item x="6"/>
        <item x="37"/>
        <item x="7"/>
        <item x="29"/>
        <item x="24"/>
        <item x="31"/>
        <item x="15"/>
        <item x="3"/>
        <item x="9"/>
        <item x="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2"/>
        <item x="1"/>
        <item x="3"/>
        <item x="4"/>
        <item x="0"/>
        <item t="default"/>
      </items>
    </pivotField>
    <pivotField dataField="1" compact="0" numFmtId="176" showAll="0">
      <items count="1186">
        <item x="225"/>
        <item x="423"/>
        <item x="441"/>
        <item x="175"/>
        <item x="220"/>
        <item x="36"/>
        <item x="33"/>
        <item x="95"/>
        <item x="5"/>
        <item x="264"/>
        <item x="176"/>
        <item x="184"/>
        <item x="211"/>
        <item x="47"/>
        <item x="14"/>
        <item x="202"/>
        <item x="283"/>
        <item x="199"/>
        <item x="362"/>
        <item x="352"/>
        <item x="63"/>
        <item x="353"/>
        <item x="174"/>
        <item x="418"/>
        <item x="57"/>
        <item x="450"/>
        <item x="234"/>
        <item x="62"/>
        <item x="134"/>
        <item x="240"/>
        <item x="277"/>
        <item x="273"/>
        <item x="24"/>
        <item x="19"/>
        <item x="140"/>
        <item x="446"/>
        <item x="427"/>
        <item x="205"/>
        <item x="284"/>
        <item x="60"/>
        <item x="106"/>
        <item x="445"/>
        <item x="131"/>
        <item x="402"/>
        <item x="279"/>
        <item x="172"/>
        <item x="348"/>
        <item x="320"/>
        <item x="173"/>
        <item x="223"/>
        <item x="429"/>
        <item x="309"/>
        <item x="215"/>
        <item x="324"/>
        <item x="448"/>
        <item x="311"/>
        <item x="119"/>
        <item x="61"/>
        <item x="128"/>
        <item x="317"/>
        <item x="178"/>
        <item x="316"/>
        <item x="432"/>
        <item x="222"/>
        <item x="398"/>
        <item x="45"/>
        <item x="59"/>
        <item x="449"/>
        <item x="224"/>
        <item x="123"/>
        <item x="170"/>
        <item x="236"/>
        <item x="143"/>
        <item x="229"/>
        <item x="454"/>
        <item x="139"/>
        <item x="243"/>
        <item x="307"/>
        <item x="35"/>
        <item x="144"/>
        <item x="133"/>
        <item x="206"/>
        <item x="349"/>
        <item x="408"/>
        <item x="190"/>
        <item x="105"/>
        <item x="92"/>
        <item x="27"/>
        <item x="245"/>
        <item x="104"/>
        <item x="287"/>
        <item x="271"/>
        <item x="207"/>
        <item x="412"/>
        <item x="343"/>
        <item x="152"/>
        <item x="235"/>
        <item x="289"/>
        <item x="425"/>
        <item x="328"/>
        <item x="86"/>
        <item x="407"/>
        <item x="191"/>
        <item x="442"/>
        <item x="188"/>
        <item x="295"/>
        <item x="125"/>
        <item x="135"/>
        <item x="107"/>
        <item x="394"/>
        <item x="301"/>
        <item x="249"/>
        <item x="74"/>
        <item x="192"/>
        <item x="13"/>
        <item x="336"/>
        <item x="218"/>
        <item x="226"/>
        <item x="127"/>
        <item x="204"/>
        <item x="370"/>
        <item x="406"/>
        <item x="239"/>
        <item x="344"/>
        <item x="28"/>
        <item x="156"/>
        <item x="9"/>
        <item x="322"/>
        <item x="374"/>
        <item x="90"/>
        <item x="213"/>
        <item x="34"/>
        <item x="278"/>
        <item x="313"/>
        <item x="242"/>
        <item x="113"/>
        <item x="360"/>
        <item x="358"/>
        <item x="137"/>
        <item x="129"/>
        <item x="354"/>
        <item x="237"/>
        <item x="15"/>
        <item x="44"/>
        <item x="149"/>
        <item x="294"/>
        <item x="367"/>
        <item x="321"/>
        <item x="415"/>
        <item x="194"/>
        <item x="217"/>
        <item x="395"/>
        <item x="58"/>
        <item x="361"/>
        <item x="288"/>
        <item x="246"/>
        <item x="118"/>
        <item x="357"/>
        <item x="312"/>
        <item x="145"/>
        <item x="180"/>
        <item x="315"/>
        <item x="120"/>
        <item x="453"/>
        <item x="238"/>
        <item x="121"/>
        <item x="169"/>
        <item x="310"/>
        <item x="122"/>
        <item x="94"/>
        <item x="314"/>
        <item x="437"/>
        <item x="29"/>
        <item x="126"/>
        <item x="96"/>
        <item x="18"/>
        <item x="17"/>
        <item x="359"/>
        <item x="219"/>
        <item x="396"/>
        <item x="325"/>
        <item x="25"/>
        <item x="366"/>
        <item x="286"/>
        <item x="161"/>
        <item x="355"/>
        <item x="67"/>
        <item x="350"/>
        <item x="261"/>
        <item x="440"/>
        <item x="347"/>
        <item x="216"/>
        <item x="331"/>
        <item x="71"/>
        <item x="46"/>
        <item x="75"/>
        <item x="333"/>
        <item x="334"/>
        <item x="89"/>
        <item x="80"/>
        <item x="383"/>
        <item x="214"/>
        <item x="251"/>
        <item x="69"/>
        <item x="146"/>
        <item x="305"/>
        <item x="275"/>
        <item x="368"/>
        <item x="16"/>
        <item x="443"/>
        <item x="183"/>
        <item x="88"/>
        <item x="306"/>
        <item x="132"/>
        <item x="384"/>
        <item x="138"/>
        <item x="308"/>
        <item x="393"/>
        <item x="232"/>
        <item x="403"/>
        <item x="231"/>
        <item x="296"/>
        <item x="285"/>
        <item x="303"/>
        <item x="439"/>
        <item x="268"/>
        <item x="21"/>
        <item x="452"/>
        <item x="244"/>
        <item x="103"/>
        <item x="346"/>
        <item x="376"/>
        <item x="102"/>
        <item x="304"/>
        <item x="363"/>
        <item x="165"/>
        <item x="8"/>
        <item x="329"/>
        <item x="49"/>
        <item x="436"/>
        <item x="378"/>
        <item x="40"/>
        <item x="319"/>
        <item x="50"/>
        <item x="330"/>
        <item x="112"/>
        <item x="72"/>
        <item x="201"/>
        <item x="87"/>
        <item x="155"/>
        <item x="434"/>
        <item x="332"/>
        <item x="39"/>
        <item x="413"/>
        <item x="55"/>
        <item x="382"/>
        <item x="91"/>
        <item x="153"/>
        <item x="292"/>
        <item x="70"/>
        <item x="228"/>
        <item x="392"/>
        <item x="335"/>
        <item x="252"/>
        <item x="142"/>
        <item x="250"/>
        <item x="64"/>
        <item x="405"/>
        <item x="52"/>
        <item x="115"/>
        <item x="42"/>
        <item x="230"/>
        <item x="2"/>
        <item x="351"/>
        <item x="410"/>
        <item x="381"/>
        <item x="124"/>
        <item x="187"/>
        <item x="416"/>
        <item x="97"/>
        <item x="430"/>
        <item x="431"/>
        <item x="280"/>
        <item x="369"/>
        <item x="300"/>
        <item x="256"/>
        <item x="417"/>
        <item x="157"/>
        <item x="41"/>
        <item x="189"/>
        <item x="290"/>
        <item x="391"/>
        <item x="339"/>
        <item x="68"/>
        <item x="263"/>
        <item x="116"/>
        <item x="117"/>
        <item x="110"/>
        <item x="281"/>
        <item x="171"/>
        <item x="257"/>
        <item x="158"/>
        <item x="298"/>
        <item x="182"/>
        <item x="81"/>
        <item x="451"/>
        <item x="7"/>
        <item x="51"/>
        <item x="424"/>
        <item x="210"/>
        <item x="299"/>
        <item x="147"/>
        <item x="114"/>
        <item x="438"/>
        <item x="185"/>
        <item x="154"/>
        <item x="337"/>
        <item x="297"/>
        <item x="168"/>
        <item x="302"/>
        <item x="101"/>
        <item x="397"/>
        <item x="130"/>
        <item x="272"/>
        <item x="11"/>
        <item x="447"/>
        <item x="435"/>
        <item x="444"/>
        <item x="186"/>
        <item x="248"/>
        <item x="53"/>
        <item x="253"/>
        <item x="291"/>
        <item x="274"/>
        <item x="84"/>
        <item x="197"/>
        <item x="326"/>
        <item x="426"/>
        <item x="136"/>
        <item x="411"/>
        <item x="377"/>
        <item x="389"/>
        <item x="160"/>
        <item x="203"/>
        <item x="150"/>
        <item x="77"/>
        <item x="259"/>
        <item x="364"/>
        <item x="390"/>
        <item x="43"/>
        <item x="375"/>
        <item x="209"/>
        <item x="83"/>
        <item x="78"/>
        <item x="109"/>
        <item x="338"/>
        <item x="177"/>
        <item x="409"/>
        <item x="1"/>
        <item x="414"/>
        <item x="419"/>
        <item x="227"/>
        <item x="111"/>
        <item x="323"/>
        <item x="196"/>
        <item x="265"/>
        <item x="386"/>
        <item x="54"/>
        <item x="233"/>
        <item x="98"/>
        <item x="365"/>
        <item x="3"/>
        <item x="73"/>
        <item x="433"/>
        <item x="85"/>
        <item x="164"/>
        <item x="30"/>
        <item x="270"/>
        <item x="23"/>
        <item x="293"/>
        <item x="38"/>
        <item x="195"/>
        <item x="148"/>
        <item x="31"/>
        <item x="345"/>
        <item x="212"/>
        <item x="421"/>
        <item x="37"/>
        <item x="200"/>
        <item x="387"/>
        <item x="181"/>
        <item x="93"/>
        <item x="327"/>
        <item x="20"/>
        <item x="282"/>
        <item x="318"/>
        <item x="26"/>
        <item x="99"/>
        <item x="241"/>
        <item x="6"/>
        <item x="400"/>
        <item x="208"/>
        <item x="372"/>
        <item x="247"/>
        <item x="193"/>
        <item x="22"/>
        <item x="221"/>
        <item x="0"/>
        <item x="108"/>
        <item x="401"/>
        <item x="420"/>
        <item x="267"/>
        <item x="388"/>
        <item x="266"/>
        <item x="32"/>
        <item x="399"/>
        <item x="179"/>
        <item x="166"/>
        <item x="371"/>
        <item x="66"/>
        <item x="340"/>
        <item x="428"/>
        <item x="65"/>
        <item x="100"/>
        <item x="254"/>
        <item x="56"/>
        <item x="255"/>
        <item x="269"/>
        <item x="276"/>
        <item x="198"/>
        <item x="4"/>
        <item x="151"/>
        <item x="141"/>
        <item x="422"/>
        <item x="373"/>
        <item x="167"/>
        <item x="76"/>
        <item x="341"/>
        <item x="404"/>
        <item x="79"/>
        <item x="159"/>
        <item x="356"/>
        <item x="260"/>
        <item x="262"/>
        <item x="342"/>
        <item x="379"/>
        <item x="258"/>
        <item x="12"/>
        <item x="163"/>
        <item x="48"/>
        <item x="162"/>
        <item x="380"/>
        <item x="385"/>
        <item x="10"/>
        <item x="82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t="default"/>
      </items>
    </pivotField>
    <pivotField compact="0" numFmtId="176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numFmtId="176" showAll="0">
      <items count="1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t="default"/>
      </items>
    </pivotField>
  </pivotFields>
  <rowFields count="2">
    <field x="10"/>
    <field x="8"/>
  </rowFields>
  <rowItems count="77">
    <i>
      <x/>
    </i>
    <i r="1">
      <x v="2"/>
    </i>
    <i r="1">
      <x v="4"/>
    </i>
    <i r="1">
      <x v="7"/>
    </i>
    <i r="1">
      <x v="9"/>
    </i>
    <i r="1">
      <x v="15"/>
    </i>
    <i r="1">
      <x v="19"/>
    </i>
    <i r="1">
      <x v="21"/>
    </i>
    <i r="1">
      <x v="22"/>
    </i>
    <i r="1">
      <x v="24"/>
    </i>
    <i r="1">
      <x v="26"/>
    </i>
    <i r="1">
      <x v="31"/>
    </i>
    <i r="1">
      <x v="32"/>
    </i>
    <i r="1">
      <x v="36"/>
    </i>
    <i r="1">
      <x v="38"/>
    </i>
    <i r="1">
      <x v="39"/>
    </i>
    <i r="1">
      <x v="41"/>
    </i>
    <i r="1">
      <x v="46"/>
    </i>
    <i r="1">
      <x v="47"/>
    </i>
    <i r="1">
      <x v="49"/>
    </i>
    <i r="1">
      <x v="53"/>
    </i>
    <i r="1">
      <x v="54"/>
    </i>
    <i r="1">
      <x v="55"/>
    </i>
    <i r="1">
      <x v="57"/>
    </i>
    <i r="1">
      <x v="65"/>
    </i>
    <i r="1">
      <x v="66"/>
    </i>
    <i>
      <x v="1"/>
    </i>
    <i r="1">
      <x v="12"/>
    </i>
    <i r="1">
      <x v="18"/>
    </i>
    <i r="1">
      <x v="27"/>
    </i>
    <i r="1">
      <x v="28"/>
    </i>
    <i r="1">
      <x v="29"/>
    </i>
    <i r="1">
      <x v="34"/>
    </i>
    <i r="1">
      <x v="45"/>
    </i>
    <i r="1">
      <x v="58"/>
    </i>
    <i r="1">
      <x v="63"/>
    </i>
    <i r="1">
      <x v="64"/>
    </i>
    <i>
      <x v="2"/>
    </i>
    <i r="1">
      <x v="6"/>
    </i>
    <i r="1">
      <x v="42"/>
    </i>
    <i r="1">
      <x v="43"/>
    </i>
    <i r="1">
      <x v="44"/>
    </i>
    <i r="1">
      <x v="48"/>
    </i>
    <i r="1">
      <x v="50"/>
    </i>
    <i r="1">
      <x v="52"/>
    </i>
    <i r="1">
      <x v="59"/>
    </i>
    <i>
      <x v="3"/>
    </i>
    <i r="1">
      <x v="1"/>
    </i>
    <i r="1">
      <x v="8"/>
    </i>
    <i r="1">
      <x v="13"/>
    </i>
    <i r="1">
      <x v="28"/>
    </i>
    <i r="1">
      <x v="29"/>
    </i>
    <i r="1">
      <x v="56"/>
    </i>
    <i r="1">
      <x v="58"/>
    </i>
    <i>
      <x v="4"/>
    </i>
    <i r="1">
      <x/>
    </i>
    <i r="1">
      <x v="3"/>
    </i>
    <i r="1">
      <x v="5"/>
    </i>
    <i r="1">
      <x v="10"/>
    </i>
    <i r="1">
      <x v="11"/>
    </i>
    <i r="1">
      <x v="14"/>
    </i>
    <i r="1">
      <x v="16"/>
    </i>
    <i r="1">
      <x v="17"/>
    </i>
    <i r="1">
      <x v="20"/>
    </i>
    <i r="1">
      <x v="23"/>
    </i>
    <i r="1">
      <x v="25"/>
    </i>
    <i r="1">
      <x v="28"/>
    </i>
    <i r="1">
      <x v="30"/>
    </i>
    <i r="1">
      <x v="33"/>
    </i>
    <i r="1">
      <x v="35"/>
    </i>
    <i r="1">
      <x v="37"/>
    </i>
    <i r="1">
      <x v="40"/>
    </i>
    <i r="1">
      <x v="51"/>
    </i>
    <i r="1">
      <x v="60"/>
    </i>
    <i r="1">
      <x v="61"/>
    </i>
    <i r="1">
      <x v="6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求和项:taxrate_money" fld="11" baseField="0" baseItem="0"/>
  </dataFields>
  <formats count="25">
    <format dxfId="153">
      <pivotArea type="all" dataOnly="0" outline="0" fieldPosition="0"/>
    </format>
    <format dxfId="154">
      <pivotArea type="all" dataOnly="0" outline="0" fieldPosition="0"/>
    </format>
    <format dxfId="155">
      <pivotArea collapsedLevelsAreSubtotals="1" fieldPosition="0"/>
    </format>
    <format dxfId="156">
      <pivotArea dataOnly="0" labelOnly="1" fieldPosition="0">
        <references count="2">
          <reference field="8" count="1">
            <x v="16"/>
          </reference>
          <reference field="10" count="1" selected="0">
            <x v="4"/>
          </reference>
        </references>
      </pivotArea>
    </format>
    <format dxfId="157">
      <pivotArea collapsedLevelsAreSubtotals="1" fieldPosition="0">
        <references count="2">
          <reference field="8" count="1" selected="0">
            <x v="16"/>
          </reference>
          <reference field="10" count="1" selected="0">
            <x v="4"/>
          </reference>
        </references>
      </pivotArea>
    </format>
    <format dxfId="158">
      <pivotArea dataOnly="0" labelOnly="1" fieldPosition="0">
        <references count="2">
          <reference field="8" count="1">
            <x v="0"/>
          </reference>
          <reference field="10" count="1" selected="0">
            <x v="4"/>
          </reference>
        </references>
      </pivotArea>
    </format>
    <format dxfId="159">
      <pivotArea collapsedLevelsAreSubtotals="1" fieldPosition="0">
        <references count="2">
          <reference field="8" count="1" selected="0">
            <x v="0"/>
          </reference>
          <reference field="10" count="1" selected="0">
            <x v="4"/>
          </reference>
        </references>
      </pivotArea>
    </format>
    <format dxfId="160">
      <pivotArea dataOnly="0" labelOnly="1" fieldPosition="0">
        <references count="2">
          <reference field="8" count="1">
            <x v="28"/>
          </reference>
          <reference field="10" count="1" selected="0">
            <x v="4"/>
          </reference>
        </references>
      </pivotArea>
    </format>
    <format dxfId="161">
      <pivotArea collapsedLevelsAreSubtotals="1" fieldPosition="0">
        <references count="2">
          <reference field="8" count="1" selected="0">
            <x v="28"/>
          </reference>
          <reference field="10" count="1" selected="0">
            <x v="4"/>
          </reference>
        </references>
      </pivotArea>
    </format>
    <format dxfId="162">
      <pivotArea type="all" dataOnly="0" outline="0" fieldPosition="0"/>
    </format>
    <format dxfId="163">
      <pivotArea dataOnly="0" labelOnly="1" grandCol="1" fieldPosition="0"/>
    </format>
    <format dxfId="164">
      <pivotArea dataOnly="0" labelOnly="1" fieldPosition="0">
        <references count="1">
          <reference field="1" count="1">
            <x v="0"/>
          </reference>
        </references>
      </pivotArea>
    </format>
    <format dxfId="165">
      <pivotArea dataOnly="0" labelOnly="1" fieldPosition="0">
        <references count="1">
          <reference field="1" count="1">
            <x v="1"/>
          </reference>
        </references>
      </pivotArea>
    </format>
    <format dxfId="166">
      <pivotArea dataOnly="0" labelOnly="1" fieldPosition="0">
        <references count="1">
          <reference field="1" count="1">
            <x v="2"/>
          </reference>
        </references>
      </pivotArea>
    </format>
    <format dxfId="167">
      <pivotArea dataOnly="0" labelOnly="1" fieldPosition="0">
        <references count="1">
          <reference field="1" count="1">
            <x v="3"/>
          </reference>
        </references>
      </pivotArea>
    </format>
    <format dxfId="168">
      <pivotArea dataOnly="0" labelOnly="1" fieldPosition="0">
        <references count="1">
          <reference field="1" count="1">
            <x v="4"/>
          </reference>
        </references>
      </pivotArea>
    </format>
    <format dxfId="169">
      <pivotArea dataOnly="0" labelOnly="1" fieldPosition="0">
        <references count="1">
          <reference field="1" count="1">
            <x v="5"/>
          </reference>
        </references>
      </pivotArea>
    </format>
    <format dxfId="170">
      <pivotArea type="all" dataOnly="0" outline="0" fieldPosition="0"/>
    </format>
    <format dxfId="171">
      <pivotArea type="all" dataOnly="0" outline="0" fieldPosition="0"/>
    </format>
    <format dxfId="172">
      <pivotArea type="all" dataOnly="0" outline="0" fieldPosition="0"/>
    </format>
    <format dxfId="173">
      <pivotArea type="all" dataOnly="0" outline="0" fieldPosition="0"/>
    </format>
    <format dxfId="174">
      <pivotArea type="all" dataOnly="0" outline="0" fieldPosition="0"/>
    </format>
    <format dxfId="175">
      <pivotArea type="all" dataOnly="0" outline="0" fieldPosition="0"/>
    </format>
    <format dxfId="176">
      <pivotArea type="all" dataOnly="0" outline="0" fieldPosition="0"/>
    </format>
    <format dxfId="17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6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1:U107" firstHeaderRow="1" firstDataRow="2" firstDataCol="2"/>
  <pivotFields count="14">
    <pivotField compact="0" showAll="0">
      <items count="6">
        <item x="1"/>
        <item x="2"/>
        <item x="0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6">
        <item x="1"/>
        <item x="0"/>
        <item x="2"/>
        <item x="4"/>
        <item x="5"/>
        <item x="3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8">
        <item x="7"/>
        <item x="1"/>
        <item x="2"/>
        <item x="3"/>
        <item x="0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8">
        <item x="2"/>
        <item x="3"/>
        <item x="1"/>
        <item x="0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4">
        <item x="0"/>
        <item x="1"/>
        <item m="1"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89">
        <item x="5"/>
        <item x="0"/>
        <item x="1"/>
        <item x="15"/>
        <item x="16"/>
        <item x="20"/>
        <item x="18"/>
        <item x="10"/>
        <item x="2"/>
        <item x="3"/>
        <item x="17"/>
        <item x="4"/>
        <item x="9"/>
        <item x="8"/>
        <item x="6"/>
        <item x="7"/>
        <item x="12"/>
        <item x="11"/>
        <item x="14"/>
        <item x="13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1"/>
        <item x="4"/>
        <item x="0"/>
        <item x="2"/>
        <item x="3"/>
        <item x="5"/>
        <item t="default"/>
      </items>
    </pivotField>
    <pivotField dataField="1" compact="0" showAll="0">
      <items count="924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t="default"/>
      </items>
    </pivotField>
    <pivotField compact="0" showAll="0">
      <items count="929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t="default"/>
      </items>
    </pivotField>
    <pivotField compact="0" showAll="0">
      <items count="927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9"/>
        <item x="460"/>
        <item x="461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x="808"/>
        <item x="57"/>
        <item x="238"/>
        <item x="458"/>
        <item x="462"/>
        <item x="629"/>
        <item x="630"/>
        <item x="803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t="default"/>
      </items>
    </pivotField>
  </pivotFields>
  <rowFields count="2">
    <field x="10"/>
    <field x="8"/>
  </rowFields>
  <rowItems count="105">
    <i>
      <x/>
    </i>
    <i r="1">
      <x v="2"/>
    </i>
    <i r="1">
      <x v="8"/>
    </i>
    <i r="1">
      <x v="11"/>
    </i>
    <i r="1">
      <x v="22"/>
    </i>
    <i r="1">
      <x v="35"/>
    </i>
    <i r="1">
      <x v="60"/>
    </i>
    <i>
      <x v="1"/>
    </i>
    <i r="1">
      <x v="4"/>
    </i>
    <i r="1">
      <x v="6"/>
    </i>
    <i r="1">
      <x v="10"/>
    </i>
    <i r="1">
      <x v="20"/>
    </i>
    <i r="1">
      <x v="21"/>
    </i>
    <i r="1">
      <x v="23"/>
    </i>
    <i r="1">
      <x v="25"/>
    </i>
    <i r="1">
      <x v="26"/>
    </i>
    <i r="1">
      <x v="30"/>
    </i>
    <i r="1">
      <x v="32"/>
    </i>
    <i r="1">
      <x v="33"/>
    </i>
    <i r="1">
      <x v="36"/>
    </i>
    <i r="1">
      <x v="41"/>
    </i>
    <i r="1">
      <x v="44"/>
    </i>
    <i r="1">
      <x v="45"/>
    </i>
    <i r="1">
      <x v="46"/>
    </i>
    <i r="1">
      <x v="47"/>
    </i>
    <i r="1">
      <x v="55"/>
    </i>
    <i r="1">
      <x v="56"/>
    </i>
    <i r="1">
      <x v="57"/>
    </i>
    <i r="1">
      <x v="58"/>
    </i>
    <i r="1">
      <x v="59"/>
    </i>
    <i r="1">
      <x v="69"/>
    </i>
    <i r="1">
      <x v="74"/>
    </i>
    <i r="1">
      <x v="79"/>
    </i>
    <i r="1">
      <x v="84"/>
    </i>
    <i>
      <x v="2"/>
    </i>
    <i r="1">
      <x/>
    </i>
    <i r="1">
      <x v="1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4"/>
    </i>
    <i r="1">
      <x v="25"/>
    </i>
    <i r="1">
      <x v="26"/>
    </i>
    <i r="1">
      <x v="27"/>
    </i>
    <i r="1">
      <x v="28"/>
    </i>
    <i r="1">
      <x v="31"/>
    </i>
    <i r="1">
      <x v="34"/>
    </i>
    <i r="1">
      <x v="36"/>
    </i>
    <i r="1">
      <x v="39"/>
    </i>
    <i r="1">
      <x v="40"/>
    </i>
    <i r="1">
      <x v="42"/>
    </i>
    <i r="1">
      <x v="45"/>
    </i>
    <i r="1">
      <x v="49"/>
    </i>
    <i r="1">
      <x v="50"/>
    </i>
    <i r="1">
      <x v="52"/>
    </i>
    <i r="1">
      <x v="53"/>
    </i>
    <i r="1">
      <x v="54"/>
    </i>
    <i r="1">
      <x v="62"/>
    </i>
    <i r="1">
      <x v="63"/>
    </i>
    <i r="1">
      <x v="70"/>
    </i>
    <i r="1">
      <x v="71"/>
    </i>
    <i r="1">
      <x v="75"/>
    </i>
    <i r="1">
      <x v="80"/>
    </i>
    <i r="1">
      <x v="81"/>
    </i>
    <i r="1">
      <x v="82"/>
    </i>
    <i r="1">
      <x v="87"/>
    </i>
    <i>
      <x v="3"/>
    </i>
    <i r="1">
      <x v="13"/>
    </i>
    <i r="1">
      <x v="30"/>
    </i>
    <i>
      <x v="4"/>
    </i>
    <i r="1">
      <x v="16"/>
    </i>
    <i r="1">
      <x v="17"/>
    </i>
    <i r="1">
      <x v="37"/>
    </i>
    <i r="1">
      <x v="43"/>
    </i>
    <i r="1">
      <x v="48"/>
    </i>
    <i r="1">
      <x v="76"/>
    </i>
    <i>
      <x v="5"/>
    </i>
    <i r="1">
      <x v="29"/>
    </i>
    <i r="1">
      <x v="38"/>
    </i>
    <i r="1">
      <x v="51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72"/>
    </i>
    <i r="1">
      <x v="73"/>
    </i>
    <i r="1">
      <x v="77"/>
    </i>
    <i r="1">
      <x v="78"/>
    </i>
    <i r="1">
      <x v="83"/>
    </i>
    <i r="1">
      <x v="85"/>
    </i>
    <i r="1">
      <x v="8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求和项:taxrate_money" fld="11" baseField="8" baseItem="0"/>
  </dataFields>
  <formats count="128">
    <format dxfId="178">
      <pivotArea type="all" dataOnly="0" outline="0" fieldPosition="0"/>
    </format>
    <format dxfId="179">
      <pivotArea dataOnly="0" labelOnly="1" fieldPosition="0">
        <references count="1">
          <reference field="4294967294" count="1">
            <x v="0"/>
          </reference>
        </references>
      </pivotArea>
    </format>
    <format dxfId="180">
      <pivotArea collapsedLevelsAreSubtotals="1" fieldPosition="0"/>
    </format>
    <format dxfId="181">
      <pivotArea dataOnly="0" labelOnly="1" fieldPosition="0">
        <references count="1">
          <reference field="8" count="1">
            <x v="4"/>
          </reference>
        </references>
      </pivotArea>
    </format>
    <format dxfId="182">
      <pivotArea collapsedLevelsAreSubtotals="1" fieldPosition="0">
        <references count="1">
          <reference field="8" count="1" selected="0">
            <x v="4"/>
          </reference>
        </references>
      </pivotArea>
    </format>
    <format dxfId="183">
      <pivotArea dataOnly="0" labelOnly="1" fieldPosition="0">
        <references count="1">
          <reference field="8" count="1">
            <x v="6"/>
          </reference>
        </references>
      </pivotArea>
    </format>
    <format dxfId="184">
      <pivotArea collapsedLevelsAreSubtotals="1" fieldPosition="0">
        <references count="1">
          <reference field="8" count="1" selected="0">
            <x v="6"/>
          </reference>
        </references>
      </pivotArea>
    </format>
    <format dxfId="185">
      <pivotArea type="all" dataOnly="0" outline="0" fieldPosition="0"/>
    </format>
    <format dxfId="186">
      <pivotArea type="all" dataOnly="0" outline="0" fieldPosition="0"/>
    </format>
    <format dxfId="187">
      <pivotArea type="all" dataOnly="0" outline="0" fieldPosition="0"/>
    </format>
    <format dxfId="188">
      <pivotArea type="all" dataOnly="0" outline="0" fieldPosition="0"/>
    </format>
    <format dxfId="189">
      <pivotArea dataOnly="0" labelOnly="1" fieldPosition="0">
        <references count="1">
          <reference field="8" count="1">
            <x v="1"/>
          </reference>
        </references>
      </pivotArea>
    </format>
    <format dxfId="190">
      <pivotArea collapsedLevelsAreSubtotals="1" fieldPosition="0">
        <references count="1">
          <reference field="8" count="1" selected="0">
            <x v="1"/>
          </reference>
        </references>
      </pivotArea>
    </format>
    <format dxfId="191">
      <pivotArea type="all" dataOnly="0" outline="0" fieldPosition="0"/>
    </format>
    <format dxfId="192">
      <pivotArea type="all" dataOnly="0" outline="0" fieldPosition="0"/>
    </format>
    <format dxfId="193">
      <pivotArea type="all" dataOnly="0" outline="0" fieldPosition="0"/>
    </format>
    <format dxfId="194">
      <pivotArea type="all" dataOnly="0" outline="0" fieldPosition="0"/>
    </format>
    <format dxfId="195">
      <pivotArea type="all" dataOnly="0" outline="0" fieldPosition="0"/>
    </format>
    <format dxfId="196">
      <pivotArea dataOnly="0" labelOnly="1" fieldPosition="0">
        <references count="2">
          <reference field="8" count="1">
            <x v="0"/>
          </reference>
          <reference field="10" count="1" selected="0">
            <x v="2"/>
          </reference>
        </references>
      </pivotArea>
    </format>
    <format dxfId="197">
      <pivotArea collapsedLevelsAreSubtotals="1" fieldPosition="0">
        <references count="2">
          <reference field="8" count="1" selected="0">
            <x v="0"/>
          </reference>
          <reference field="10" count="1" selected="0">
            <x v="2"/>
          </reference>
        </references>
      </pivotArea>
    </format>
    <format dxfId="198">
      <pivotArea type="all" dataOnly="0" outline="0" fieldPosition="0"/>
    </format>
    <format dxfId="199">
      <pivotArea dataOnly="0" labelOnly="1" fieldPosition="0">
        <references count="2">
          <reference field="8" count="1">
            <x v="9"/>
          </reference>
          <reference field="10" count="1" selected="0">
            <x v="2"/>
          </reference>
        </references>
      </pivotArea>
    </format>
    <format dxfId="200">
      <pivotArea collapsedLevelsAreSubtotals="1" fieldPosition="0">
        <references count="2">
          <reference field="8" count="1" selected="0">
            <x v="9"/>
          </reference>
          <reference field="10" count="1" selected="0">
            <x v="2"/>
          </reference>
        </references>
      </pivotArea>
    </format>
    <format dxfId="201">
      <pivotArea dataOnly="0" labelOnly="1" fieldPosition="0">
        <references count="2">
          <reference field="8" count="1">
            <x v="12"/>
          </reference>
          <reference field="10" count="1" selected="0">
            <x v="2"/>
          </reference>
        </references>
      </pivotArea>
    </format>
    <format dxfId="202">
      <pivotArea collapsedLevelsAreSubtotals="1" fieldPosition="0">
        <references count="2">
          <reference field="8" count="1" selected="0">
            <x v="12"/>
          </reference>
          <reference field="10" count="1" selected="0">
            <x v="2"/>
          </reference>
        </references>
      </pivotArea>
    </format>
    <format dxfId="203">
      <pivotArea dataOnly="0" labelOnly="1" fieldPosition="0">
        <references count="2">
          <reference field="8" count="1">
            <x v="8"/>
          </reference>
          <reference field="10" count="1" selected="0">
            <x v="2"/>
          </reference>
        </references>
      </pivotArea>
    </format>
    <format dxfId="204">
      <pivotArea collapsedLevelsAreSubtotals="1" fieldPosition="0">
        <references count="2">
          <reference field="8" count="1" selected="0">
            <x v="8"/>
          </reference>
          <reference field="10" count="1" selected="0">
            <x v="2"/>
          </reference>
        </references>
      </pivotArea>
    </format>
    <format dxfId="205">
      <pivotArea dataOnly="0" labelOnly="1" fieldPosition="0">
        <references count="2">
          <reference field="8" count="1">
            <x v="7"/>
          </reference>
          <reference field="10" count="1" selected="0">
            <x v="2"/>
          </reference>
        </references>
      </pivotArea>
    </format>
    <format dxfId="206">
      <pivotArea collapsedLevelsAreSubtotals="1" fieldPosition="0">
        <references count="2">
          <reference field="8" count="1" selected="0">
            <x v="7"/>
          </reference>
          <reference field="10" count="1" selected="0">
            <x v="2"/>
          </reference>
        </references>
      </pivotArea>
    </format>
    <format dxfId="207">
      <pivotArea dataOnly="0" labelOnly="1" offset="IV6:IV6" fieldPosition="0">
        <references count="1">
          <reference field="10" count="1">
            <x v="0"/>
          </reference>
        </references>
      </pivotArea>
    </format>
    <format dxfId="208">
      <pivotArea dataOnly="0" labelOnly="1" fieldPosition="0">
        <references count="1">
          <reference field="10" count="1">
            <x v="1"/>
          </reference>
        </references>
      </pivotArea>
    </format>
    <format dxfId="209">
      <pivotArea dataOnly="0" labelOnly="1" offset="IV1:IV10" fieldPosition="0">
        <references count="1">
          <reference field="10" count="1">
            <x v="2"/>
          </reference>
        </references>
      </pivotArea>
    </format>
    <format dxfId="210">
      <pivotArea dataOnly="0" labelOnly="1" fieldPosition="0">
        <references count="2">
          <reference field="8" count="1">
            <x v="22"/>
          </reference>
          <reference field="10" count="1" selected="0">
            <x v="0"/>
          </reference>
        </references>
      </pivotArea>
    </format>
    <format dxfId="211">
      <pivotArea dataOnly="0" labelOnly="1" fieldPosition="0">
        <references count="2">
          <reference field="8" count="1">
            <x v="4"/>
          </reference>
          <reference field="10" count="1" selected="0">
            <x v="1"/>
          </reference>
        </references>
      </pivotArea>
    </format>
    <format dxfId="212">
      <pivotArea dataOnly="0" labelOnly="1" fieldPosition="0">
        <references count="2">
          <reference field="8" count="1">
            <x v="6"/>
          </reference>
          <reference field="10" count="1" selected="0">
            <x v="1"/>
          </reference>
        </references>
      </pivotArea>
    </format>
    <format dxfId="213">
      <pivotArea dataOnly="0" labelOnly="1" fieldPosition="0">
        <references count="2">
          <reference field="8" count="1">
            <x v="10"/>
          </reference>
          <reference field="10" count="1" selected="0">
            <x v="1"/>
          </reference>
        </references>
      </pivotArea>
    </format>
    <format dxfId="214">
      <pivotArea dataOnly="0" labelOnly="1" fieldPosition="0">
        <references count="2">
          <reference field="8" count="1">
            <x v="20"/>
          </reference>
          <reference field="10" count="1" selected="0">
            <x v="1"/>
          </reference>
        </references>
      </pivotArea>
    </format>
    <format dxfId="215">
      <pivotArea dataOnly="0" labelOnly="1" fieldPosition="0">
        <references count="2">
          <reference field="8" count="1">
            <x v="21"/>
          </reference>
          <reference field="10" count="1" selected="0">
            <x v="1"/>
          </reference>
        </references>
      </pivotArea>
    </format>
    <format dxfId="216">
      <pivotArea dataOnly="0" labelOnly="1" fieldPosition="0">
        <references count="2">
          <reference field="8" count="1">
            <x v="0"/>
          </reference>
          <reference field="10" count="1" selected="0">
            <x v="2"/>
          </reference>
        </references>
      </pivotArea>
    </format>
    <format dxfId="217">
      <pivotArea dataOnly="0" labelOnly="1" fieldPosition="0">
        <references count="2">
          <reference field="8" count="1">
            <x v="1"/>
          </reference>
          <reference field="10" count="1" selected="0">
            <x v="2"/>
          </reference>
        </references>
      </pivotArea>
    </format>
    <format dxfId="218">
      <pivotArea dataOnly="0" labelOnly="1" fieldPosition="0">
        <references count="2">
          <reference field="8" count="1">
            <x v="3"/>
          </reference>
          <reference field="10" count="1" selected="0">
            <x v="2"/>
          </reference>
        </references>
      </pivotArea>
    </format>
    <format dxfId="219">
      <pivotArea dataOnly="0" labelOnly="1" fieldPosition="0">
        <references count="2">
          <reference field="8" count="1">
            <x v="5"/>
          </reference>
          <reference field="10" count="1" selected="0">
            <x v="2"/>
          </reference>
        </references>
      </pivotArea>
    </format>
    <format dxfId="220">
      <pivotArea dataOnly="0" labelOnly="1" fieldPosition="0">
        <references count="2">
          <reference field="8" count="1">
            <x v="7"/>
          </reference>
          <reference field="10" count="1" selected="0">
            <x v="2"/>
          </reference>
        </references>
      </pivotArea>
    </format>
    <format dxfId="221">
      <pivotArea dataOnly="0" labelOnly="1" fieldPosition="0">
        <references count="2">
          <reference field="8" count="1">
            <x v="8"/>
          </reference>
          <reference field="10" count="1" selected="0">
            <x v="2"/>
          </reference>
        </references>
      </pivotArea>
    </format>
    <format dxfId="222">
      <pivotArea dataOnly="0" labelOnly="1" fieldPosition="0">
        <references count="2">
          <reference field="8" count="1">
            <x v="9"/>
          </reference>
          <reference field="10" count="1" selected="0">
            <x v="2"/>
          </reference>
        </references>
      </pivotArea>
    </format>
    <format dxfId="223">
      <pivotArea dataOnly="0" labelOnly="1" fieldPosition="0">
        <references count="2">
          <reference field="8" count="1">
            <x v="12"/>
          </reference>
          <reference field="10" count="1" selected="0">
            <x v="2"/>
          </reference>
        </references>
      </pivotArea>
    </format>
    <format dxfId="224">
      <pivotArea dataOnly="0" labelOnly="1" fieldPosition="0">
        <references count="2">
          <reference field="8" count="1">
            <x v="14"/>
          </reference>
          <reference field="10" count="1" selected="0">
            <x v="2"/>
          </reference>
        </references>
      </pivotArea>
    </format>
    <format dxfId="225">
      <pivotArea collapsedLevelsAreSubtotals="1" fieldPosition="0">
        <references count="2">
          <reference field="8" count="1" selected="0">
            <x v="22"/>
          </reference>
          <reference field="10" count="1" selected="0">
            <x v="0"/>
          </reference>
        </references>
      </pivotArea>
    </format>
    <format dxfId="226">
      <pivotArea collapsedLevelsAreSubtotals="1" fieldPosition="0">
        <references count="1">
          <reference field="10" count="1" selected="0">
            <x v="1"/>
          </reference>
        </references>
      </pivotArea>
    </format>
    <format dxfId="227">
      <pivotArea collapsedLevelsAreSubtotals="1" fieldPosition="0">
        <references count="2">
          <reference field="8" count="1" selected="0">
            <x v="4"/>
          </reference>
          <reference field="10" count="1" selected="0">
            <x v="1"/>
          </reference>
        </references>
      </pivotArea>
    </format>
    <format dxfId="228">
      <pivotArea collapsedLevelsAreSubtotals="1" fieldPosition="0">
        <references count="2">
          <reference field="8" count="1" selected="0">
            <x v="6"/>
          </reference>
          <reference field="10" count="1" selected="0">
            <x v="1"/>
          </reference>
        </references>
      </pivotArea>
    </format>
    <format dxfId="229">
      <pivotArea collapsedLevelsAreSubtotals="1" fieldPosition="0">
        <references count="2">
          <reference field="8" count="1" selected="0">
            <x v="10"/>
          </reference>
          <reference field="10" count="1" selected="0">
            <x v="1"/>
          </reference>
        </references>
      </pivotArea>
    </format>
    <format dxfId="230">
      <pivotArea collapsedLevelsAreSubtotals="1" fieldPosition="0">
        <references count="2">
          <reference field="8" count="1" selected="0">
            <x v="20"/>
          </reference>
          <reference field="10" count="1" selected="0">
            <x v="1"/>
          </reference>
        </references>
      </pivotArea>
    </format>
    <format dxfId="231">
      <pivotArea collapsedLevelsAreSubtotals="1" fieldPosition="0">
        <references count="2">
          <reference field="8" count="1" selected="0">
            <x v="21"/>
          </reference>
          <reference field="10" count="1" selected="0">
            <x v="1"/>
          </reference>
        </references>
      </pivotArea>
    </format>
    <format dxfId="232">
      <pivotArea collapsedLevelsAreSubtotals="1" fieldPosition="0">
        <references count="1">
          <reference field="10" count="1" selected="0">
            <x v="2"/>
          </reference>
        </references>
      </pivotArea>
    </format>
    <format dxfId="233">
      <pivotArea collapsedLevelsAreSubtotals="1" fieldPosition="0">
        <references count="2">
          <reference field="8" count="1" selected="0">
            <x v="0"/>
          </reference>
          <reference field="10" count="1" selected="0">
            <x v="2"/>
          </reference>
        </references>
      </pivotArea>
    </format>
    <format dxfId="234">
      <pivotArea collapsedLevelsAreSubtotals="1" fieldPosition="0">
        <references count="2">
          <reference field="8" count="1" selected="0">
            <x v="1"/>
          </reference>
          <reference field="10" count="1" selected="0">
            <x v="2"/>
          </reference>
        </references>
      </pivotArea>
    </format>
    <format dxfId="235">
      <pivotArea collapsedLevelsAreSubtotals="1" fieldPosition="0">
        <references count="2">
          <reference field="8" count="1" selected="0">
            <x v="3"/>
          </reference>
          <reference field="10" count="1" selected="0">
            <x v="2"/>
          </reference>
        </references>
      </pivotArea>
    </format>
    <format dxfId="236">
      <pivotArea collapsedLevelsAreSubtotals="1" fieldPosition="0">
        <references count="2">
          <reference field="8" count="1" selected="0">
            <x v="5"/>
          </reference>
          <reference field="10" count="1" selected="0">
            <x v="2"/>
          </reference>
        </references>
      </pivotArea>
    </format>
    <format dxfId="237">
      <pivotArea collapsedLevelsAreSubtotals="1" fieldPosition="0">
        <references count="2">
          <reference field="8" count="1" selected="0">
            <x v="7"/>
          </reference>
          <reference field="10" count="1" selected="0">
            <x v="2"/>
          </reference>
        </references>
      </pivotArea>
    </format>
    <format dxfId="238">
      <pivotArea collapsedLevelsAreSubtotals="1" fieldPosition="0">
        <references count="2">
          <reference field="8" count="1" selected="0">
            <x v="8"/>
          </reference>
          <reference field="10" count="1" selected="0">
            <x v="2"/>
          </reference>
        </references>
      </pivotArea>
    </format>
    <format dxfId="239">
      <pivotArea collapsedLevelsAreSubtotals="1" fieldPosition="0">
        <references count="2">
          <reference field="8" count="1" selected="0">
            <x v="9"/>
          </reference>
          <reference field="10" count="1" selected="0">
            <x v="2"/>
          </reference>
        </references>
      </pivotArea>
    </format>
    <format dxfId="240">
      <pivotArea collapsedLevelsAreSubtotals="1" fieldPosition="0">
        <references count="2">
          <reference field="8" count="1" selected="0">
            <x v="12"/>
          </reference>
          <reference field="10" count="1" selected="0">
            <x v="2"/>
          </reference>
        </references>
      </pivotArea>
    </format>
    <format dxfId="241">
      <pivotArea collapsedLevelsAreSubtotals="1" fieldPosition="0">
        <references count="2">
          <reference field="8" count="1" selected="0">
            <x v="14"/>
          </reference>
          <reference field="10" count="1" selected="0">
            <x v="2"/>
          </reference>
        </references>
      </pivotArea>
    </format>
    <format dxfId="242">
      <pivotArea dataOnly="0" labelOnly="1" fieldPosition="0">
        <references count="3">
          <reference field="8" count="1">
            <x v="0"/>
          </reference>
          <reference field="10" count="1" selected="0">
            <x v="2"/>
          </reference>
          <reference field="6" count="1" selected="0">
            <x v="0"/>
          </reference>
        </references>
      </pivotArea>
    </format>
    <format dxfId="243">
      <pivotArea dataOnly="0" labelOnly="1" fieldPosition="0">
        <references count="3">
          <reference field="8" count="1">
            <x v="1"/>
          </reference>
          <reference field="10" count="1" selected="0">
            <x v="2"/>
          </reference>
          <reference field="6" count="1" selected="0">
            <x v="0"/>
          </reference>
        </references>
      </pivotArea>
    </format>
    <format dxfId="244">
      <pivotArea collapsedLevelsAreSubtotals="1" fieldPosition="0">
        <references count="4">
          <reference field="8" count="1" selected="0">
            <x v="0"/>
          </reference>
          <reference field="10" count="1" selected="0">
            <x v="2"/>
          </reference>
          <reference field="6" count="1" selected="0">
            <x v="0"/>
          </reference>
          <reference field="4294967294" count="1" selected="0">
            <x v="0"/>
          </reference>
        </references>
      </pivotArea>
    </format>
    <format dxfId="245">
      <pivotArea collapsedLevelsAreSubtotals="1" fieldPosition="0">
        <references count="4">
          <reference field="8" count="1" selected="0">
            <x v="1"/>
          </reference>
          <reference field="10" count="1" selected="0">
            <x v="2"/>
          </reference>
          <reference field="6" count="1" selected="0">
            <x v="0"/>
          </reference>
          <reference field="4294967294" count="1" selected="0">
            <x v="0"/>
          </reference>
        </references>
      </pivotArea>
    </format>
    <format dxfId="246">
      <pivotArea dataOnly="0" labelOnly="1" fieldPosition="0">
        <references count="3">
          <reference field="8" count="1">
            <x v="7"/>
          </reference>
          <reference field="10" count="1" selected="0">
            <x v="2"/>
          </reference>
          <reference field="6" count="1" selected="0">
            <x v="0"/>
          </reference>
        </references>
      </pivotArea>
    </format>
    <format dxfId="247">
      <pivotArea collapsedLevelsAreSubtotals="1" fieldPosition="0">
        <references count="4">
          <reference field="8" count="1" selected="0">
            <x v="7"/>
          </reference>
          <reference field="10" count="1" selected="0">
            <x v="2"/>
          </reference>
          <reference field="6" count="1" selected="0">
            <x v="0"/>
          </reference>
          <reference field="4294967294" count="1" selected="0">
            <x v="0"/>
          </reference>
        </references>
      </pivotArea>
    </format>
    <format dxfId="248">
      <pivotArea dataOnly="0" labelOnly="1" fieldPosition="0">
        <references count="3">
          <reference field="8" count="1">
            <x v="9"/>
          </reference>
          <reference field="10" count="1" selected="0">
            <x v="2"/>
          </reference>
          <reference field="6" count="1" selected="0">
            <x v="0"/>
          </reference>
        </references>
      </pivotArea>
    </format>
    <format dxfId="249">
      <pivotArea dataOnly="0" labelOnly="1" fieldPosition="0">
        <references count="3">
          <reference field="8" count="1">
            <x v="12"/>
          </reference>
          <reference field="10" count="1" selected="0">
            <x v="2"/>
          </reference>
          <reference field="6" count="1" selected="0">
            <x v="0"/>
          </reference>
        </references>
      </pivotArea>
    </format>
    <format dxfId="250">
      <pivotArea collapsedLevelsAreSubtotals="1" fieldPosition="0">
        <references count="4">
          <reference field="8" count="1" selected="0">
            <x v="9"/>
          </reference>
          <reference field="10" count="1" selected="0">
            <x v="2"/>
          </reference>
          <reference field="6" count="1" selected="0">
            <x v="0"/>
          </reference>
          <reference field="4294967294" count="1" selected="0">
            <x v="0"/>
          </reference>
        </references>
      </pivotArea>
    </format>
    <format dxfId="251">
      <pivotArea collapsedLevelsAreSubtotals="1" fieldPosition="0">
        <references count="4">
          <reference field="8" count="1" selected="0">
            <x v="12"/>
          </reference>
          <reference field="10" count="1" selected="0">
            <x v="2"/>
          </reference>
          <reference field="6" count="1" selected="0">
            <x v="0"/>
          </reference>
          <reference field="4294967294" count="1" selected="0">
            <x v="0"/>
          </reference>
        </references>
      </pivotArea>
    </format>
    <format dxfId="252">
      <pivotArea dataOnly="0" labelOnly="1" fieldPosition="0">
        <references count="3">
          <reference field="8" count="1">
            <x v="18"/>
          </reference>
          <reference field="10" count="1" selected="0">
            <x v="2"/>
          </reference>
          <reference field="6" count="1" selected="0">
            <x v="0"/>
          </reference>
        </references>
      </pivotArea>
    </format>
    <format dxfId="253">
      <pivotArea collapsedLevelsAreSubtotals="1" fieldPosition="0">
        <references count="4">
          <reference field="8" count="1" selected="0">
            <x v="18"/>
          </reference>
          <reference field="10" count="1" selected="0">
            <x v="2"/>
          </reference>
          <reference field="6" count="1" selected="0">
            <x v="0"/>
          </reference>
          <reference field="4294967294" count="1" selected="0">
            <x v="0"/>
          </reference>
        </references>
      </pivotArea>
    </format>
    <format dxfId="254">
      <pivotArea dataOnly="0" labelOnly="1" fieldPosition="0">
        <references count="2">
          <reference field="8" count="1">
            <x v="1"/>
          </reference>
          <reference field="10" count="1" selected="0">
            <x v="2"/>
          </reference>
        </references>
      </pivotArea>
    </format>
    <format dxfId="255">
      <pivotArea collapsedLevelsAreSubtotals="1" fieldPosition="0">
        <references count="2">
          <reference field="8" count="1" selected="0">
            <x v="1"/>
          </reference>
          <reference field="10" count="1" selected="0">
            <x v="2"/>
          </reference>
        </references>
      </pivotArea>
    </format>
    <format dxfId="256">
      <pivotArea dataOnly="0" labelOnly="1" fieldPosition="0">
        <references count="2">
          <reference field="8" count="1">
            <x v="13"/>
          </reference>
          <reference field="10" count="1" selected="0">
            <x v="2"/>
          </reference>
        </references>
      </pivotArea>
    </format>
    <format dxfId="257">
      <pivotArea collapsedLevelsAreSubtotals="1" fieldPosition="0">
        <references count="2">
          <reference field="8" count="1" selected="0">
            <x v="13"/>
          </reference>
          <reference field="10" count="1" selected="0">
            <x v="2"/>
          </reference>
        </references>
      </pivotArea>
    </format>
    <format dxfId="258">
      <pivotArea dataOnly="0" labelOnly="1" fieldPosition="0">
        <references count="2">
          <reference field="8" count="1">
            <x v="12"/>
          </reference>
          <reference field="10" count="1" selected="0">
            <x v="2"/>
          </reference>
        </references>
      </pivotArea>
    </format>
    <format dxfId="259">
      <pivotArea collapsedLevelsAreSubtotals="1" fieldPosition="0">
        <references count="2">
          <reference field="8" count="1" selected="0">
            <x v="12"/>
          </reference>
          <reference field="10" count="1" selected="0">
            <x v="2"/>
          </reference>
        </references>
      </pivotArea>
    </format>
    <format dxfId="260">
      <pivotArea dataOnly="0" labelOnly="1" fieldPosition="0">
        <references count="2">
          <reference field="8" count="1">
            <x v="24"/>
          </reference>
          <reference field="10" count="1" selected="0">
            <x v="2"/>
          </reference>
        </references>
      </pivotArea>
    </format>
    <format dxfId="261">
      <pivotArea collapsedLevelsAreSubtotals="1" fieldPosition="0">
        <references count="2">
          <reference field="8" count="1" selected="0">
            <x v="24"/>
          </reference>
          <reference field="10" count="1" selected="0">
            <x v="2"/>
          </reference>
        </references>
      </pivotArea>
    </format>
    <format dxfId="262">
      <pivotArea type="all" dataOnly="0" outline="0" fieldPosition="0"/>
    </format>
    <format dxfId="263">
      <pivotArea dataOnly="0" labelOnly="1" fieldPosition="0">
        <references count="2">
          <reference field="8" count="1">
            <x v="36"/>
          </reference>
          <reference field="10" count="1" selected="0">
            <x v="1"/>
          </reference>
        </references>
      </pivotArea>
    </format>
    <format dxfId="264">
      <pivotArea dataOnly="0" labelOnly="1" fieldPosition="0">
        <references count="2">
          <reference field="8" count="1">
            <x v="41"/>
          </reference>
          <reference field="10" count="1" selected="0">
            <x v="1"/>
          </reference>
        </references>
      </pivotArea>
    </format>
    <format dxfId="265">
      <pivotArea collapsedLevelsAreSubtotals="1" fieldPosition="0">
        <references count="2">
          <reference field="8" count="1" selected="0">
            <x v="36"/>
          </reference>
          <reference field="10" count="1" selected="0">
            <x v="1"/>
          </reference>
        </references>
      </pivotArea>
    </format>
    <format dxfId="266">
      <pivotArea collapsedLevelsAreSubtotals="1" fieldPosition="0">
        <references count="2">
          <reference field="8" count="1" selected="0">
            <x v="41"/>
          </reference>
          <reference field="10" count="1" selected="0">
            <x v="1"/>
          </reference>
        </references>
      </pivotArea>
    </format>
    <format dxfId="267">
      <pivotArea type="all" dataOnly="0" outline="0" fieldPosition="0"/>
    </format>
    <format dxfId="268">
      <pivotArea dataOnly="0" labelOnly="1" fieldPosition="0">
        <references count="2">
          <reference field="8" count="1">
            <x v="50"/>
          </reference>
          <reference field="10" count="1" selected="0">
            <x v="2"/>
          </reference>
        </references>
      </pivotArea>
    </format>
    <format dxfId="269">
      <pivotArea collapsedLevelsAreSubtotals="1" fieldPosition="0">
        <references count="2">
          <reference field="8" count="1" selected="0">
            <x v="50"/>
          </reference>
          <reference field="10" count="1" selected="0">
            <x v="2"/>
          </reference>
        </references>
      </pivotArea>
    </format>
    <format dxfId="270">
      <pivotArea dataOnly="0" labelOnly="1" fieldPosition="0">
        <references count="2">
          <reference field="8" count="1">
            <x v="40"/>
          </reference>
          <reference field="10" count="1" selected="0">
            <x v="2"/>
          </reference>
        </references>
      </pivotArea>
    </format>
    <format dxfId="271">
      <pivotArea collapsedLevelsAreSubtotals="1" fieldPosition="0">
        <references count="2">
          <reference field="8" count="1" selected="0">
            <x v="40"/>
          </reference>
          <reference field="10" count="1" selected="0">
            <x v="2"/>
          </reference>
        </references>
      </pivotArea>
    </format>
    <format dxfId="272">
      <pivotArea dataOnly="0" labelOnly="1" fieldPosition="0">
        <references count="2">
          <reference field="8" count="1">
            <x v="49"/>
          </reference>
          <reference field="10" count="1" selected="0">
            <x v="2"/>
          </reference>
        </references>
      </pivotArea>
    </format>
    <format dxfId="273">
      <pivotArea collapsedLevelsAreSubtotals="1" fieldPosition="0">
        <references count="2">
          <reference field="8" count="1" selected="0">
            <x v="49"/>
          </reference>
          <reference field="10" count="1" selected="0">
            <x v="2"/>
          </reference>
        </references>
      </pivotArea>
    </format>
    <format dxfId="274">
      <pivotArea dataOnly="0" labelOnly="1" fieldPosition="0">
        <references count="2">
          <reference field="8" count="1">
            <x v="31"/>
          </reference>
          <reference field="10" count="1" selected="0">
            <x v="2"/>
          </reference>
        </references>
      </pivotArea>
    </format>
    <format dxfId="275">
      <pivotArea collapsedLevelsAreSubtotals="1" fieldPosition="0">
        <references count="2">
          <reference field="8" count="1" selected="0">
            <x v="31"/>
          </reference>
          <reference field="10" count="1" selected="0">
            <x v="2"/>
          </reference>
        </references>
      </pivotArea>
    </format>
    <format dxfId="276">
      <pivotArea type="all" dataOnly="0" outline="0" fieldPosition="0"/>
    </format>
    <format dxfId="277">
      <pivotArea dataOnly="0" labelOnly="1" fieldPosition="0">
        <references count="2">
          <reference field="8" count="1">
            <x v="10"/>
          </reference>
          <reference field="10" count="1" selected="0">
            <x v="1"/>
          </reference>
        </references>
      </pivotArea>
    </format>
    <format dxfId="278">
      <pivotArea dataOnly="0" labelOnly="1" fieldPosition="0">
        <references count="2">
          <reference field="8" count="1">
            <x v="20"/>
          </reference>
          <reference field="10" count="1" selected="0">
            <x v="1"/>
          </reference>
        </references>
      </pivotArea>
    </format>
    <format dxfId="279">
      <pivotArea dataOnly="0" labelOnly="1" fieldPosition="0">
        <references count="2">
          <reference field="8" count="1">
            <x v="21"/>
          </reference>
          <reference field="10" count="1" selected="0">
            <x v="1"/>
          </reference>
        </references>
      </pivotArea>
    </format>
    <format dxfId="280">
      <pivotArea collapsedLevelsAreSubtotals="1" fieldPosition="0">
        <references count="2">
          <reference field="8" count="1" selected="0">
            <x v="10"/>
          </reference>
          <reference field="10" count="1" selected="0">
            <x v="1"/>
          </reference>
        </references>
      </pivotArea>
    </format>
    <format dxfId="281">
      <pivotArea collapsedLevelsAreSubtotals="1" fieldPosition="0">
        <references count="2">
          <reference field="8" count="1" selected="0">
            <x v="20"/>
          </reference>
          <reference field="10" count="1" selected="0">
            <x v="1"/>
          </reference>
        </references>
      </pivotArea>
    </format>
    <format dxfId="282">
      <pivotArea collapsedLevelsAreSubtotals="1" fieldPosition="0">
        <references count="2">
          <reference field="8" count="1" selected="0">
            <x v="21"/>
          </reference>
          <reference field="10" count="1" selected="0">
            <x v="1"/>
          </reference>
        </references>
      </pivotArea>
    </format>
    <format dxfId="283">
      <pivotArea dataOnly="0" labelOnly="1" fieldPosition="0">
        <references count="2">
          <reference field="8" count="1">
            <x v="30"/>
          </reference>
          <reference field="10" count="1" selected="0">
            <x v="1"/>
          </reference>
        </references>
      </pivotArea>
    </format>
    <format dxfId="284">
      <pivotArea collapsedLevelsAreSubtotals="1" fieldPosition="0">
        <references count="2">
          <reference field="8" count="1" selected="0">
            <x v="30"/>
          </reference>
          <reference field="10" count="1" selected="0">
            <x v="1"/>
          </reference>
        </references>
      </pivotArea>
    </format>
    <format dxfId="285">
      <pivotArea type="all" dataOnly="0" outline="0" fieldPosition="0"/>
    </format>
    <format dxfId="286">
      <pivotArea type="all" dataOnly="0" outline="0" fieldPosition="0"/>
    </format>
    <format dxfId="287">
      <pivotArea dataOnly="0" labelOnly="1" fieldPosition="0">
        <references count="2">
          <reference field="8" count="1">
            <x v="18"/>
          </reference>
          <reference field="10" count="1" selected="0">
            <x v="2"/>
          </reference>
        </references>
      </pivotArea>
    </format>
    <format dxfId="288">
      <pivotArea collapsedLevelsAreSubtotals="1" fieldPosition="0">
        <references count="2">
          <reference field="8" count="1" selected="0">
            <x v="18"/>
          </reference>
          <reference field="10" count="1" selected="0">
            <x v="2"/>
          </reference>
        </references>
      </pivotArea>
    </format>
    <format dxfId="289">
      <pivotArea dataOnly="0" labelOnly="1" fieldPosition="0">
        <references count="2">
          <reference field="8" count="1">
            <x v="5"/>
          </reference>
          <reference field="10" count="1" selected="0">
            <x v="2"/>
          </reference>
        </references>
      </pivotArea>
    </format>
    <format dxfId="290">
      <pivotArea collapsedLevelsAreSubtotals="1" fieldPosition="0">
        <references count="2">
          <reference field="8" count="1" selected="0">
            <x v="5"/>
          </reference>
          <reference field="10" count="1" selected="0">
            <x v="2"/>
          </reference>
        </references>
      </pivotArea>
    </format>
    <format dxfId="291">
      <pivotArea dataOnly="0" labelOnly="1" fieldPosition="0">
        <references count="2">
          <reference field="8" count="1">
            <x v="8"/>
          </reference>
          <reference field="10" count="1" selected="0">
            <x v="2"/>
          </reference>
        </references>
      </pivotArea>
    </format>
    <format dxfId="292">
      <pivotArea collapsedLevelsAreSubtotals="1" fieldPosition="0">
        <references count="2">
          <reference field="8" count="1" selected="0">
            <x v="8"/>
          </reference>
          <reference field="10" count="1" selected="0">
            <x v="2"/>
          </reference>
        </references>
      </pivotArea>
    </format>
    <format dxfId="293">
      <pivotArea dataOnly="0" labelOnly="1" fieldPosition="0">
        <references count="2">
          <reference field="8" count="1">
            <x v="27"/>
          </reference>
          <reference field="10" count="1" selected="0">
            <x v="2"/>
          </reference>
        </references>
      </pivotArea>
    </format>
    <format dxfId="294">
      <pivotArea collapsedLevelsAreSubtotals="1" fieldPosition="0">
        <references count="2">
          <reference field="8" count="1" selected="0">
            <x v="27"/>
          </reference>
          <reference field="10" count="1" selected="0">
            <x v="2"/>
          </reference>
        </references>
      </pivotArea>
    </format>
    <format dxfId="295">
      <pivotArea collapsedLevelsAreSubtotals="1" fieldPosition="0">
        <references count="2">
          <reference field="8" count="1" selected="0">
            <x v="9"/>
          </reference>
          <reference field="10" count="1" selected="0">
            <x v="2"/>
          </reference>
        </references>
      </pivotArea>
    </format>
    <format dxfId="296">
      <pivotArea dataOnly="0" labelOnly="1" fieldPosition="0">
        <references count="2">
          <reference field="8" count="1">
            <x v="58"/>
          </reference>
          <reference field="10" count="1" selected="0">
            <x v="1"/>
          </reference>
        </references>
      </pivotArea>
    </format>
    <format dxfId="297">
      <pivotArea collapsedLevelsAreSubtotals="1" fieldPosition="0">
        <references count="2">
          <reference field="8" count="1" selected="0">
            <x v="58"/>
          </reference>
          <reference field="10" count="1" selected="0">
            <x v="1"/>
          </reference>
        </references>
      </pivotArea>
    </format>
    <format dxfId="298">
      <pivotArea type="all" dataOnly="0" outline="0" fieldPosition="0"/>
    </format>
    <format dxfId="299">
      <pivotArea type="all" dataOnly="0" outline="0" fieldPosition="0"/>
    </format>
    <format dxfId="300">
      <pivotArea dataOnly="0" labelOnly="1" fieldPosition="0">
        <references count="2">
          <reference field="8" count="1">
            <x v="25"/>
          </reference>
          <reference field="10" count="1" selected="0">
            <x v="1"/>
          </reference>
        </references>
      </pivotArea>
    </format>
    <format dxfId="301">
      <pivotArea dataOnly="0" labelOnly="1" fieldPosition="0">
        <references count="2">
          <reference field="8" count="1">
            <x v="26"/>
          </reference>
          <reference field="10" count="1" selected="0">
            <x v="1"/>
          </reference>
        </references>
      </pivotArea>
    </format>
    <format dxfId="302">
      <pivotArea collapsedLevelsAreSubtotals="1" fieldPosition="0">
        <references count="2">
          <reference field="8" count="1" selected="0">
            <x v="25"/>
          </reference>
          <reference field="10" count="1" selected="0">
            <x v="1"/>
          </reference>
        </references>
      </pivotArea>
    </format>
    <format dxfId="303">
      <pivotArea collapsedLevelsAreSubtotals="1" fieldPosition="0">
        <references count="2">
          <reference field="8" count="1" selected="0">
            <x v="26"/>
          </reference>
          <reference field="10" count="1" selected="0">
            <x v="1"/>
          </reference>
        </references>
      </pivotArea>
    </format>
    <format dxfId="304">
      <pivotArea dataOnly="0" labelOnly="1" fieldPosition="0">
        <references count="2">
          <reference field="8" count="1">
            <x v="46"/>
          </reference>
          <reference field="10" count="1" selected="0">
            <x v="1"/>
          </reference>
        </references>
      </pivotArea>
    </format>
    <format dxfId="305">
      <pivotArea collapsedLevelsAreSubtotals="1" fieldPosition="0">
        <references count="2">
          <reference field="8" count="1" selected="0">
            <x v="46"/>
          </reference>
          <reference field="10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2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Y1:AB28" firstHeaderRow="0" firstDataRow="1" firstDataCol="2"/>
  <pivotFields count="14">
    <pivotField compact="0" showAll="0">
      <items count="6">
        <item x="1"/>
        <item x="2"/>
        <item x="3"/>
        <item x="0"/>
        <item x="4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6">
        <item x="10"/>
        <item x="9"/>
        <item x="1"/>
        <item x="0"/>
        <item x="2"/>
        <item x="6"/>
        <item x="7"/>
        <item x="8"/>
        <item x="4"/>
        <item x="5"/>
        <item x="3"/>
        <item x="11"/>
        <item x="12"/>
        <item x="13"/>
        <item x="14"/>
        <item t="default"/>
      </items>
    </pivotField>
    <pivotField compact="0" showAll="0">
      <items count="18">
        <item x="7"/>
        <item x="10"/>
        <item x="1"/>
        <item x="2"/>
        <item x="3"/>
        <item x="0"/>
        <item x="4"/>
        <item x="11"/>
        <item x="9"/>
        <item x="5"/>
        <item x="6"/>
        <item x="8"/>
        <item x="12"/>
        <item x="13"/>
        <item x="14"/>
        <item x="15"/>
        <item x="16"/>
        <item t="default"/>
      </items>
    </pivotField>
    <pivotField compact="0" showAll="0">
      <items count="8">
        <item x="2"/>
        <item x="5"/>
        <item x="3"/>
        <item x="4"/>
        <item x="1"/>
        <item x="0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m="1"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9">
        <item x="5"/>
        <item x="33"/>
        <item x="0"/>
        <item x="44"/>
        <item x="4"/>
        <item x="34"/>
        <item x="8"/>
        <item x="13"/>
        <item x="24"/>
        <item x="1"/>
        <item x="39"/>
        <item x="31"/>
        <item x="2"/>
        <item x="46"/>
        <item x="51"/>
        <item x="49"/>
        <item x="28"/>
        <item x="52"/>
        <item x="3"/>
        <item x="38"/>
        <item x="14"/>
        <item x="40"/>
        <item x="41"/>
        <item x="30"/>
        <item x="17"/>
        <item x="32"/>
        <item x="7"/>
        <item x="23"/>
        <item x="37"/>
        <item x="53"/>
        <item x="29"/>
        <item x="27"/>
        <item x="15"/>
        <item x="26"/>
        <item x="6"/>
        <item x="16"/>
        <item x="20"/>
        <item x="47"/>
        <item x="22"/>
        <item x="18"/>
        <item x="21"/>
        <item x="19"/>
        <item x="45"/>
        <item x="25"/>
        <item x="50"/>
        <item x="35"/>
        <item x="36"/>
        <item x="10"/>
        <item x="42"/>
        <item x="54"/>
        <item x="11"/>
        <item x="48"/>
        <item x="12"/>
        <item x="43"/>
        <item x="9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4"/>
        <item x="3"/>
        <item x="2"/>
        <item x="0"/>
        <item t="default"/>
      </items>
    </pivotField>
    <pivotField dataField="1" compact="0" numFmtId="176" showAll="0">
      <items count="924">
        <item x="39"/>
        <item x="105"/>
        <item x="183"/>
        <item x="59"/>
        <item x="55"/>
        <item x="65"/>
        <item x="153"/>
        <item x="92"/>
        <item x="50"/>
        <item x="29"/>
        <item x="117"/>
        <item x="178"/>
        <item x="82"/>
        <item x="33"/>
        <item x="107"/>
        <item x="156"/>
        <item x="56"/>
        <item x="83"/>
        <item x="10"/>
        <item x="94"/>
        <item x="81"/>
        <item x="126"/>
        <item x="106"/>
        <item x="79"/>
        <item x="38"/>
        <item x="108"/>
        <item x="12"/>
        <item x="6"/>
        <item x="176"/>
        <item x="68"/>
        <item x="96"/>
        <item x="164"/>
        <item x="88"/>
        <item x="138"/>
        <item x="165"/>
        <item x="98"/>
        <item x="155"/>
        <item x="157"/>
        <item x="40"/>
        <item x="30"/>
        <item x="36"/>
        <item x="168"/>
        <item x="102"/>
        <item x="116"/>
        <item x="124"/>
        <item x="167"/>
        <item x="17"/>
        <item x="110"/>
        <item x="71"/>
        <item x="45"/>
        <item x="101"/>
        <item x="175"/>
        <item x="11"/>
        <item x="8"/>
        <item x="15"/>
        <item x="150"/>
        <item x="147"/>
        <item x="99"/>
        <item x="111"/>
        <item x="70"/>
        <item x="54"/>
        <item x="26"/>
        <item x="44"/>
        <item x="140"/>
        <item x="95"/>
        <item x="169"/>
        <item x="43"/>
        <item x="21"/>
        <item x="47"/>
        <item x="142"/>
        <item x="100"/>
        <item x="162"/>
        <item x="158"/>
        <item x="172"/>
        <item x="160"/>
        <item x="74"/>
        <item x="72"/>
        <item x="115"/>
        <item x="62"/>
        <item x="63"/>
        <item x="84"/>
        <item x="46"/>
        <item x="25"/>
        <item x="91"/>
        <item x="134"/>
        <item x="93"/>
        <item x="48"/>
        <item x="78"/>
        <item x="97"/>
        <item x="69"/>
        <item x="139"/>
        <item x="161"/>
        <item x="131"/>
        <item x="163"/>
        <item x="35"/>
        <item x="41"/>
        <item x="159"/>
        <item x="120"/>
        <item x="135"/>
        <item x="85"/>
        <item x="13"/>
        <item x="61"/>
        <item x="1"/>
        <item x="66"/>
        <item x="166"/>
        <item x="77"/>
        <item x="53"/>
        <item x="148"/>
        <item x="37"/>
        <item x="4"/>
        <item x="181"/>
        <item x="19"/>
        <item x="119"/>
        <item x="109"/>
        <item x="177"/>
        <item x="103"/>
        <item x="137"/>
        <item x="27"/>
        <item x="173"/>
        <item x="179"/>
        <item x="60"/>
        <item x="133"/>
        <item x="186"/>
        <item x="64"/>
        <item x="7"/>
        <item x="180"/>
        <item x="20"/>
        <item x="127"/>
        <item x="145"/>
        <item x="16"/>
        <item x="118"/>
        <item x="67"/>
        <item x="5"/>
        <item x="154"/>
        <item x="184"/>
        <item x="58"/>
        <item x="123"/>
        <item x="22"/>
        <item x="171"/>
        <item x="143"/>
        <item x="52"/>
        <item x="136"/>
        <item x="182"/>
        <item x="141"/>
        <item x="121"/>
        <item x="57"/>
        <item x="51"/>
        <item x="185"/>
        <item x="86"/>
        <item x="34"/>
        <item x="125"/>
        <item x="89"/>
        <item x="149"/>
        <item x="87"/>
        <item x="49"/>
        <item x="2"/>
        <item x="90"/>
        <item x="170"/>
        <item x="18"/>
        <item x="73"/>
        <item x="144"/>
        <item x="151"/>
        <item x="130"/>
        <item x="174"/>
        <item x="128"/>
        <item x="113"/>
        <item x="112"/>
        <item x="14"/>
        <item x="80"/>
        <item x="104"/>
        <item x="3"/>
        <item x="114"/>
        <item x="129"/>
        <item x="132"/>
        <item x="152"/>
        <item x="28"/>
        <item x="76"/>
        <item x="122"/>
        <item x="75"/>
        <item x="23"/>
        <item x="9"/>
        <item x="24"/>
        <item x="32"/>
        <item x="146"/>
        <item x="0"/>
        <item x="31"/>
        <item x="42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t="default"/>
      </items>
    </pivotField>
    <pivotField dataField="1" compact="0" numFmtId="176" showAll="0">
      <items count="929">
        <item x="39"/>
        <item x="105"/>
        <item x="183"/>
        <item x="59"/>
        <item x="55"/>
        <item x="65"/>
        <item x="153"/>
        <item x="92"/>
        <item x="50"/>
        <item x="29"/>
        <item x="117"/>
        <item x="178"/>
        <item x="82"/>
        <item x="33"/>
        <item x="107"/>
        <item x="156"/>
        <item x="56"/>
        <item x="83"/>
        <item x="10"/>
        <item x="94"/>
        <item x="81"/>
        <item x="126"/>
        <item x="106"/>
        <item x="79"/>
        <item x="38"/>
        <item x="108"/>
        <item x="12"/>
        <item x="6"/>
        <item x="176"/>
        <item x="68"/>
        <item x="96"/>
        <item x="164"/>
        <item x="88"/>
        <item x="138"/>
        <item x="165"/>
        <item x="98"/>
        <item x="155"/>
        <item x="157"/>
        <item x="40"/>
        <item x="30"/>
        <item x="36"/>
        <item x="168"/>
        <item x="102"/>
        <item x="116"/>
        <item x="124"/>
        <item x="167"/>
        <item x="17"/>
        <item x="110"/>
        <item x="71"/>
        <item x="45"/>
        <item x="101"/>
        <item x="175"/>
        <item x="11"/>
        <item x="8"/>
        <item x="15"/>
        <item x="150"/>
        <item x="147"/>
        <item x="99"/>
        <item x="111"/>
        <item x="70"/>
        <item x="54"/>
        <item x="26"/>
        <item x="44"/>
        <item x="140"/>
        <item x="95"/>
        <item x="169"/>
        <item x="43"/>
        <item x="21"/>
        <item x="47"/>
        <item x="142"/>
        <item x="100"/>
        <item x="162"/>
        <item x="158"/>
        <item x="172"/>
        <item x="160"/>
        <item x="74"/>
        <item x="72"/>
        <item x="115"/>
        <item x="62"/>
        <item x="63"/>
        <item x="84"/>
        <item x="46"/>
        <item x="25"/>
        <item x="91"/>
        <item x="134"/>
        <item x="93"/>
        <item x="48"/>
        <item x="78"/>
        <item x="97"/>
        <item x="69"/>
        <item x="139"/>
        <item x="161"/>
        <item x="131"/>
        <item x="163"/>
        <item x="35"/>
        <item x="41"/>
        <item x="159"/>
        <item x="120"/>
        <item x="135"/>
        <item x="85"/>
        <item x="13"/>
        <item x="61"/>
        <item x="1"/>
        <item x="66"/>
        <item x="166"/>
        <item x="77"/>
        <item x="53"/>
        <item x="148"/>
        <item x="37"/>
        <item x="4"/>
        <item x="181"/>
        <item x="19"/>
        <item x="119"/>
        <item x="109"/>
        <item x="177"/>
        <item x="103"/>
        <item x="137"/>
        <item x="27"/>
        <item x="173"/>
        <item x="179"/>
        <item x="60"/>
        <item x="133"/>
        <item x="186"/>
        <item x="64"/>
        <item x="7"/>
        <item x="180"/>
        <item x="20"/>
        <item x="127"/>
        <item x="145"/>
        <item x="16"/>
        <item x="118"/>
        <item x="67"/>
        <item x="5"/>
        <item x="154"/>
        <item x="184"/>
        <item x="58"/>
        <item x="123"/>
        <item x="22"/>
        <item x="171"/>
        <item x="143"/>
        <item x="52"/>
        <item x="136"/>
        <item x="182"/>
        <item x="141"/>
        <item x="121"/>
        <item x="57"/>
        <item x="51"/>
        <item x="185"/>
        <item x="86"/>
        <item x="34"/>
        <item x="125"/>
        <item x="89"/>
        <item x="149"/>
        <item x="87"/>
        <item x="49"/>
        <item x="2"/>
        <item x="90"/>
        <item x="170"/>
        <item x="18"/>
        <item x="73"/>
        <item x="144"/>
        <item x="151"/>
        <item x="130"/>
        <item x="174"/>
        <item x="128"/>
        <item x="113"/>
        <item x="112"/>
        <item x="14"/>
        <item x="80"/>
        <item x="104"/>
        <item x="3"/>
        <item x="114"/>
        <item x="129"/>
        <item x="132"/>
        <item x="152"/>
        <item x="28"/>
        <item x="76"/>
        <item x="122"/>
        <item x="75"/>
        <item x="23"/>
        <item x="9"/>
        <item x="24"/>
        <item x="32"/>
        <item x="146"/>
        <item x="0"/>
        <item x="31"/>
        <item x="42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t="default"/>
      </items>
    </pivotField>
    <pivotField compact="0" numFmtId="176" showAll="0">
      <items count="927">
        <item x="39"/>
        <item x="217"/>
        <item x="380"/>
        <item x="329"/>
        <item x="318"/>
        <item x="105"/>
        <item x="183"/>
        <item x="360"/>
        <item x="59"/>
        <item x="262"/>
        <item x="301"/>
        <item x="263"/>
        <item x="218"/>
        <item x="241"/>
        <item x="242"/>
        <item x="55"/>
        <item x="390"/>
        <item x="344"/>
        <item x="388"/>
        <item x="342"/>
        <item x="65"/>
        <item x="266"/>
        <item x="153"/>
        <item x="92"/>
        <item x="297"/>
        <item x="310"/>
        <item x="50"/>
        <item x="29"/>
        <item x="117"/>
        <item x="245"/>
        <item x="178"/>
        <item x="82"/>
        <item x="33"/>
        <item x="237"/>
        <item x="271"/>
        <item x="253"/>
        <item x="328"/>
        <item x="107"/>
        <item x="156"/>
        <item x="384"/>
        <item x="56"/>
        <item x="83"/>
        <item x="209"/>
        <item x="195"/>
        <item x="314"/>
        <item x="10"/>
        <item x="94"/>
        <item x="309"/>
        <item x="387"/>
        <item x="81"/>
        <item x="126"/>
        <item x="267"/>
        <item x="106"/>
        <item x="79"/>
        <item x="38"/>
        <item x="108"/>
        <item x="12"/>
        <item x="208"/>
        <item x="351"/>
        <item x="6"/>
        <item x="176"/>
        <item x="68"/>
        <item x="280"/>
        <item x="96"/>
        <item x="164"/>
        <item x="88"/>
        <item x="347"/>
        <item x="138"/>
        <item x="366"/>
        <item x="165"/>
        <item x="257"/>
        <item x="98"/>
        <item x="286"/>
        <item x="155"/>
        <item x="157"/>
        <item x="389"/>
        <item x="40"/>
        <item x="30"/>
        <item x="36"/>
        <item x="345"/>
        <item x="231"/>
        <item x="268"/>
        <item x="168"/>
        <item x="214"/>
        <item x="102"/>
        <item x="116"/>
        <item x="124"/>
        <item x="167"/>
        <item x="269"/>
        <item x="17"/>
        <item x="110"/>
        <item x="71"/>
        <item x="45"/>
        <item x="101"/>
        <item x="175"/>
        <item x="233"/>
        <item x="379"/>
        <item x="205"/>
        <item x="277"/>
        <item x="326"/>
        <item x="11"/>
        <item x="306"/>
        <item x="8"/>
        <item x="333"/>
        <item x="304"/>
        <item x="368"/>
        <item x="15"/>
        <item x="150"/>
        <item x="229"/>
        <item x="303"/>
        <item x="374"/>
        <item x="284"/>
        <item x="147"/>
        <item x="193"/>
        <item x="289"/>
        <item x="99"/>
        <item x="376"/>
        <item x="294"/>
        <item x="111"/>
        <item x="70"/>
        <item x="350"/>
        <item x="54"/>
        <item x="259"/>
        <item x="273"/>
        <item x="226"/>
        <item x="307"/>
        <item x="348"/>
        <item x="375"/>
        <item x="188"/>
        <item x="26"/>
        <item x="336"/>
        <item x="359"/>
        <item x="295"/>
        <item x="44"/>
        <item x="225"/>
        <item x="140"/>
        <item x="95"/>
        <item x="212"/>
        <item x="169"/>
        <item x="43"/>
        <item x="21"/>
        <item x="47"/>
        <item x="190"/>
        <item x="142"/>
        <item x="227"/>
        <item x="222"/>
        <item x="251"/>
        <item x="100"/>
        <item x="249"/>
        <item x="162"/>
        <item x="244"/>
        <item x="232"/>
        <item x="332"/>
        <item x="308"/>
        <item x="158"/>
        <item x="364"/>
        <item x="383"/>
        <item x="172"/>
        <item x="160"/>
        <item x="290"/>
        <item x="74"/>
        <item x="72"/>
        <item x="115"/>
        <item x="62"/>
        <item x="63"/>
        <item x="258"/>
        <item x="330"/>
        <item x="302"/>
        <item x="84"/>
        <item x="46"/>
        <item x="25"/>
        <item x="382"/>
        <item x="338"/>
        <item x="331"/>
        <item x="91"/>
        <item x="369"/>
        <item x="134"/>
        <item x="93"/>
        <item x="48"/>
        <item x="278"/>
        <item x="78"/>
        <item x="97"/>
        <item x="274"/>
        <item x="252"/>
        <item x="343"/>
        <item x="325"/>
        <item x="69"/>
        <item x="139"/>
        <item x="161"/>
        <item x="353"/>
        <item x="352"/>
        <item x="216"/>
        <item x="131"/>
        <item x="163"/>
        <item x="35"/>
        <item x="207"/>
        <item x="305"/>
        <item x="279"/>
        <item x="254"/>
        <item x="41"/>
        <item x="159"/>
        <item x="335"/>
        <item x="354"/>
        <item x="120"/>
        <item x="320"/>
        <item x="135"/>
        <item x="85"/>
        <item x="339"/>
        <item x="197"/>
        <item x="378"/>
        <item x="340"/>
        <item x="13"/>
        <item x="196"/>
        <item x="240"/>
        <item x="211"/>
        <item x="199"/>
        <item x="315"/>
        <item x="247"/>
        <item x="200"/>
        <item x="201"/>
        <item x="61"/>
        <item x="1"/>
        <item x="187"/>
        <item x="202"/>
        <item x="66"/>
        <item x="166"/>
        <item x="355"/>
        <item x="77"/>
        <item x="312"/>
        <item x="204"/>
        <item x="337"/>
        <item x="239"/>
        <item x="313"/>
        <item x="53"/>
        <item x="148"/>
        <item x="37"/>
        <item x="4"/>
        <item x="181"/>
        <item x="19"/>
        <item x="119"/>
        <item x="109"/>
        <item x="177"/>
        <item x="103"/>
        <item x="246"/>
        <item x="282"/>
        <item x="137"/>
        <item x="27"/>
        <item x="296"/>
        <item x="173"/>
        <item x="179"/>
        <item x="60"/>
        <item x="288"/>
        <item x="319"/>
        <item x="270"/>
        <item x="133"/>
        <item x="186"/>
        <item x="64"/>
        <item x="260"/>
        <item x="349"/>
        <item x="321"/>
        <item x="189"/>
        <item x="7"/>
        <item x="180"/>
        <item x="285"/>
        <item x="20"/>
        <item x="127"/>
        <item x="145"/>
        <item x="16"/>
        <item x="118"/>
        <item x="67"/>
        <item x="5"/>
        <item x="287"/>
        <item x="221"/>
        <item x="299"/>
        <item x="154"/>
        <item x="234"/>
        <item x="184"/>
        <item x="58"/>
        <item x="377"/>
        <item x="264"/>
        <item x="123"/>
        <item x="22"/>
        <item x="334"/>
        <item x="213"/>
        <item x="283"/>
        <item x="392"/>
        <item x="171"/>
        <item x="143"/>
        <item x="52"/>
        <item x="136"/>
        <item x="182"/>
        <item x="141"/>
        <item x="358"/>
        <item x="121"/>
        <item x="292"/>
        <item x="51"/>
        <item x="185"/>
        <item x="86"/>
        <item x="248"/>
        <item x="228"/>
        <item x="311"/>
        <item x="391"/>
        <item x="34"/>
        <item x="125"/>
        <item x="89"/>
        <item x="149"/>
        <item x="87"/>
        <item x="191"/>
        <item x="206"/>
        <item x="361"/>
        <item x="49"/>
        <item x="365"/>
        <item x="265"/>
        <item x="346"/>
        <item x="275"/>
        <item x="230"/>
        <item x="198"/>
        <item x="293"/>
        <item x="2"/>
        <item x="90"/>
        <item x="170"/>
        <item x="219"/>
        <item x="298"/>
        <item x="367"/>
        <item x="236"/>
        <item x="18"/>
        <item x="363"/>
        <item x="73"/>
        <item x="144"/>
        <item x="300"/>
        <item x="151"/>
        <item x="272"/>
        <item x="130"/>
        <item x="174"/>
        <item x="256"/>
        <item x="372"/>
        <item x="261"/>
        <item x="223"/>
        <item x="128"/>
        <item x="113"/>
        <item x="112"/>
        <item x="243"/>
        <item x="327"/>
        <item x="14"/>
        <item x="341"/>
        <item x="255"/>
        <item x="80"/>
        <item x="104"/>
        <item x="3"/>
        <item x="114"/>
        <item x="129"/>
        <item x="132"/>
        <item x="381"/>
        <item x="250"/>
        <item x="235"/>
        <item x="370"/>
        <item x="317"/>
        <item x="152"/>
        <item x="28"/>
        <item x="192"/>
        <item x="362"/>
        <item x="76"/>
        <item x="386"/>
        <item x="194"/>
        <item x="122"/>
        <item x="291"/>
        <item x="281"/>
        <item x="210"/>
        <item x="75"/>
        <item x="276"/>
        <item x="23"/>
        <item x="9"/>
        <item x="24"/>
        <item x="32"/>
        <item x="146"/>
        <item x="0"/>
        <item x="316"/>
        <item x="215"/>
        <item x="356"/>
        <item x="357"/>
        <item x="322"/>
        <item x="224"/>
        <item x="373"/>
        <item x="203"/>
        <item x="323"/>
        <item x="371"/>
        <item x="220"/>
        <item x="385"/>
        <item x="324"/>
        <item x="31"/>
        <item x="4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9"/>
        <item x="460"/>
        <item x="461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x="808"/>
        <item x="57"/>
        <item x="238"/>
        <item x="458"/>
        <item x="462"/>
        <item x="629"/>
        <item x="630"/>
        <item x="803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t="default"/>
      </items>
    </pivotField>
  </pivotFields>
  <rowFields count="2">
    <field x="6"/>
    <field x="1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taxrate_money" fld="11" baseField="0" baseItem="0"/>
    <dataField name="求和项:no_taxrate_money" fld="12" baseField="0" baseItem="0"/>
  </dataFields>
  <formats count="220">
    <format dxfId="306">
      <pivotArea type="all" dataOnly="0" outline="0" fieldPosition="0"/>
    </format>
    <format dxfId="307">
      <pivotArea dataOnly="0" labelOnly="1" fieldPosition="0">
        <references count="1">
          <reference field="4294967294" count="1">
            <x v="0"/>
          </reference>
        </references>
      </pivotArea>
    </format>
    <format dxfId="308">
      <pivotArea dataOnly="0" labelOnly="1" fieldPosition="0">
        <references count="1">
          <reference field="4294967294" count="1">
            <x v="1"/>
          </reference>
        </references>
      </pivotArea>
    </format>
    <format dxfId="309">
      <pivotArea collapsedLevelsAreSubtotals="1" fieldPosition="0"/>
    </format>
    <format dxfId="310">
      <pivotArea field="1" type="button" dataOnly="0" labelOnly="1" outline="0" fieldPosition="0"/>
    </format>
    <format dxfId="311">
      <pivotArea dataOnly="0" labelOnly="1" offset="B256:B256" fieldPosition="0">
        <references count="1">
          <reference field="6" count="1">
            <x v="0"/>
          </reference>
        </references>
      </pivotArea>
    </format>
    <format dxfId="312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13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14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15">
      <pivotArea dataOnly="0" labelOnly="1" grandRow="1" offset="B1:B1" fieldPosition="0"/>
    </format>
    <format dxfId="316">
      <pivotArea field="1" type="button" dataOnly="0" labelOnly="1" outline="0" fieldPosition="0"/>
    </format>
    <format dxfId="317">
      <pivotArea dataOnly="0" labelOnly="1" offset="B256:B256" fieldPosition="0">
        <references count="1">
          <reference field="6" count="1">
            <x v="0"/>
          </reference>
        </references>
      </pivotArea>
    </format>
    <format dxfId="318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19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20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21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322">
      <pivotArea dataOnly="0" labelOnly="1" offset="B256:B256" fieldPosition="0">
        <references count="1">
          <reference field="6" count="1">
            <x v="1"/>
          </reference>
        </references>
      </pivotArea>
    </format>
    <format dxfId="323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324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25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326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327">
      <pivotArea dataOnly="0" labelOnly="1" grandRow="1" offset="B1:B1" fieldPosition="0"/>
    </format>
    <format dxfId="328">
      <pivotArea type="all" dataOnly="0" outline="0" fieldPosition="0"/>
    </format>
    <format dxfId="329">
      <pivotArea field="1" type="button" dataOnly="0" labelOnly="1" outline="0" fieldPosition="0"/>
    </format>
    <format dxfId="330">
      <pivotArea dataOnly="0" labelOnly="1" offset="B256:B256" fieldPosition="0">
        <references count="1">
          <reference field="6" count="1">
            <x v="0"/>
          </reference>
        </references>
      </pivotArea>
    </format>
    <format dxfId="331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32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33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34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335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336">
      <pivotArea dataOnly="0" labelOnly="1" grandRow="1" offset="B1:B1" fieldPosition="0"/>
    </format>
    <format dxfId="337">
      <pivotArea field="1" type="button" dataOnly="0" labelOnly="1" outline="0" fieldPosition="0"/>
    </format>
    <format dxfId="338">
      <pivotArea dataOnly="0" labelOnly="1" offset="B256:B256" fieldPosition="0">
        <references count="1">
          <reference field="6" count="1">
            <x v="0"/>
          </reference>
        </references>
      </pivotArea>
    </format>
    <format dxfId="339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40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41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42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343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344">
      <pivotArea dataOnly="0" labelOnly="1" offset="B256:B256" fieldPosition="0">
        <references count="1">
          <reference field="6" count="1">
            <x v="1"/>
          </reference>
        </references>
      </pivotArea>
    </format>
    <format dxfId="345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346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47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348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349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350">
      <pivotArea dataOnly="0" labelOnly="1" grandRow="1" offset="B1:B1" fieldPosition="0"/>
    </format>
    <format dxfId="351">
      <pivotArea type="all" dataOnly="0" outline="0" fieldPosition="0"/>
    </format>
    <format dxfId="352">
      <pivotArea field="1" type="button" dataOnly="0" labelOnly="1" outline="0" fieldPosition="0"/>
    </format>
    <format dxfId="353">
      <pivotArea dataOnly="0" labelOnly="1" offset="B256:B256" fieldPosition="0">
        <references count="1">
          <reference field="6" count="1">
            <x v="0"/>
          </reference>
        </references>
      </pivotArea>
    </format>
    <format dxfId="354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55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56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57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358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359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360">
      <pivotArea dataOnly="0" labelOnly="1" offset="B256:B256" fieldPosition="0">
        <references count="1">
          <reference field="6" count="1">
            <x v="1"/>
          </reference>
        </references>
      </pivotArea>
    </format>
    <format dxfId="361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362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63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364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365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366">
      <pivotArea dataOnly="0" labelOnly="1" grandRow="1" offset="B1:B1" fieldPosition="0"/>
    </format>
    <format dxfId="367">
      <pivotArea field="1" type="button" dataOnly="0" labelOnly="1" outline="0" fieldPosition="0"/>
    </format>
    <format dxfId="368">
      <pivotArea dataOnly="0" labelOnly="1" offset="B256:B256" fieldPosition="0">
        <references count="1">
          <reference field="6" count="1">
            <x v="0"/>
          </reference>
        </references>
      </pivotArea>
    </format>
    <format dxfId="369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70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71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72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373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374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375">
      <pivotArea dataOnly="0" labelOnly="1" offset="B256:B256" fieldPosition="0">
        <references count="1">
          <reference field="6" count="1">
            <x v="1"/>
          </reference>
        </references>
      </pivotArea>
    </format>
    <format dxfId="376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377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78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379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380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381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382">
      <pivotArea dataOnly="0" labelOnly="1" grandRow="1" offset="B1:B1" fieldPosition="0"/>
    </format>
    <format dxfId="383">
      <pivotArea type="all" dataOnly="0" outline="0" fieldPosition="0"/>
    </format>
    <format dxfId="384">
      <pivotArea field="1" type="button" dataOnly="0" labelOnly="1" outline="0" fieldPosition="0"/>
    </format>
    <format dxfId="385">
      <pivotArea dataOnly="0" labelOnly="1" offset="B256:B256" fieldPosition="0">
        <references count="1">
          <reference field="6" count="1">
            <x v="0"/>
          </reference>
        </references>
      </pivotArea>
    </format>
    <format dxfId="386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387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88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389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390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391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392">
      <pivotArea dataOnly="0" labelOnly="1" fieldPosition="0">
        <references count="2">
          <reference field="1" count="1">
            <x v="6"/>
          </reference>
          <reference field="6" count="1" selected="0">
            <x v="0"/>
          </reference>
        </references>
      </pivotArea>
    </format>
    <format dxfId="393">
      <pivotArea dataOnly="0" labelOnly="1" offset="B256:B256" fieldPosition="0">
        <references count="1">
          <reference field="6" count="1">
            <x v="1"/>
          </reference>
        </references>
      </pivotArea>
    </format>
    <format dxfId="394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395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96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397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398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399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400">
      <pivotArea dataOnly="0" labelOnly="1" fieldPosition="0">
        <references count="2">
          <reference field="1" count="1">
            <x v="6"/>
          </reference>
          <reference field="6" count="1" selected="0">
            <x v="1"/>
          </reference>
        </references>
      </pivotArea>
    </format>
    <format dxfId="401">
      <pivotArea dataOnly="0" labelOnly="1" grandRow="1" offset="B1:B1" fieldPosition="0"/>
    </format>
    <format dxfId="402">
      <pivotArea type="all" dataOnly="0" outline="0" fieldPosition="0"/>
    </format>
    <format dxfId="403">
      <pivotArea field="1" type="button" dataOnly="0" labelOnly="1" outline="0" fieldPosition="0"/>
    </format>
    <format dxfId="404">
      <pivotArea dataOnly="0" labelOnly="1" offset="B256:B256" fieldPosition="0">
        <references count="1">
          <reference field="6" count="1">
            <x v="0"/>
          </reference>
        </references>
      </pivotArea>
    </format>
    <format dxfId="405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406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407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408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409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410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411">
      <pivotArea dataOnly="0" labelOnly="1" fieldPosition="0">
        <references count="2">
          <reference field="1" count="1">
            <x v="6"/>
          </reference>
          <reference field="6" count="1" selected="0">
            <x v="0"/>
          </reference>
        </references>
      </pivotArea>
    </format>
    <format dxfId="412">
      <pivotArea dataOnly="0" labelOnly="1" fieldPosition="0">
        <references count="2">
          <reference field="1" count="1">
            <x v="7"/>
          </reference>
          <reference field="6" count="1" selected="0">
            <x v="0"/>
          </reference>
        </references>
      </pivotArea>
    </format>
    <format dxfId="413">
      <pivotArea dataOnly="0" labelOnly="1" offset="B256:B256" fieldPosition="0">
        <references count="1">
          <reference field="6" count="1">
            <x v="1"/>
          </reference>
        </references>
      </pivotArea>
    </format>
    <format dxfId="414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415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416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417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418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419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420">
      <pivotArea dataOnly="0" labelOnly="1" fieldPosition="0">
        <references count="2">
          <reference field="1" count="1">
            <x v="6"/>
          </reference>
          <reference field="6" count="1" selected="0">
            <x v="1"/>
          </reference>
        </references>
      </pivotArea>
    </format>
    <format dxfId="421">
      <pivotArea dataOnly="0" labelOnly="1" fieldPosition="0">
        <references count="2">
          <reference field="1" count="1">
            <x v="7"/>
          </reference>
          <reference field="6" count="1" selected="0">
            <x v="1"/>
          </reference>
        </references>
      </pivotArea>
    </format>
    <format dxfId="422">
      <pivotArea dataOnly="0" labelOnly="1" grandRow="1" offset="B1:B1" fieldPosition="0"/>
    </format>
    <format dxfId="423">
      <pivotArea type="all" dataOnly="0" outline="0" fieldPosition="0"/>
    </format>
    <format dxfId="424">
      <pivotArea field="1" type="button" dataOnly="0" labelOnly="1" outline="0" fieldPosition="0"/>
    </format>
    <format dxfId="425">
      <pivotArea dataOnly="0" labelOnly="1" offset="B256:B256" fieldPosition="0">
        <references count="1">
          <reference field="6" count="1">
            <x v="0"/>
          </reference>
        </references>
      </pivotArea>
    </format>
    <format dxfId="426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427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428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429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430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431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432">
      <pivotArea dataOnly="0" labelOnly="1" fieldPosition="0">
        <references count="2">
          <reference field="1" count="1">
            <x v="6"/>
          </reference>
          <reference field="6" count="1" selected="0">
            <x v="0"/>
          </reference>
        </references>
      </pivotArea>
    </format>
    <format dxfId="433">
      <pivotArea dataOnly="0" labelOnly="1" fieldPosition="0">
        <references count="2">
          <reference field="1" count="1">
            <x v="7"/>
          </reference>
          <reference field="6" count="1" selected="0">
            <x v="0"/>
          </reference>
        </references>
      </pivotArea>
    </format>
    <format dxfId="434">
      <pivotArea dataOnly="0" labelOnly="1" fieldPosition="0">
        <references count="2">
          <reference field="1" count="1">
            <x v="8"/>
          </reference>
          <reference field="6" count="1" selected="0">
            <x v="0"/>
          </reference>
        </references>
      </pivotArea>
    </format>
    <format dxfId="435">
      <pivotArea dataOnly="0" labelOnly="1" offset="B256:B256" fieldPosition="0">
        <references count="1">
          <reference field="6" count="1">
            <x v="1"/>
          </reference>
        </references>
      </pivotArea>
    </format>
    <format dxfId="436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437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438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439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440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441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442">
      <pivotArea dataOnly="0" labelOnly="1" fieldPosition="0">
        <references count="2">
          <reference field="1" count="1">
            <x v="6"/>
          </reference>
          <reference field="6" count="1" selected="0">
            <x v="1"/>
          </reference>
        </references>
      </pivotArea>
    </format>
    <format dxfId="443">
      <pivotArea dataOnly="0" labelOnly="1" fieldPosition="0">
        <references count="2">
          <reference field="1" count="1">
            <x v="7"/>
          </reference>
          <reference field="6" count="1" selected="0">
            <x v="1"/>
          </reference>
        </references>
      </pivotArea>
    </format>
    <format dxfId="444">
      <pivotArea dataOnly="0" labelOnly="1" fieldPosition="0">
        <references count="2">
          <reference field="1" count="1">
            <x v="8"/>
          </reference>
          <reference field="6" count="1" selected="0">
            <x v="1"/>
          </reference>
        </references>
      </pivotArea>
    </format>
    <format dxfId="445">
      <pivotArea dataOnly="0" labelOnly="1" grandRow="1" offset="B1:B1" fieldPosition="0"/>
    </format>
    <format dxfId="446">
      <pivotArea field="1" type="button" dataOnly="0" labelOnly="1" outline="0" fieldPosition="0"/>
    </format>
    <format dxfId="447">
      <pivotArea dataOnly="0" labelOnly="1" offset="B256:B256" fieldPosition="0">
        <references count="1">
          <reference field="6" count="1">
            <x v="0"/>
          </reference>
        </references>
      </pivotArea>
    </format>
    <format dxfId="448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449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450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451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452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453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454">
      <pivotArea dataOnly="0" labelOnly="1" fieldPosition="0">
        <references count="2">
          <reference field="1" count="1">
            <x v="6"/>
          </reference>
          <reference field="6" count="1" selected="0">
            <x v="0"/>
          </reference>
        </references>
      </pivotArea>
    </format>
    <format dxfId="455">
      <pivotArea dataOnly="0" labelOnly="1" fieldPosition="0">
        <references count="2">
          <reference field="1" count="1">
            <x v="7"/>
          </reference>
          <reference field="6" count="1" selected="0">
            <x v="0"/>
          </reference>
        </references>
      </pivotArea>
    </format>
    <format dxfId="456">
      <pivotArea dataOnly="0" labelOnly="1" fieldPosition="0">
        <references count="2">
          <reference field="1" count="1">
            <x v="8"/>
          </reference>
          <reference field="6" count="1" selected="0">
            <x v="0"/>
          </reference>
        </references>
      </pivotArea>
    </format>
    <format dxfId="457">
      <pivotArea dataOnly="0" labelOnly="1" fieldPosition="0">
        <references count="2">
          <reference field="1" count="1">
            <x v="9"/>
          </reference>
          <reference field="6" count="1" selected="0">
            <x v="0"/>
          </reference>
        </references>
      </pivotArea>
    </format>
    <format dxfId="458">
      <pivotArea dataOnly="0" labelOnly="1" offset="B256:B256" fieldPosition="0">
        <references count="1">
          <reference field="6" count="1">
            <x v="1"/>
          </reference>
        </references>
      </pivotArea>
    </format>
    <format dxfId="459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460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461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462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463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464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465">
      <pivotArea dataOnly="0" labelOnly="1" fieldPosition="0">
        <references count="2">
          <reference field="1" count="1">
            <x v="6"/>
          </reference>
          <reference field="6" count="1" selected="0">
            <x v="1"/>
          </reference>
        </references>
      </pivotArea>
    </format>
    <format dxfId="466">
      <pivotArea dataOnly="0" labelOnly="1" fieldPosition="0">
        <references count="2">
          <reference field="1" count="1">
            <x v="7"/>
          </reference>
          <reference field="6" count="1" selected="0">
            <x v="1"/>
          </reference>
        </references>
      </pivotArea>
    </format>
    <format dxfId="467">
      <pivotArea dataOnly="0" labelOnly="1" fieldPosition="0">
        <references count="2">
          <reference field="1" count="1">
            <x v="8"/>
          </reference>
          <reference field="6" count="1" selected="0">
            <x v="1"/>
          </reference>
        </references>
      </pivotArea>
    </format>
    <format dxfId="468">
      <pivotArea dataOnly="0" labelOnly="1" fieldPosition="0">
        <references count="2">
          <reference field="1" count="1">
            <x v="9"/>
          </reference>
          <reference field="6" count="1" selected="0">
            <x v="1"/>
          </reference>
        </references>
      </pivotArea>
    </format>
    <format dxfId="469">
      <pivotArea dataOnly="0" labelOnly="1" grandRow="1" offset="B1:B1" fieldPosition="0"/>
    </format>
    <format dxfId="470">
      <pivotArea field="1" type="button" dataOnly="0" labelOnly="1" outline="0" fieldPosition="0"/>
    </format>
    <format dxfId="471">
      <pivotArea dataOnly="0" labelOnly="1" offset="B256:B256" fieldPosition="0">
        <references count="1">
          <reference field="6" count="1">
            <x v="0"/>
          </reference>
        </references>
      </pivotArea>
    </format>
    <format dxfId="472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473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474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475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476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477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478">
      <pivotArea dataOnly="0" labelOnly="1" fieldPosition="0">
        <references count="2">
          <reference field="1" count="1">
            <x v="6"/>
          </reference>
          <reference field="6" count="1" selected="0">
            <x v="0"/>
          </reference>
        </references>
      </pivotArea>
    </format>
    <format dxfId="479">
      <pivotArea dataOnly="0" labelOnly="1" fieldPosition="0">
        <references count="2">
          <reference field="1" count="1">
            <x v="7"/>
          </reference>
          <reference field="6" count="1" selected="0">
            <x v="0"/>
          </reference>
        </references>
      </pivotArea>
    </format>
    <format dxfId="480">
      <pivotArea dataOnly="0" labelOnly="1" fieldPosition="0">
        <references count="2">
          <reference field="1" count="1">
            <x v="8"/>
          </reference>
          <reference field="6" count="1" selected="0">
            <x v="0"/>
          </reference>
        </references>
      </pivotArea>
    </format>
    <format dxfId="481">
      <pivotArea dataOnly="0" labelOnly="1" fieldPosition="0">
        <references count="2">
          <reference field="1" count="1">
            <x v="9"/>
          </reference>
          <reference field="6" count="1" selected="0">
            <x v="0"/>
          </reference>
        </references>
      </pivotArea>
    </format>
    <format dxfId="482">
      <pivotArea dataOnly="0" labelOnly="1" fieldPosition="0">
        <references count="2">
          <reference field="1" count="1">
            <x v="10"/>
          </reference>
          <reference field="6" count="1" selected="0">
            <x v="0"/>
          </reference>
        </references>
      </pivotArea>
    </format>
    <format dxfId="483">
      <pivotArea dataOnly="0" labelOnly="1" offset="B256:B256" fieldPosition="0">
        <references count="1">
          <reference field="6" count="1">
            <x v="1"/>
          </reference>
        </references>
      </pivotArea>
    </format>
    <format dxfId="484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485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486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487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488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489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490">
      <pivotArea dataOnly="0" labelOnly="1" fieldPosition="0">
        <references count="2">
          <reference field="1" count="1">
            <x v="6"/>
          </reference>
          <reference field="6" count="1" selected="0">
            <x v="1"/>
          </reference>
        </references>
      </pivotArea>
    </format>
    <format dxfId="491">
      <pivotArea dataOnly="0" labelOnly="1" fieldPosition="0">
        <references count="2">
          <reference field="1" count="1">
            <x v="7"/>
          </reference>
          <reference field="6" count="1" selected="0">
            <x v="1"/>
          </reference>
        </references>
      </pivotArea>
    </format>
    <format dxfId="492">
      <pivotArea dataOnly="0" labelOnly="1" fieldPosition="0">
        <references count="2">
          <reference field="1" count="1">
            <x v="8"/>
          </reference>
          <reference field="6" count="1" selected="0">
            <x v="1"/>
          </reference>
        </references>
      </pivotArea>
    </format>
    <format dxfId="493">
      <pivotArea dataOnly="0" labelOnly="1" fieldPosition="0">
        <references count="2">
          <reference field="1" count="1">
            <x v="9"/>
          </reference>
          <reference field="6" count="1" selected="0">
            <x v="1"/>
          </reference>
        </references>
      </pivotArea>
    </format>
    <format dxfId="494">
      <pivotArea dataOnly="0" labelOnly="1" fieldPosition="0">
        <references count="2">
          <reference field="1" count="1">
            <x v="10"/>
          </reference>
          <reference field="6" count="1" selected="0">
            <x v="1"/>
          </reference>
        </references>
      </pivotArea>
    </format>
    <format dxfId="495">
      <pivotArea dataOnly="0" labelOnly="1" grandRow="1" offset="B1:B1" fieldPosition="0"/>
    </format>
    <format dxfId="496">
      <pivotArea type="all" dataOnly="0" outline="0" fieldPosition="0"/>
    </format>
    <format dxfId="497">
      <pivotArea type="all" dataOnly="0" outline="0" fieldPosition="0"/>
    </format>
    <format dxfId="498">
      <pivotArea field="1" type="button" dataOnly="0" labelOnly="1" outline="0" fieldPosition="0"/>
    </format>
    <format dxfId="499">
      <pivotArea dataOnly="0" labelOnly="1" offset="B256:B256" fieldPosition="0">
        <references count="1">
          <reference field="6" count="1">
            <x v="0"/>
          </reference>
        </references>
      </pivotArea>
    </format>
    <format dxfId="500">
      <pivotArea dataOnly="0" labelOnly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501">
      <pivotArea dataOnly="0" labelOnly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502">
      <pivotArea dataOnly="0" labelOnly="1" fieldPosition="0">
        <references count="2">
          <reference field="1" count="1">
            <x v="2"/>
          </reference>
          <reference field="6" count="1" selected="0">
            <x v="0"/>
          </reference>
        </references>
      </pivotArea>
    </format>
    <format dxfId="503">
      <pivotArea dataOnly="0" labelOnly="1" fieldPosition="0">
        <references count="2">
          <reference field="1" count="1">
            <x v="3"/>
          </reference>
          <reference field="6" count="1" selected="0">
            <x v="0"/>
          </reference>
        </references>
      </pivotArea>
    </format>
    <format dxfId="504">
      <pivotArea dataOnly="0" labelOnly="1" fieldPosition="0">
        <references count="2">
          <reference field="1" count="1">
            <x v="4"/>
          </reference>
          <reference field="6" count="1" selected="0">
            <x v="0"/>
          </reference>
        </references>
      </pivotArea>
    </format>
    <format dxfId="505">
      <pivotArea dataOnly="0" labelOnly="1" fieldPosition="0">
        <references count="2">
          <reference field="1" count="1">
            <x v="5"/>
          </reference>
          <reference field="6" count="1" selected="0">
            <x v="0"/>
          </reference>
        </references>
      </pivotArea>
    </format>
    <format dxfId="506">
      <pivotArea dataOnly="0" labelOnly="1" fieldPosition="0">
        <references count="2">
          <reference field="1" count="1">
            <x v="6"/>
          </reference>
          <reference field="6" count="1" selected="0">
            <x v="0"/>
          </reference>
        </references>
      </pivotArea>
    </format>
    <format dxfId="507">
      <pivotArea dataOnly="0" labelOnly="1" fieldPosition="0">
        <references count="2">
          <reference field="1" count="1">
            <x v="7"/>
          </reference>
          <reference field="6" count="1" selected="0">
            <x v="0"/>
          </reference>
        </references>
      </pivotArea>
    </format>
    <format dxfId="508">
      <pivotArea dataOnly="0" labelOnly="1" fieldPosition="0">
        <references count="2">
          <reference field="1" count="1">
            <x v="8"/>
          </reference>
          <reference field="6" count="1" selected="0">
            <x v="0"/>
          </reference>
        </references>
      </pivotArea>
    </format>
    <format dxfId="509">
      <pivotArea dataOnly="0" labelOnly="1" fieldPosition="0">
        <references count="2">
          <reference field="1" count="1">
            <x v="9"/>
          </reference>
          <reference field="6" count="1" selected="0">
            <x v="0"/>
          </reference>
        </references>
      </pivotArea>
    </format>
    <format dxfId="510">
      <pivotArea dataOnly="0" labelOnly="1" fieldPosition="0">
        <references count="2">
          <reference field="1" count="1">
            <x v="10"/>
          </reference>
          <reference field="6" count="1" selected="0">
            <x v="0"/>
          </reference>
        </references>
      </pivotArea>
    </format>
    <format dxfId="511">
      <pivotArea dataOnly="0" labelOnly="1" fieldPosition="0">
        <references count="2">
          <reference field="1" count="1">
            <x v="11"/>
          </reference>
          <reference field="6" count="1" selected="0">
            <x v="0"/>
          </reference>
        </references>
      </pivotArea>
    </format>
    <format dxfId="512">
      <pivotArea dataOnly="0" labelOnly="1" offset="B256:B256" fieldPosition="0">
        <references count="1">
          <reference field="6" count="1">
            <x v="1"/>
          </reference>
        </references>
      </pivotArea>
    </format>
    <format dxfId="513">
      <pivotArea dataOnly="0" labelOnly="1" fieldPosition="0">
        <references count="2">
          <reference field="1" count="1">
            <x v="0"/>
          </reference>
          <reference field="6" count="1" selected="0">
            <x v="1"/>
          </reference>
        </references>
      </pivotArea>
    </format>
    <format dxfId="514">
      <pivotArea dataOnly="0" labelOnly="1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515">
      <pivotArea dataOnly="0" labelOnly="1" fieldPosition="0">
        <references count="2">
          <reference field="1" count="1">
            <x v="2"/>
          </reference>
          <reference field="6" count="1" selected="0">
            <x v="1"/>
          </reference>
        </references>
      </pivotArea>
    </format>
    <format dxfId="516">
      <pivotArea dataOnly="0" labelOnly="1" fieldPosition="0">
        <references count="2">
          <reference field="1" count="1">
            <x v="3"/>
          </reference>
          <reference field="6" count="1" selected="0">
            <x v="1"/>
          </reference>
        </references>
      </pivotArea>
    </format>
    <format dxfId="517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518">
      <pivotArea dataOnly="0" labelOnly="1" fieldPosition="0">
        <references count="2">
          <reference field="1" count="1">
            <x v="5"/>
          </reference>
          <reference field="6" count="1" selected="0">
            <x v="1"/>
          </reference>
        </references>
      </pivotArea>
    </format>
    <format dxfId="519">
      <pivotArea dataOnly="0" labelOnly="1" fieldPosition="0">
        <references count="2">
          <reference field="1" count="1">
            <x v="6"/>
          </reference>
          <reference field="6" count="1" selected="0">
            <x v="1"/>
          </reference>
        </references>
      </pivotArea>
    </format>
    <format dxfId="520">
      <pivotArea dataOnly="0" labelOnly="1" fieldPosition="0">
        <references count="2">
          <reference field="1" count="1">
            <x v="7"/>
          </reference>
          <reference field="6" count="1" selected="0">
            <x v="1"/>
          </reference>
        </references>
      </pivotArea>
    </format>
    <format dxfId="521">
      <pivotArea dataOnly="0" labelOnly="1" fieldPosition="0">
        <references count="2">
          <reference field="1" count="1">
            <x v="8"/>
          </reference>
          <reference field="6" count="1" selected="0">
            <x v="1"/>
          </reference>
        </references>
      </pivotArea>
    </format>
    <format dxfId="522">
      <pivotArea dataOnly="0" labelOnly="1" fieldPosition="0">
        <references count="2">
          <reference field="1" count="1">
            <x v="9"/>
          </reference>
          <reference field="6" count="1" selected="0">
            <x v="1"/>
          </reference>
        </references>
      </pivotArea>
    </format>
    <format dxfId="523">
      <pivotArea dataOnly="0" labelOnly="1" fieldPosition="0">
        <references count="2">
          <reference field="1" count="1">
            <x v="10"/>
          </reference>
          <reference field="6" count="1" selected="0">
            <x v="1"/>
          </reference>
        </references>
      </pivotArea>
    </format>
    <format dxfId="524">
      <pivotArea dataOnly="0" labelOnly="1" fieldPosition="0">
        <references count="2">
          <reference field="1" count="1">
            <x v="11"/>
          </reference>
          <reference field="6" count="1" selected="0">
            <x v="1"/>
          </reference>
        </references>
      </pivotArea>
    </format>
    <format dxfId="525">
      <pivotArea dataOnly="0" labelOnly="1" grandRow="1" offset="B1:B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673:L687" firstHeaderRow="1" firstDataRow="1" firstDataCol="1"/>
  <pivotFields count="8">
    <pivotField compact="0" showAll="0">
      <items count="14">
        <item x="7"/>
        <item x="12"/>
        <item x="0"/>
        <item x="3"/>
        <item x="1"/>
        <item x="2"/>
        <item x="9"/>
        <item x="4"/>
        <item x="11"/>
        <item x="8"/>
        <item x="10"/>
        <item x="5"/>
        <item x="6"/>
        <item t="default"/>
      </items>
    </pivotField>
    <pivotField compact="0" showAll="0"/>
    <pivotField axis="axisRow" compact="0" showAll="0">
      <items count="14">
        <item x="3"/>
        <item x="12"/>
        <item x="2"/>
        <item x="11"/>
        <item x="1"/>
        <item x="0"/>
        <item x="5"/>
        <item x="8"/>
        <item x="6"/>
        <item x="10"/>
        <item x="4"/>
        <item x="9"/>
        <item x="7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582">
        <item x="355"/>
        <item x="434"/>
        <item x="546"/>
        <item x="99"/>
        <item x="473"/>
        <item x="415"/>
        <item x="414"/>
        <item x="404"/>
        <item x="416"/>
        <item x="403"/>
        <item x="412"/>
        <item x="108"/>
        <item x="401"/>
        <item x="419"/>
        <item x="407"/>
        <item x="409"/>
        <item x="107"/>
        <item x="98"/>
        <item x="398"/>
        <item x="103"/>
        <item x="443"/>
        <item x="437"/>
        <item x="64"/>
        <item x="227"/>
        <item x="106"/>
        <item x="432"/>
        <item x="104"/>
        <item x="102"/>
        <item x="436"/>
        <item x="100"/>
        <item x="63"/>
        <item x="417"/>
        <item x="105"/>
        <item x="109"/>
        <item x="101"/>
        <item x="405"/>
        <item x="425"/>
        <item x="411"/>
        <item x="400"/>
        <item x="428"/>
        <item x="219"/>
        <item x="431"/>
        <item x="426"/>
        <item x="430"/>
        <item x="207"/>
        <item x="429"/>
        <item x="445"/>
        <item x="421"/>
        <item x="439"/>
        <item x="292"/>
        <item x="427"/>
        <item x="294"/>
        <item x="300"/>
        <item x="291"/>
        <item x="206"/>
        <item x="223"/>
        <item x="224"/>
        <item x="423"/>
        <item x="444"/>
        <item x="438"/>
        <item x="422"/>
        <item x="218"/>
        <item x="509"/>
        <item x="435"/>
        <item x="297"/>
        <item x="221"/>
        <item x="66"/>
        <item x="424"/>
        <item x="290"/>
        <item x="510"/>
        <item x="497"/>
        <item x="220"/>
        <item x="410"/>
        <item x="399"/>
        <item x="288"/>
        <item x="498"/>
        <item x="350"/>
        <item x="60"/>
        <item x="289"/>
        <item x="402"/>
        <item x="413"/>
        <item x="61"/>
        <item x="62"/>
        <item x="222"/>
        <item x="548"/>
        <item x="225"/>
        <item x="547"/>
        <item x="295"/>
        <item x="213"/>
        <item x="420"/>
        <item x="71"/>
        <item x="534"/>
        <item x="533"/>
        <item x="73"/>
        <item x="511"/>
        <item x="72"/>
        <item x="556"/>
        <item x="486"/>
        <item x="521"/>
        <item x="522"/>
        <item x="358"/>
        <item x="499"/>
        <item x="65"/>
        <item x="226"/>
        <item x="157"/>
        <item x="433"/>
        <item x="67"/>
        <item x="50"/>
        <item x="366"/>
        <item x="370"/>
        <item x="408"/>
        <item x="296"/>
        <item x="397"/>
        <item x="494"/>
        <item x="315"/>
        <item x="293"/>
        <item x="51"/>
        <item x="536"/>
        <item x="550"/>
        <item x="490"/>
        <item x="553"/>
        <item x="349"/>
        <item x="44"/>
        <item x="303"/>
        <item x="352"/>
        <item x="55"/>
        <item x="298"/>
        <item x="299"/>
        <item x="316"/>
        <item x="418"/>
        <item x="406"/>
        <item x="520"/>
        <item x="215"/>
        <item x="535"/>
        <item x="496"/>
        <item x="57"/>
        <item x="372"/>
        <item x="314"/>
        <item x="217"/>
        <item x="304"/>
        <item x="518"/>
        <item x="56"/>
        <item x="68"/>
        <item x="524"/>
        <item x="210"/>
        <item x="508"/>
        <item x="54"/>
        <item x="353"/>
        <item x="216"/>
        <item x="362"/>
        <item x="506"/>
        <item x="209"/>
        <item x="523"/>
        <item x="32"/>
        <item x="48"/>
        <item x="302"/>
        <item x="317"/>
        <item x="492"/>
        <item x="517"/>
        <item x="363"/>
        <item x="305"/>
        <item x="214"/>
        <item x="542"/>
        <item x="493"/>
        <item x="369"/>
        <item x="52"/>
        <item x="211"/>
        <item x="359"/>
        <item x="505"/>
        <item x="367"/>
        <item x="512"/>
        <item x="212"/>
        <item x="551"/>
        <item x="491"/>
        <item x="513"/>
        <item x="49"/>
        <item x="208"/>
        <item x="364"/>
        <item x="334"/>
        <item x="545"/>
        <item x="365"/>
        <item x="500"/>
        <item x="541"/>
        <item x="549"/>
        <item x="489"/>
        <item x="488"/>
        <item x="501"/>
        <item x="346"/>
        <item x="539"/>
        <item x="313"/>
        <item x="530"/>
        <item x="515"/>
        <item x="53"/>
        <item x="537"/>
        <item x="45"/>
        <item x="33"/>
        <item x="540"/>
        <item x="503"/>
        <item x="39"/>
        <item x="331"/>
        <item x="356"/>
        <item x="301"/>
        <item x="529"/>
        <item x="325"/>
        <item x="519"/>
        <item x="527"/>
        <item x="371"/>
        <item x="279"/>
        <item x="69"/>
        <item x="29"/>
        <item x="368"/>
        <item x="27"/>
        <item x="59"/>
        <item x="278"/>
        <item x="525"/>
        <item x="507"/>
        <item x="528"/>
        <item x="343"/>
        <item x="337"/>
        <item x="483"/>
        <item x="326"/>
        <item x="329"/>
        <item x="338"/>
        <item x="360"/>
        <item x="276"/>
        <item x="357"/>
        <item x="41"/>
        <item x="544"/>
        <item x="43"/>
        <item x="319"/>
        <item x="31"/>
        <item x="307"/>
        <item x="495"/>
        <item x="93"/>
        <item x="335"/>
        <item x="92"/>
        <item x="58"/>
        <item x="554"/>
        <item x="514"/>
        <item x="532"/>
        <item x="341"/>
        <item x="81"/>
        <item x="361"/>
        <item x="318"/>
        <item x="306"/>
        <item x="80"/>
        <item x="538"/>
        <item x="502"/>
        <item x="516"/>
        <item x="504"/>
        <item x="277"/>
        <item x="552"/>
        <item x="332"/>
        <item x="287"/>
        <item x="328"/>
        <item x="91"/>
        <item x="526"/>
        <item x="79"/>
        <item x="89"/>
        <item x="280"/>
        <item x="88"/>
        <item x="347"/>
        <item x="26"/>
        <item x="38"/>
        <item x="77"/>
        <item x="282"/>
        <item x="76"/>
        <item x="285"/>
        <item x="286"/>
        <item x="283"/>
        <item x="327"/>
        <item x="339"/>
        <item x="543"/>
        <item x="340"/>
        <item x="344"/>
        <item x="40"/>
        <item x="333"/>
        <item x="531"/>
        <item x="281"/>
        <item x="28"/>
        <item x="336"/>
        <item x="487"/>
        <item x="555"/>
        <item x="87"/>
        <item x="70"/>
        <item x="348"/>
        <item x="320"/>
        <item x="284"/>
        <item x="308"/>
        <item x="351"/>
        <item x="75"/>
        <item x="25"/>
        <item x="37"/>
        <item x="144"/>
        <item x="90"/>
        <item x="30"/>
        <item x="156"/>
        <item x="322"/>
        <item x="354"/>
        <item x="345"/>
        <item x="42"/>
        <item x="310"/>
        <item x="78"/>
        <item x="323"/>
        <item x="311"/>
        <item x="149"/>
        <item x="571"/>
        <item x="559"/>
        <item x="572"/>
        <item x="560"/>
        <item x="321"/>
        <item x="309"/>
        <item x="137"/>
        <item x="570"/>
        <item x="558"/>
        <item x="312"/>
        <item x="324"/>
        <item x="148"/>
        <item x="330"/>
        <item x="136"/>
        <item x="475"/>
        <item x="153"/>
        <item x="141"/>
        <item x="94"/>
        <item x="82"/>
        <item x="580"/>
        <item x="568"/>
        <item x="134"/>
        <item x="146"/>
        <item x="34"/>
        <item x="191"/>
        <item x="135"/>
        <item x="573"/>
        <item x="561"/>
        <item x="203"/>
        <item x="147"/>
        <item x="46"/>
        <item x="190"/>
        <item x="86"/>
        <item x="154"/>
        <item x="47"/>
        <item x="142"/>
        <item x="74"/>
        <item x="36"/>
        <item x="35"/>
        <item x="151"/>
        <item x="385"/>
        <item x="24"/>
        <item x="139"/>
        <item x="202"/>
        <item x="342"/>
        <item x="373"/>
        <item x="481"/>
        <item x="389"/>
        <item x="480"/>
        <item x="578"/>
        <item x="377"/>
        <item x="566"/>
        <item x="479"/>
        <item x="388"/>
        <item x="121"/>
        <item x="138"/>
        <item x="376"/>
        <item x="195"/>
        <item x="132"/>
        <item x="183"/>
        <item x="477"/>
        <item x="152"/>
        <item x="140"/>
        <item x="478"/>
        <item x="150"/>
        <item x="188"/>
        <item x="387"/>
        <item x="171"/>
        <item x="159"/>
        <item x="200"/>
        <item x="192"/>
        <item x="375"/>
        <item x="563"/>
        <item x="575"/>
        <item x="204"/>
        <item x="390"/>
        <item x="577"/>
        <item x="565"/>
        <item x="391"/>
        <item x="378"/>
        <item x="379"/>
        <item x="186"/>
        <item x="184"/>
        <item x="196"/>
        <item x="569"/>
        <item x="198"/>
        <item x="557"/>
        <item x="392"/>
        <item x="155"/>
        <item x="143"/>
        <item x="574"/>
        <item x="562"/>
        <item x="182"/>
        <item x="380"/>
        <item x="482"/>
        <item x="386"/>
        <item x="133"/>
        <item x="145"/>
        <item x="170"/>
        <item x="158"/>
        <item x="194"/>
        <item x="374"/>
        <item x="484"/>
        <item x="128"/>
        <item x="485"/>
        <item x="117"/>
        <item x="187"/>
        <item x="199"/>
        <item x="181"/>
        <item x="169"/>
        <item x="180"/>
        <item x="175"/>
        <item x="163"/>
        <item x="168"/>
        <item x="185"/>
        <item x="579"/>
        <item x="474"/>
        <item x="567"/>
        <item x="197"/>
        <item x="476"/>
        <item x="193"/>
        <item x="205"/>
        <item x="178"/>
        <item x="201"/>
        <item x="189"/>
        <item x="166"/>
        <item x="564"/>
        <item x="576"/>
        <item x="173"/>
        <item x="161"/>
        <item x="174"/>
        <item x="162"/>
        <item x="172"/>
        <item x="393"/>
        <item x="160"/>
        <item x="381"/>
        <item x="95"/>
        <item x="179"/>
        <item x="176"/>
        <item x="167"/>
        <item x="83"/>
        <item x="164"/>
        <item x="458"/>
        <item x="470"/>
        <item x="130"/>
        <item x="119"/>
        <item x="177"/>
        <item x="165"/>
        <item x="131"/>
        <item x="120"/>
        <item x="446"/>
        <item x="440"/>
        <item x="127"/>
        <item x="129"/>
        <item x="116"/>
        <item x="394"/>
        <item x="118"/>
        <item x="382"/>
        <item x="97"/>
        <item x="85"/>
        <item x="96"/>
        <item x="84"/>
        <item x="273"/>
        <item x="261"/>
        <item x="384"/>
        <item x="396"/>
        <item x="267"/>
        <item x="255"/>
        <item x="264"/>
        <item x="272"/>
        <item x="252"/>
        <item x="395"/>
        <item x="265"/>
        <item x="383"/>
        <item x="266"/>
        <item x="268"/>
        <item x="253"/>
        <item x="254"/>
        <item x="260"/>
        <item x="256"/>
        <item x="454"/>
        <item x="258"/>
        <item x="269"/>
        <item x="270"/>
        <item x="274"/>
        <item x="455"/>
        <item x="126"/>
        <item x="466"/>
        <item x="115"/>
        <item x="229"/>
        <item x="241"/>
        <item x="257"/>
        <item x="467"/>
        <item x="452"/>
        <item x="262"/>
        <item x="464"/>
        <item x="453"/>
        <item x="235"/>
        <item x="247"/>
        <item x="465"/>
        <item x="459"/>
        <item x="456"/>
        <item x="468"/>
        <item x="240"/>
        <item x="228"/>
        <item x="462"/>
        <item x="471"/>
        <item x="450"/>
        <item x="271"/>
        <item x="460"/>
        <item x="259"/>
        <item x="472"/>
        <item x="457"/>
        <item x="469"/>
        <item x="122"/>
        <item x="110"/>
        <item x="275"/>
        <item x="451"/>
        <item x="463"/>
        <item x="263"/>
        <item x="232"/>
        <item x="244"/>
        <item x="246"/>
        <item x="234"/>
        <item x="449"/>
        <item x="125"/>
        <item x="114"/>
        <item x="231"/>
        <item x="243"/>
        <item x="461"/>
        <item x="250"/>
        <item x="238"/>
        <item x="251"/>
        <item x="239"/>
        <item x="242"/>
        <item x="230"/>
        <item x="249"/>
        <item x="237"/>
        <item x="233"/>
        <item x="245"/>
        <item x="236"/>
        <item x="248"/>
        <item x="123"/>
        <item x="111"/>
        <item x="448"/>
        <item x="442"/>
        <item x="124"/>
        <item x="113"/>
        <item x="447"/>
        <item x="441"/>
        <item x="12"/>
        <item x="0"/>
        <item x="15"/>
        <item x="3"/>
        <item x="14"/>
        <item x="2"/>
        <item x="19"/>
        <item x="7"/>
        <item x="16"/>
        <item x="18"/>
        <item x="4"/>
        <item x="6"/>
        <item x="13"/>
        <item x="20"/>
        <item x="1"/>
        <item x="8"/>
        <item x="21"/>
        <item x="9"/>
        <item x="23"/>
        <item x="17"/>
        <item x="11"/>
        <item x="5"/>
        <item x="22"/>
        <item x="10"/>
        <item x="112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求和项:合计" fld="7" baseField="0" baseItem="0"/>
  </dataFields>
  <formats count="1">
    <format dxfId="52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9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1034:L1050" firstHeaderRow="1" firstDataRow="1" firstDataCol="1"/>
  <pivotFields count="8">
    <pivotField compact="0" showAll="0">
      <items count="14">
        <item x="10"/>
        <item x="11"/>
        <item x="7"/>
        <item x="12"/>
        <item x="0"/>
        <item x="3"/>
        <item x="1"/>
        <item x="2"/>
        <item x="9"/>
        <item x="4"/>
        <item x="8"/>
        <item x="5"/>
        <item x="6"/>
        <item t="default"/>
      </items>
    </pivotField>
    <pivotField compact="0" showAll="0"/>
    <pivotField axis="axisRow" compact="0" showAll="0">
      <items count="16">
        <item x="8"/>
        <item x="5"/>
        <item x="3"/>
        <item x="14"/>
        <item x="2"/>
        <item x="13"/>
        <item x="1"/>
        <item x="0"/>
        <item x="9"/>
        <item x="12"/>
        <item x="6"/>
        <item x="11"/>
        <item x="4"/>
        <item x="10"/>
        <item x="7"/>
        <item t="default"/>
      </items>
    </pivotField>
    <pivotField compact="0" showAll="0"/>
    <pivotField compact="0" showAll="0"/>
    <pivotField compact="0" showAll="0"/>
    <pivotField compact="0" showAll="0"/>
    <pivotField dataField="1" compact="0" numFmtId="176" showAll="0">
      <items count="763">
        <item x="675"/>
        <item x="663"/>
        <item x="547"/>
        <item x="552"/>
        <item x="366"/>
        <item x="554"/>
        <item x="461"/>
        <item x="464"/>
        <item x="594"/>
        <item x="161"/>
        <item x="221"/>
        <item x="717"/>
        <item x="125"/>
        <item x="84"/>
        <item x="132"/>
        <item x="311"/>
        <item x="310"/>
        <item x="309"/>
        <item x="134"/>
        <item x="127"/>
        <item x="158"/>
        <item x="159"/>
        <item x="308"/>
        <item x="716"/>
        <item x="713"/>
        <item x="715"/>
        <item x="135"/>
        <item x="128"/>
        <item x="211"/>
        <item x="527"/>
        <item x="526"/>
        <item x="621"/>
        <item x="514"/>
        <item x="515"/>
        <item x="522"/>
        <item x="147"/>
        <item x="388"/>
        <item x="148"/>
        <item x="510"/>
        <item x="528"/>
        <item x="714"/>
        <item x="131"/>
        <item x="516"/>
        <item x="145"/>
        <item x="146"/>
        <item x="124"/>
        <item x="130"/>
        <item x="123"/>
        <item x="141"/>
        <item x="140"/>
        <item x="144"/>
        <item x="143"/>
        <item x="521"/>
        <item x="139"/>
        <item x="137"/>
        <item x="509"/>
        <item x="142"/>
        <item x="138"/>
        <item x="133"/>
        <item x="126"/>
        <item x="307"/>
        <item x="596"/>
        <item x="391"/>
        <item x="390"/>
        <item x="587"/>
        <item x="306"/>
        <item x="400"/>
        <item x="539"/>
        <item x="405"/>
        <item x="512"/>
        <item x="524"/>
        <item x="549"/>
        <item x="513"/>
        <item x="525"/>
        <item x="160"/>
        <item x="523"/>
        <item x="511"/>
        <item x="389"/>
        <item x="220"/>
        <item x="387"/>
        <item x="229"/>
        <item x="585"/>
        <item x="548"/>
        <item x="219"/>
        <item x="540"/>
        <item x="541"/>
        <item x="529"/>
        <item x="711"/>
        <item x="708"/>
        <item x="537"/>
        <item x="530"/>
        <item x="216"/>
        <item x="542"/>
        <item x="538"/>
        <item x="536"/>
        <item x="543"/>
        <item x="531"/>
        <item x="303"/>
        <item x="218"/>
        <item x="517"/>
        <item x="518"/>
        <item x="217"/>
        <item x="302"/>
        <item x="314"/>
        <item x="312"/>
        <item x="544"/>
        <item x="519"/>
        <item x="228"/>
        <item x="733"/>
        <item x="533"/>
        <item x="535"/>
        <item x="534"/>
        <item x="79"/>
        <item x="739"/>
        <item x="712"/>
        <item x="709"/>
        <item x="710"/>
        <item x="707"/>
        <item x="313"/>
        <item x="300"/>
        <item x="156"/>
        <item x="94"/>
        <item x="157"/>
        <item x="550"/>
        <item x="222"/>
        <item x="462"/>
        <item x="223"/>
        <item x="297"/>
        <item x="305"/>
        <item x="295"/>
        <item x="298"/>
        <item x="702"/>
        <item x="690"/>
        <item x="383"/>
        <item x="294"/>
        <item x="304"/>
        <item x="296"/>
        <item x="376"/>
        <item x="545"/>
        <item x="301"/>
        <item x="299"/>
        <item x="375"/>
        <item x="404"/>
        <item x="233"/>
        <item x="402"/>
        <item x="401"/>
        <item x="63"/>
        <item x="149"/>
        <item x="380"/>
        <item x="403"/>
        <item x="737"/>
        <item x="86"/>
        <item x="379"/>
        <item x="381"/>
        <item x="727"/>
        <item x="482"/>
        <item x="285"/>
        <item x="738"/>
        <item x="153"/>
        <item x="742"/>
        <item x="382"/>
        <item x="83"/>
        <item x="284"/>
        <item x="136"/>
        <item x="129"/>
        <item x="726"/>
        <item x="155"/>
        <item x="61"/>
        <item x="66"/>
        <item x="71"/>
        <item x="215"/>
        <item x="151"/>
        <item x="210"/>
        <item x="230"/>
        <item x="740"/>
        <item x="227"/>
        <item x="731"/>
        <item x="378"/>
        <item x="98"/>
        <item x="364"/>
        <item x="386"/>
        <item x="232"/>
        <item x="154"/>
        <item x="734"/>
        <item x="95"/>
        <item x="80"/>
        <item x="384"/>
        <item x="377"/>
        <item x="700"/>
        <item x="670"/>
        <item x="152"/>
        <item x="698"/>
        <item x="49"/>
        <item x="64"/>
        <item x="88"/>
        <item x="85"/>
        <item x="479"/>
        <item x="480"/>
        <item x="73"/>
        <item x="701"/>
        <item x="473"/>
        <item x="48"/>
        <item x="59"/>
        <item x="699"/>
        <item x="69"/>
        <item x="658"/>
        <item x="374"/>
        <item x="67"/>
        <item x="62"/>
        <item x="686"/>
        <item x="689"/>
        <item x="51"/>
        <item x="688"/>
        <item x="286"/>
        <item x="52"/>
        <item x="655"/>
        <item x="696"/>
        <item x="150"/>
        <item x="82"/>
        <item x="703"/>
        <item x="385"/>
        <item x="97"/>
        <item x="691"/>
        <item x="671"/>
        <item x="369"/>
        <item x="483"/>
        <item x="373"/>
        <item x="649"/>
        <item x="646"/>
        <item x="60"/>
        <item x="231"/>
        <item x="68"/>
        <item x="282"/>
        <item x="434"/>
        <item x="468"/>
        <item x="622"/>
        <item x="476"/>
        <item x="532"/>
        <item x="477"/>
        <item x="520"/>
        <item x="422"/>
        <item x="449"/>
        <item x="81"/>
        <item x="735"/>
        <item x="687"/>
        <item x="212"/>
        <item x="283"/>
        <item x="96"/>
        <item x="634"/>
        <item x="673"/>
        <item x="437"/>
        <item x="684"/>
        <item x="588"/>
        <item x="654"/>
        <item x="475"/>
        <item x="399"/>
        <item x="433"/>
        <item x="659"/>
        <item x="553"/>
        <item x="440"/>
        <item x="579"/>
        <item x="421"/>
        <item x="57"/>
        <item x="288"/>
        <item x="637"/>
        <item x="657"/>
        <item x="65"/>
        <item x="661"/>
        <item x="546"/>
        <item x="653"/>
        <item x="478"/>
        <item x="467"/>
        <item x="650"/>
        <item x="87"/>
        <item x="24"/>
        <item x="648"/>
        <item x="224"/>
        <item x="450"/>
        <item x="551"/>
        <item x="470"/>
        <item x="371"/>
        <item x="226"/>
        <item x="730"/>
        <item x="214"/>
        <item x="36"/>
        <item x="589"/>
        <item x="55"/>
        <item x="652"/>
        <item x="452"/>
        <item x="469"/>
        <item x="679"/>
        <item x="72"/>
        <item x="37"/>
        <item x="580"/>
        <item x="435"/>
        <item x="438"/>
        <item x="372"/>
        <item x="25"/>
        <item x="56"/>
        <item x="432"/>
        <item x="647"/>
        <item x="728"/>
        <item x="423"/>
        <item x="420"/>
        <item x="45"/>
        <item x="431"/>
        <item x="419"/>
        <item x="677"/>
        <item x="676"/>
        <item x="656"/>
        <item x="28"/>
        <item x="667"/>
        <item x="694"/>
        <item x="672"/>
        <item x="664"/>
        <item x="474"/>
        <item x="665"/>
        <item x="463"/>
        <item x="33"/>
        <item x="643"/>
        <item x="291"/>
        <item x="179"/>
        <item x="481"/>
        <item x="54"/>
        <item x="363"/>
        <item x="167"/>
        <item x="40"/>
        <item x="660"/>
        <item x="27"/>
        <item x="430"/>
        <item x="651"/>
        <item x="631"/>
        <item x="418"/>
        <item x="682"/>
        <item x="593"/>
        <item x="472"/>
        <item x="429"/>
        <item x="465"/>
        <item x="89"/>
        <item x="592"/>
        <item x="417"/>
        <item x="584"/>
        <item x="39"/>
        <item x="583"/>
        <item x="292"/>
        <item x="484"/>
        <item x="367"/>
        <item x="287"/>
        <item x="755"/>
        <item x="743"/>
        <item x="208"/>
        <item x="196"/>
        <item x="678"/>
        <item x="74"/>
        <item x="466"/>
        <item x="641"/>
        <item x="439"/>
        <item x="428"/>
        <item x="666"/>
        <item x="640"/>
        <item x="416"/>
        <item x="645"/>
        <item x="213"/>
        <item x="225"/>
        <item x="471"/>
        <item x="629"/>
        <item x="744"/>
        <item x="669"/>
        <item x="578"/>
        <item x="729"/>
        <item x="591"/>
        <item x="566"/>
        <item x="697"/>
        <item x="50"/>
        <item x="32"/>
        <item x="680"/>
        <item x="582"/>
        <item x="745"/>
        <item x="445"/>
        <item x="427"/>
        <item x="289"/>
        <item x="415"/>
        <item x="180"/>
        <item x="168"/>
        <item x="685"/>
        <item x="209"/>
        <item x="706"/>
        <item x="444"/>
        <item x="668"/>
        <item x="206"/>
        <item x="193"/>
        <item x="205"/>
        <item x="194"/>
        <item x="44"/>
        <item x="197"/>
        <item x="31"/>
        <item x="451"/>
        <item x="457"/>
        <item x="628"/>
        <item x="426"/>
        <item x="414"/>
        <item x="638"/>
        <item x="207"/>
        <item x="30"/>
        <item x="633"/>
        <item x="195"/>
        <item x="187"/>
        <item x="199"/>
        <item x="43"/>
        <item x="456"/>
        <item x="642"/>
        <item x="625"/>
        <item x="695"/>
        <item x="721"/>
        <item x="681"/>
        <item x="719"/>
        <item x="204"/>
        <item x="441"/>
        <item x="192"/>
        <item x="732"/>
        <item x="590"/>
        <item x="200"/>
        <item x="78"/>
        <item x="203"/>
        <item x="188"/>
        <item x="93"/>
        <item x="446"/>
        <item x="191"/>
        <item x="623"/>
        <item x="202"/>
        <item x="190"/>
        <item x="91"/>
        <item x="425"/>
        <item x="90"/>
        <item x="581"/>
        <item x="413"/>
        <item x="47"/>
        <item x="436"/>
        <item x="293"/>
        <item x="408"/>
        <item x="76"/>
        <item x="424"/>
        <item x="290"/>
        <item x="26"/>
        <item x="595"/>
        <item x="636"/>
        <item x="394"/>
        <item x="412"/>
        <item x="683"/>
        <item x="42"/>
        <item x="458"/>
        <item x="586"/>
        <item x="406"/>
        <item x="398"/>
        <item x="75"/>
        <item x="201"/>
        <item x="189"/>
        <item x="626"/>
        <item x="35"/>
        <item x="178"/>
        <item x="166"/>
        <item x="186"/>
        <item x="58"/>
        <item x="632"/>
        <item x="92"/>
        <item x="453"/>
        <item x="630"/>
        <item x="77"/>
        <item x="198"/>
        <item x="392"/>
        <item x="38"/>
        <item x="639"/>
        <item x="644"/>
        <item x="705"/>
        <item x="443"/>
        <item x="704"/>
        <item x="177"/>
        <item x="442"/>
        <item x="165"/>
        <item x="368"/>
        <item x="635"/>
        <item x="692"/>
        <item x="53"/>
        <item x="447"/>
        <item x="455"/>
        <item x="181"/>
        <item x="169"/>
        <item x="627"/>
        <item x="407"/>
        <item x="409"/>
        <item x="448"/>
        <item x="70"/>
        <item x="393"/>
        <item x="395"/>
        <item x="624"/>
        <item x="454"/>
        <item x="693"/>
        <item x="459"/>
        <item x="460"/>
        <item x="565"/>
        <item x="577"/>
        <item x="34"/>
        <item x="259"/>
        <item x="254"/>
        <item x="242"/>
        <item x="251"/>
        <item x="756"/>
        <item x="746"/>
        <item x="239"/>
        <item x="271"/>
        <item x="410"/>
        <item x="29"/>
        <item x="244"/>
        <item x="256"/>
        <item x="396"/>
        <item x="116"/>
        <item x="182"/>
        <item x="370"/>
        <item x="46"/>
        <item x="104"/>
        <item x="120"/>
        <item x="170"/>
        <item x="674"/>
        <item x="662"/>
        <item x="365"/>
        <item x="108"/>
        <item x="121"/>
        <item x="576"/>
        <item x="119"/>
        <item x="564"/>
        <item x="122"/>
        <item x="260"/>
        <item x="272"/>
        <item x="110"/>
        <item x="109"/>
        <item x="107"/>
        <item x="255"/>
        <item x="118"/>
        <item x="243"/>
        <item x="250"/>
        <item x="238"/>
        <item x="106"/>
        <item x="117"/>
        <item x="724"/>
        <item x="722"/>
        <item x="41"/>
        <item x="105"/>
        <item x="248"/>
        <item x="236"/>
        <item x="249"/>
        <item x="720"/>
        <item x="237"/>
        <item x="718"/>
        <item x="174"/>
        <item x="162"/>
        <item x="252"/>
        <item x="725"/>
        <item x="723"/>
        <item x="175"/>
        <item x="163"/>
        <item x="240"/>
        <item x="736"/>
        <item x="741"/>
        <item x="411"/>
        <item x="397"/>
        <item x="270"/>
        <item x="258"/>
        <item x="253"/>
        <item x="609"/>
        <item x="241"/>
        <item x="597"/>
        <item x="257"/>
        <item x="245"/>
        <item x="261"/>
        <item x="273"/>
        <item x="747"/>
        <item x="176"/>
        <item x="164"/>
        <item x="247"/>
        <item x="235"/>
        <item x="246"/>
        <item x="234"/>
        <item x="568"/>
        <item x="556"/>
        <item x="262"/>
        <item x="274"/>
        <item x="599"/>
        <item x="749"/>
        <item x="759"/>
        <item x="752"/>
        <item x="600"/>
        <item x="611"/>
        <item x="573"/>
        <item x="561"/>
        <item x="612"/>
        <item x="598"/>
        <item x="267"/>
        <item x="610"/>
        <item x="279"/>
        <item x="619"/>
        <item x="575"/>
        <item x="563"/>
        <item x="115"/>
        <item x="748"/>
        <item x="607"/>
        <item x="112"/>
        <item x="103"/>
        <item x="100"/>
        <item x="111"/>
        <item x="606"/>
        <item x="618"/>
        <item x="99"/>
        <item x="574"/>
        <item x="562"/>
        <item x="263"/>
        <item x="497"/>
        <item x="264"/>
        <item x="485"/>
        <item x="276"/>
        <item x="275"/>
        <item x="113"/>
        <item x="498"/>
        <item x="101"/>
        <item x="486"/>
        <item x="499"/>
        <item x="487"/>
        <item x="114"/>
        <item x="102"/>
        <item x="617"/>
        <item x="605"/>
        <item x="569"/>
        <item x="557"/>
        <item x="601"/>
        <item x="572"/>
        <item x="560"/>
        <item x="501"/>
        <item x="489"/>
        <item x="613"/>
        <item x="500"/>
        <item x="488"/>
        <item x="757"/>
        <item x="750"/>
        <item x="602"/>
        <item x="268"/>
        <item x="760"/>
        <item x="753"/>
        <item x="280"/>
        <item x="614"/>
        <item x="351"/>
        <item x="758"/>
        <item x="751"/>
        <item x="330"/>
        <item x="352"/>
        <item x="318"/>
        <item x="339"/>
        <item x="185"/>
        <item x="571"/>
        <item x="559"/>
        <item x="173"/>
        <item x="608"/>
        <item x="620"/>
        <item x="265"/>
        <item x="277"/>
        <item x="340"/>
        <item x="570"/>
        <item x="558"/>
        <item x="328"/>
        <item x="316"/>
        <item x="183"/>
        <item x="171"/>
        <item x="502"/>
        <item x="567"/>
        <item x="555"/>
        <item x="490"/>
        <item x="495"/>
        <item x="603"/>
        <item x="615"/>
        <item x="507"/>
        <item x="331"/>
        <item x="319"/>
        <item x="266"/>
        <item x="604"/>
        <item x="616"/>
        <item x="278"/>
        <item x="506"/>
        <item x="761"/>
        <item x="754"/>
        <item x="494"/>
        <item x="269"/>
        <item x="341"/>
        <item x="353"/>
        <item x="281"/>
        <item x="508"/>
        <item x="496"/>
        <item x="503"/>
        <item x="354"/>
        <item x="342"/>
        <item x="491"/>
        <item x="333"/>
        <item x="321"/>
        <item x="329"/>
        <item x="338"/>
        <item x="505"/>
        <item x="493"/>
        <item x="317"/>
        <item x="326"/>
        <item x="334"/>
        <item x="322"/>
        <item x="332"/>
        <item x="320"/>
        <item x="504"/>
        <item x="492"/>
        <item x="315"/>
        <item x="327"/>
        <item x="336"/>
        <item x="324"/>
        <item x="355"/>
        <item x="335"/>
        <item x="343"/>
        <item x="323"/>
        <item x="337"/>
        <item x="345"/>
        <item x="184"/>
        <item x="357"/>
        <item x="172"/>
        <item x="325"/>
        <item x="348"/>
        <item x="360"/>
        <item x="358"/>
        <item x="346"/>
        <item x="356"/>
        <item x="344"/>
        <item x="361"/>
        <item x="349"/>
        <item x="359"/>
        <item x="347"/>
        <item x="362"/>
        <item x="350"/>
        <item x="23"/>
        <item x="11"/>
        <item x="21"/>
        <item x="9"/>
        <item x="12"/>
        <item x="0"/>
        <item x="13"/>
        <item x="1"/>
        <item x="20"/>
        <item x="8"/>
        <item x="22"/>
        <item x="10"/>
        <item x="15"/>
        <item x="3"/>
        <item x="14"/>
        <item x="2"/>
        <item x="16"/>
        <item x="4"/>
        <item x="17"/>
        <item x="5"/>
        <item x="18"/>
        <item x="6"/>
        <item x="19"/>
        <item x="7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求和项:合计" fld="7" baseField="0" baseItem="0"/>
  </dataFields>
  <formats count="1">
    <format dxfId="52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ivotTable" Target="../pivotTables/pivotTable10.xml"/><Relationship Id="rId1" Type="http://schemas.openxmlformats.org/officeDocument/2006/relationships/comments" Target="../comments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64" sqref="D64"/>
    </sheetView>
  </sheetViews>
  <sheetFormatPr defaultColWidth="8.89166666666667" defaultRowHeight="13.5" outlineLevelRow="3" outlineLevelCol="1"/>
  <cols>
    <col min="1" max="1" width="15.225" customWidth="1"/>
    <col min="2" max="2" width="9.6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1">
      <c r="A3" t="s">
        <v>4</v>
      </c>
    </row>
    <row r="4" spans="1:1">
      <c r="A4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D64" sqref="D64"/>
    </sheetView>
  </sheetViews>
  <sheetFormatPr defaultColWidth="8.89166666666667" defaultRowHeight="13.5"/>
  <sheetData>
    <row r="1" spans="1:1">
      <c r="A1" t="s">
        <v>6</v>
      </c>
    </row>
    <row r="2" spans="1:2">
      <c r="A2" t="s">
        <v>7</v>
      </c>
      <c r="B2" t="s">
        <v>8</v>
      </c>
    </row>
    <row r="3" spans="2:2">
      <c r="B3" t="s">
        <v>9</v>
      </c>
    </row>
    <row r="5" spans="1:15">
      <c r="A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14</v>
      </c>
      <c r="O5" t="s">
        <v>15</v>
      </c>
    </row>
    <row r="6" spans="10:10">
      <c r="J6" s="751">
        <v>43831</v>
      </c>
    </row>
    <row r="7" spans="10:10">
      <c r="J7" s="751">
        <v>43862</v>
      </c>
    </row>
    <row r="8" spans="10:10">
      <c r="J8" s="751">
        <v>43891</v>
      </c>
    </row>
    <row r="9" spans="10:10">
      <c r="J9" s="751">
        <v>43922</v>
      </c>
    </row>
    <row r="10" spans="10:10">
      <c r="J10" s="751">
        <v>43952</v>
      </c>
    </row>
    <row r="11" spans="10:10">
      <c r="J11" s="751">
        <v>43983</v>
      </c>
    </row>
    <row r="12" spans="10:10">
      <c r="J12" s="751">
        <v>44013</v>
      </c>
    </row>
    <row r="13" spans="10:10">
      <c r="J13" s="751">
        <v>44044</v>
      </c>
    </row>
    <row r="14" spans="10:10">
      <c r="J14" s="751">
        <v>44075</v>
      </c>
    </row>
    <row r="15" spans="10:10">
      <c r="J15" s="751">
        <v>44105</v>
      </c>
    </row>
    <row r="16" spans="10:10">
      <c r="J16" s="751">
        <v>44136</v>
      </c>
    </row>
    <row r="17" spans="10:10">
      <c r="J17" s="751">
        <v>44166</v>
      </c>
    </row>
    <row r="18" spans="10:10">
      <c r="J18" s="751">
        <v>44197</v>
      </c>
    </row>
    <row r="19" spans="10:10">
      <c r="J19" s="751">
        <v>44228</v>
      </c>
    </row>
    <row r="20" spans="10:10">
      <c r="J20" s="751">
        <v>44256</v>
      </c>
    </row>
    <row r="21" spans="10:10">
      <c r="J21" s="751">
        <v>44287</v>
      </c>
    </row>
    <row r="22" spans="10:10">
      <c r="J22" s="751">
        <v>44317</v>
      </c>
    </row>
    <row r="23" spans="10:10">
      <c r="J23" s="751">
        <v>44348</v>
      </c>
    </row>
    <row r="24" spans="1:10">
      <c r="A24" t="s">
        <v>16</v>
      </c>
      <c r="J24" s="751">
        <v>44378</v>
      </c>
    </row>
    <row r="25" spans="10:10">
      <c r="J25" s="751">
        <v>44409</v>
      </c>
    </row>
    <row r="26" spans="10:10">
      <c r="J26" s="751">
        <v>44440</v>
      </c>
    </row>
    <row r="27" spans="10:10">
      <c r="J27" s="751">
        <v>44470</v>
      </c>
    </row>
    <row r="28" spans="10:10">
      <c r="J28" s="751">
        <v>44501</v>
      </c>
    </row>
    <row r="29" spans="10:10">
      <c r="J29" s="751">
        <v>44531</v>
      </c>
    </row>
    <row r="30" spans="10:10">
      <c r="J30" s="751">
        <v>44562</v>
      </c>
    </row>
    <row r="31" spans="10:10">
      <c r="J31" s="751">
        <v>44593</v>
      </c>
    </row>
    <row r="32" spans="10:10">
      <c r="J32" s="751">
        <v>44621</v>
      </c>
    </row>
    <row r="33" spans="10:10">
      <c r="J33" s="751">
        <v>44652</v>
      </c>
    </row>
    <row r="34" spans="10:10">
      <c r="J34" s="751">
        <v>44682</v>
      </c>
    </row>
    <row r="35" spans="10:10">
      <c r="J35" s="751">
        <v>44713</v>
      </c>
    </row>
    <row r="36" spans="10:10">
      <c r="J36" s="751">
        <v>44743</v>
      </c>
    </row>
    <row r="37" spans="10:10">
      <c r="J37" s="751">
        <v>44774</v>
      </c>
    </row>
    <row r="38" spans="10:10">
      <c r="J38" s="751">
        <v>44805</v>
      </c>
    </row>
    <row r="39" spans="10:10">
      <c r="J39" s="751">
        <v>44835</v>
      </c>
    </row>
    <row r="40" spans="10:10">
      <c r="J40" s="751">
        <v>44866</v>
      </c>
    </row>
    <row r="43" spans="1:1">
      <c r="A43" t="s">
        <v>17</v>
      </c>
    </row>
    <row r="44" spans="1:2">
      <c r="A44" t="s">
        <v>18</v>
      </c>
      <c r="B44" t="s">
        <v>19</v>
      </c>
    </row>
    <row r="45" spans="1:2">
      <c r="A45" t="s">
        <v>20</v>
      </c>
      <c r="B45" t="s">
        <v>21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D64" sqref="D64"/>
    </sheetView>
  </sheetViews>
  <sheetFormatPr defaultColWidth="8.89166666666667" defaultRowHeight="13.5" outlineLevelCol="3"/>
  <cols>
    <col min="1" max="1" width="13" customWidth="1"/>
    <col min="2" max="2" width="11.3333333333333" customWidth="1"/>
    <col min="3" max="3" width="25.6666666666667" customWidth="1"/>
    <col min="4" max="4" width="29.8916666666667" customWidth="1"/>
  </cols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2:4">
      <c r="B2" t="s">
        <v>26</v>
      </c>
      <c r="C2" t="s">
        <v>27</v>
      </c>
      <c r="D2" t="s">
        <v>28</v>
      </c>
    </row>
    <row r="3" spans="2:4">
      <c r="B3" t="s">
        <v>29</v>
      </c>
      <c r="D3" t="s">
        <v>28</v>
      </c>
    </row>
    <row r="8" spans="1:2">
      <c r="A8" t="s">
        <v>30</v>
      </c>
      <c r="B8" t="s">
        <v>31</v>
      </c>
    </row>
    <row r="18" spans="1:1">
      <c r="A18" t="s">
        <v>32</v>
      </c>
    </row>
    <row r="25" spans="1:1">
      <c r="A25" t="s">
        <v>33</v>
      </c>
    </row>
    <row r="26" spans="1:1">
      <c r="A26" t="s">
        <v>20</v>
      </c>
    </row>
    <row r="27" spans="1:1">
      <c r="A27" t="s">
        <v>14</v>
      </c>
    </row>
    <row r="30" spans="1:1">
      <c r="A30" t="s">
        <v>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D64" sqref="D64"/>
    </sheetView>
  </sheetViews>
  <sheetFormatPr defaultColWidth="9" defaultRowHeight="12"/>
  <cols>
    <col min="1" max="1" width="17.4416666666667" style="594" customWidth="1"/>
    <col min="2" max="2" width="17.2583333333333" style="719" customWidth="1"/>
    <col min="3" max="3" width="16.3833333333333" style="719" customWidth="1"/>
    <col min="4" max="4" width="14.1333333333333" style="719" customWidth="1"/>
    <col min="5" max="5" width="15" style="719" customWidth="1"/>
    <col min="6" max="6" width="15.3833333333333" style="719" customWidth="1"/>
    <col min="7" max="7" width="20.7583333333333" style="719" customWidth="1"/>
    <col min="8" max="9" width="14.2583333333333" style="719" customWidth="1"/>
    <col min="10" max="16384" width="9" style="594"/>
  </cols>
  <sheetData>
    <row r="1" ht="24" customHeight="1" spans="1:9">
      <c r="A1" s="720" t="s">
        <v>35</v>
      </c>
      <c r="B1" s="720"/>
      <c r="C1" s="720"/>
      <c r="D1" s="720"/>
      <c r="E1" s="720"/>
      <c r="F1" s="721"/>
      <c r="G1" s="721"/>
      <c r="H1" s="594"/>
      <c r="I1" s="594"/>
    </row>
    <row r="2" ht="15.9" customHeight="1" spans="1:9">
      <c r="A2" s="722" t="s">
        <v>36</v>
      </c>
      <c r="B2" s="722"/>
      <c r="C2" s="722"/>
      <c r="D2" s="722"/>
      <c r="E2" s="722"/>
      <c r="F2" s="334"/>
      <c r="G2" s="334"/>
      <c r="H2" s="594"/>
      <c r="I2" s="594"/>
    </row>
    <row r="3" ht="24" customHeight="1" spans="1:9">
      <c r="A3" s="723" t="s">
        <v>37</v>
      </c>
      <c r="B3" s="724" t="s">
        <v>38</v>
      </c>
      <c r="C3" s="724" t="s">
        <v>39</v>
      </c>
      <c r="D3" s="725" t="s">
        <v>40</v>
      </c>
      <c r="E3" s="726" t="s">
        <v>41</v>
      </c>
      <c r="F3" s="727"/>
      <c r="G3" s="594"/>
      <c r="H3" s="594"/>
      <c r="I3" s="594"/>
    </row>
    <row r="4" ht="18" customHeight="1" spans="1:9">
      <c r="A4" s="723"/>
      <c r="B4" s="724"/>
      <c r="C4" s="724"/>
      <c r="D4" s="728"/>
      <c r="E4" s="729" t="s">
        <v>42</v>
      </c>
      <c r="F4" s="730" t="s">
        <v>43</v>
      </c>
      <c r="G4" s="594"/>
      <c r="H4" s="594"/>
      <c r="I4" s="594"/>
    </row>
    <row r="5" ht="26.1" customHeight="1" spans="1:9">
      <c r="A5" s="731" t="s">
        <v>44</v>
      </c>
      <c r="B5" s="732">
        <f>'GMV表-商品大类'!T35</f>
        <v>722480.285244721</v>
      </c>
      <c r="C5" s="732">
        <f>'GMV表-商品大类'!T23</f>
        <v>997949.57925</v>
      </c>
      <c r="D5" s="733">
        <f>'GMV表-商品大类'!T11</f>
        <v>753470.03126962</v>
      </c>
      <c r="E5" s="734">
        <f>B5-C5</f>
        <v>-275469.294005279</v>
      </c>
      <c r="F5" s="735">
        <f>E5/C5</f>
        <v>-0.276035282476201</v>
      </c>
      <c r="G5" s="594"/>
      <c r="I5" s="594"/>
    </row>
    <row r="6" ht="26.1" customHeight="1" spans="1:9">
      <c r="A6" s="731" t="s">
        <v>45</v>
      </c>
      <c r="B6" s="732">
        <f>SUM('毛利-收入组成'!AH27:AH32)</f>
        <v>17052.4032780401</v>
      </c>
      <c r="C6" s="732">
        <f>SUM('毛利-收入组成'!AH15:AH20)</f>
        <v>21665.3265800601</v>
      </c>
      <c r="D6" s="733">
        <f>SUM('毛利-收入组成'!AH3:AH8)</f>
        <v>17359.5631117804</v>
      </c>
      <c r="E6" s="734">
        <f>B6-C6</f>
        <v>-4612.92330201996</v>
      </c>
      <c r="F6" s="735">
        <f>E6/C6</f>
        <v>-0.212917321369414</v>
      </c>
      <c r="I6" s="594"/>
    </row>
    <row r="7" ht="26.1" customHeight="1" spans="1:9">
      <c r="A7" s="731" t="s">
        <v>46</v>
      </c>
      <c r="B7" s="732" t="e">
        <f>'[9]财务报表--EAS（原表）'!$S$53/10000+投资公司!C19</f>
        <v>#REF!</v>
      </c>
      <c r="C7" s="732" t="e">
        <f>'[9]财务报表--EAS（原表）'!$G$53/10000</f>
        <v>#REF!</v>
      </c>
      <c r="D7" s="733" t="e">
        <f>[8]经营概况整体变化情况!$C$7</f>
        <v>#REF!</v>
      </c>
      <c r="E7" s="734" t="e">
        <f>B7-C7</f>
        <v>#REF!</v>
      </c>
      <c r="F7" s="735" t="e">
        <f>E7/C7</f>
        <v>#REF!</v>
      </c>
      <c r="G7" s="736"/>
      <c r="H7" s="594"/>
      <c r="I7" s="594"/>
    </row>
    <row r="8" ht="26.1" customHeight="1" spans="1:9">
      <c r="A8" s="731" t="s">
        <v>47</v>
      </c>
      <c r="B8" s="732" t="e">
        <f>B7-(-12881461.65/10000)</f>
        <v>#REF!</v>
      </c>
      <c r="C8" s="732" t="e">
        <f>'[9]权责制经营报表-EAS 2206（审计口径）'!$H$48/10000-766.444582</f>
        <v>#REF!</v>
      </c>
      <c r="D8" s="733" t="e">
        <f>[8]经营概况整体变化情况!$C$8</f>
        <v>#REF!</v>
      </c>
      <c r="E8" s="734" t="e">
        <f>B8-C8</f>
        <v>#REF!</v>
      </c>
      <c r="F8" s="735" t="e">
        <f>E8/C8</f>
        <v>#REF!</v>
      </c>
      <c r="G8" s="736" t="s">
        <v>48</v>
      </c>
      <c r="H8" s="594"/>
      <c r="I8" s="594"/>
    </row>
    <row r="9" ht="26.1" customHeight="1" spans="1:9">
      <c r="A9" s="731" t="s">
        <v>49</v>
      </c>
      <c r="B9" s="732" t="e">
        <f>B8+'[9]权责制经营报表-EAS 2206（审计口径）'!$T$53/10000</f>
        <v>#REF!</v>
      </c>
      <c r="C9" s="732" t="e">
        <f>C8+'[9]权责制经营报表-EAS 2206（审计口径）'!$H$53/10000+'[9]权责制经营报表-EAS 2206（审计口径）'!$H$54/10000</f>
        <v>#REF!</v>
      </c>
      <c r="D9" s="733" t="e">
        <f>[8]经营概况整体变化情况!$C$9</f>
        <v>#REF!</v>
      </c>
      <c r="E9" s="734" t="e">
        <f>B9-C9</f>
        <v>#REF!</v>
      </c>
      <c r="F9" s="735" t="e">
        <f>E9/C9</f>
        <v>#REF!</v>
      </c>
      <c r="G9" s="736" t="s">
        <v>50</v>
      </c>
      <c r="H9" s="594"/>
      <c r="I9" s="594"/>
    </row>
    <row r="10" ht="16" customHeight="1" spans="1:9">
      <c r="A10" s="737" t="s">
        <v>51</v>
      </c>
      <c r="B10" s="738">
        <f>B6/B5</f>
        <v>0.0236025862937756</v>
      </c>
      <c r="C10" s="738">
        <f>C6/C5</f>
        <v>0.0217098408882967</v>
      </c>
      <c r="D10" s="738">
        <f>D6/D5</f>
        <v>0.0230394871611934</v>
      </c>
      <c r="E10" s="739"/>
      <c r="F10" s="594"/>
      <c r="G10" s="594"/>
      <c r="H10" s="594"/>
      <c r="I10" s="594"/>
    </row>
    <row r="11" ht="16" customHeight="1" spans="1:9">
      <c r="A11" s="737" t="s">
        <v>52</v>
      </c>
      <c r="B11" s="738" t="e">
        <f>B8*1.06/B6</f>
        <v>#REF!</v>
      </c>
      <c r="C11" s="738" t="e">
        <f>C8*1.06/C6</f>
        <v>#REF!</v>
      </c>
      <c r="D11" s="738" t="e">
        <f>D8*1.06/D6</f>
        <v>#REF!</v>
      </c>
      <c r="E11" s="739"/>
      <c r="F11" s="594"/>
      <c r="G11" s="594"/>
      <c r="H11" s="594"/>
      <c r="I11" s="594"/>
    </row>
    <row r="12" spans="1:9">
      <c r="A12" s="739"/>
      <c r="B12" s="740"/>
      <c r="C12" s="740"/>
      <c r="D12" s="740"/>
      <c r="E12" s="739"/>
      <c r="F12" s="594"/>
      <c r="G12" s="594"/>
      <c r="H12" s="594"/>
      <c r="I12" s="594"/>
    </row>
    <row r="13" spans="2:9">
      <c r="B13" s="719" t="e">
        <f>B8-B9</f>
        <v>#REF!</v>
      </c>
      <c r="C13" s="719" t="e">
        <f>C8-C9</f>
        <v>#REF!</v>
      </c>
      <c r="D13" s="719" t="e">
        <f>E6-[7]成本费用分布!$AA$16</f>
        <v>#REF!</v>
      </c>
      <c r="E13" s="739"/>
      <c r="F13" s="594"/>
      <c r="G13" s="594"/>
      <c r="H13" s="594"/>
      <c r="I13" s="594"/>
    </row>
    <row r="14" spans="5:9">
      <c r="E14" s="739"/>
      <c r="F14" s="594"/>
      <c r="G14" s="619"/>
      <c r="H14" s="594"/>
      <c r="I14" s="594"/>
    </row>
    <row r="15" spans="4:9">
      <c r="D15" s="741"/>
      <c r="E15" s="742"/>
      <c r="F15" s="741"/>
      <c r="G15" s="743"/>
      <c r="H15" s="594"/>
      <c r="I15" s="594"/>
    </row>
    <row r="16" spans="6:7">
      <c r="F16" s="741"/>
      <c r="G16" s="619"/>
    </row>
    <row r="17" ht="16" customHeight="1" spans="1:7">
      <c r="A17" s="594" t="s">
        <v>53</v>
      </c>
      <c r="B17" s="744" t="s">
        <v>54</v>
      </c>
      <c r="F17" s="741"/>
      <c r="G17" s="619"/>
    </row>
    <row r="18" ht="16" customHeight="1" spans="2:2">
      <c r="B18" s="745" t="s">
        <v>55</v>
      </c>
    </row>
    <row r="19" ht="16" customHeight="1" spans="2:2">
      <c r="B19" s="745"/>
    </row>
    <row r="20" ht="16" customHeight="1" spans="2:2">
      <c r="B20" s="745"/>
    </row>
    <row r="21" ht="21" customHeight="1" spans="1:9">
      <c r="A21" s="746" t="s">
        <v>37</v>
      </c>
      <c r="B21" s="746" t="s">
        <v>56</v>
      </c>
      <c r="C21" s="746" t="s">
        <v>57</v>
      </c>
      <c r="D21" s="746" t="s">
        <v>58</v>
      </c>
      <c r="E21" s="594"/>
      <c r="F21" s="594"/>
      <c r="G21" s="594"/>
      <c r="H21" s="594"/>
      <c r="I21" s="594"/>
    </row>
    <row r="22" ht="21" customHeight="1" spans="1:9">
      <c r="A22" s="752" t="s">
        <v>59</v>
      </c>
      <c r="B22" s="748" t="e">
        <f>B7</f>
        <v>#REF!</v>
      </c>
      <c r="C22" s="748" t="e">
        <f>B8</f>
        <v>#REF!</v>
      </c>
      <c r="D22" s="748" t="e">
        <f>B9</f>
        <v>#REF!</v>
      </c>
      <c r="E22" s="594" t="e">
        <f>D22-B9</f>
        <v>#REF!</v>
      </c>
      <c r="F22" s="594"/>
      <c r="G22" s="594"/>
      <c r="H22" s="594"/>
      <c r="I22" s="594"/>
    </row>
    <row r="23" ht="21" customHeight="1" spans="1:9">
      <c r="A23" s="752" t="s">
        <v>60</v>
      </c>
      <c r="B23" s="748" t="e">
        <f>C7</f>
        <v>#REF!</v>
      </c>
      <c r="C23" s="748" t="e">
        <f>C8</f>
        <v>#REF!</v>
      </c>
      <c r="D23" s="748" t="e">
        <f>C9</f>
        <v>#REF!</v>
      </c>
      <c r="E23" s="594"/>
      <c r="F23" s="594"/>
      <c r="G23" s="594"/>
      <c r="H23" s="594"/>
      <c r="I23" s="594"/>
    </row>
    <row r="24" ht="21" customHeight="1" spans="1:9">
      <c r="A24" s="749" t="s">
        <v>61</v>
      </c>
      <c r="B24" s="748" t="e">
        <f>B22-B23</f>
        <v>#REF!</v>
      </c>
      <c r="C24" s="748" t="e">
        <f>C22-C23</f>
        <v>#REF!</v>
      </c>
      <c r="D24" s="748" t="e">
        <f>D22-D23</f>
        <v>#REF!</v>
      </c>
      <c r="E24" s="594"/>
      <c r="F24" s="594"/>
      <c r="G24" s="594"/>
      <c r="H24" s="594"/>
      <c r="I24" s="594"/>
    </row>
    <row r="25" ht="21" customHeight="1" spans="1:9">
      <c r="A25" s="749" t="s">
        <v>62</v>
      </c>
      <c r="B25" s="750" t="e">
        <f>B24/B23</f>
        <v>#REF!</v>
      </c>
      <c r="C25" s="750" t="e">
        <f>C24/C23</f>
        <v>#REF!</v>
      </c>
      <c r="D25" s="750" t="e">
        <f>D24/D23</f>
        <v>#REF!</v>
      </c>
      <c r="E25" s="594"/>
      <c r="F25" s="594"/>
      <c r="G25" s="594"/>
      <c r="H25" s="594"/>
      <c r="I25" s="594"/>
    </row>
    <row r="26" ht="17" customHeight="1" spans="8:9">
      <c r="H26" s="594"/>
      <c r="I26" s="594"/>
    </row>
  </sheetData>
  <mergeCells count="7">
    <mergeCell ref="A1:E1"/>
    <mergeCell ref="A2:E2"/>
    <mergeCell ref="E3:F3"/>
    <mergeCell ref="A3:A4"/>
    <mergeCell ref="B3:B4"/>
    <mergeCell ref="C3:C4"/>
    <mergeCell ref="D3:D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1" sqref="G3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2"/>
  <sheetViews>
    <sheetView tabSelected="1" workbookViewId="0">
      <pane ySplit="2" topLeftCell="A51" activePane="bottomLeft" state="frozen"/>
      <selection/>
      <selection pane="bottomLeft" activeCell="T100" sqref="T100"/>
    </sheetView>
  </sheetViews>
  <sheetFormatPr defaultColWidth="9" defaultRowHeight="13.5"/>
  <cols>
    <col min="1" max="1" width="11.6333333333333" style="629" customWidth="1"/>
    <col min="2" max="2" width="11.375" style="257" customWidth="1"/>
    <col min="3" max="3" width="9.88333333333333" style="257" customWidth="1"/>
    <col min="4" max="4" width="10.875" style="257" customWidth="1"/>
    <col min="5" max="5" width="9.125" style="425" customWidth="1"/>
    <col min="6" max="6" width="8.5" style="629" customWidth="1"/>
    <col min="7" max="7" width="10.375" style="257" customWidth="1"/>
    <col min="8" max="8" width="13.5" style="130" customWidth="1"/>
    <col min="9" max="9" width="9" style="257" customWidth="1"/>
    <col min="10" max="11" width="8.5" style="257" customWidth="1"/>
    <col min="12" max="12" width="10" style="257" customWidth="1"/>
    <col min="13" max="13" width="12" style="257" customWidth="1"/>
    <col min="14" max="14" width="9.63333333333333" style="257" customWidth="1"/>
    <col min="15" max="15" width="6.75833333333333" customWidth="1"/>
    <col min="16" max="16" width="9" style="629" customWidth="1"/>
    <col min="17" max="18" width="9" style="257" customWidth="1"/>
    <col min="19" max="19" width="7.75833333333333" style="257" customWidth="1"/>
    <col min="20" max="21" width="6.875" style="257" customWidth="1"/>
    <col min="22" max="22" width="9.625" style="257" customWidth="1"/>
    <col min="23" max="27" width="9" style="257" customWidth="1"/>
    <col min="28" max="28" width="9" customWidth="1"/>
    <col min="29" max="30" width="8.75833333333333" style="1" customWidth="1"/>
    <col min="31" max="31" width="8.75833333333333" style="630" customWidth="1"/>
    <col min="32" max="33" width="9" customWidth="1"/>
    <col min="34" max="34" width="9.25833333333333" style="631" customWidth="1"/>
    <col min="35" max="35" width="8" customWidth="1"/>
    <col min="36" max="36" width="7.5" style="631" customWidth="1"/>
    <col min="37" max="37" width="8" customWidth="1"/>
    <col min="38" max="38" width="9.63333333333333" style="1"/>
    <col min="39" max="39" width="14" style="130" customWidth="1"/>
    <col min="40" max="40" width="13.2583333333333" style="130" customWidth="1"/>
    <col min="41" max="41" width="11.7583333333333" style="130" customWidth="1"/>
    <col min="42" max="44" width="12.6333333333333"/>
    <col min="45" max="45" width="13.7583333333333"/>
  </cols>
  <sheetData>
    <row r="1" s="3" customFormat="1" ht="21" customHeight="1" spans="1:41">
      <c r="A1" s="632" t="s">
        <v>63</v>
      </c>
      <c r="B1" s="624"/>
      <c r="C1" s="624"/>
      <c r="D1" s="624"/>
      <c r="E1" s="425"/>
      <c r="F1" s="632" t="s">
        <v>45</v>
      </c>
      <c r="G1" s="624"/>
      <c r="H1" s="130"/>
      <c r="I1" s="624"/>
      <c r="J1" s="624"/>
      <c r="K1" s="624"/>
      <c r="L1" s="624"/>
      <c r="M1" s="624"/>
      <c r="N1" s="624"/>
      <c r="P1" s="632" t="s">
        <v>64</v>
      </c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3" t="s">
        <v>65</v>
      </c>
      <c r="AC1" s="1"/>
      <c r="AD1" s="1"/>
      <c r="AE1" s="148"/>
      <c r="AG1" s="3" t="s">
        <v>66</v>
      </c>
      <c r="AH1" s="649"/>
      <c r="AJ1" s="650"/>
      <c r="AL1" s="1" t="s">
        <v>67</v>
      </c>
      <c r="AM1" s="130"/>
      <c r="AN1" s="130"/>
      <c r="AO1" s="130"/>
    </row>
    <row r="2" s="302" customFormat="1" ht="42" spans="1:41">
      <c r="A2" s="633" t="s">
        <v>68</v>
      </c>
      <c r="B2" s="634" t="s">
        <v>69</v>
      </c>
      <c r="C2" s="634" t="s">
        <v>70</v>
      </c>
      <c r="D2" s="634" t="s">
        <v>71</v>
      </c>
      <c r="E2" s="635"/>
      <c r="F2" s="633" t="s">
        <v>68</v>
      </c>
      <c r="G2" s="636" t="s">
        <v>69</v>
      </c>
      <c r="H2" s="637" t="s">
        <v>72</v>
      </c>
      <c r="I2" s="636" t="s">
        <v>73</v>
      </c>
      <c r="J2" s="636" t="s">
        <v>74</v>
      </c>
      <c r="K2" s="636" t="s">
        <v>75</v>
      </c>
      <c r="L2" s="636" t="s">
        <v>76</v>
      </c>
      <c r="M2" s="644" t="s">
        <v>70</v>
      </c>
      <c r="N2" s="644" t="s">
        <v>77</v>
      </c>
      <c r="P2" s="633" t="s">
        <v>68</v>
      </c>
      <c r="Q2" s="636" t="s">
        <v>78</v>
      </c>
      <c r="R2" s="636" t="s">
        <v>79</v>
      </c>
      <c r="S2" s="636" t="s">
        <v>74</v>
      </c>
      <c r="T2" s="636" t="s">
        <v>80</v>
      </c>
      <c r="U2" s="636" t="s">
        <v>81</v>
      </c>
      <c r="V2" s="644" t="s">
        <v>82</v>
      </c>
      <c r="W2" s="644" t="s">
        <v>83</v>
      </c>
      <c r="X2" s="644" t="s">
        <v>80</v>
      </c>
      <c r="Y2" s="644" t="s">
        <v>81</v>
      </c>
      <c r="Z2" s="644" t="s">
        <v>77</v>
      </c>
      <c r="AA2" s="644"/>
      <c r="AB2" s="633" t="s">
        <v>84</v>
      </c>
      <c r="AC2" s="644" t="s">
        <v>78</v>
      </c>
      <c r="AD2" s="644" t="s">
        <v>70</v>
      </c>
      <c r="AE2" s="647" t="s">
        <v>77</v>
      </c>
      <c r="AG2" s="633" t="s">
        <v>84</v>
      </c>
      <c r="AH2" s="651" t="s">
        <v>78</v>
      </c>
      <c r="AI2" s="644" t="s">
        <v>70</v>
      </c>
      <c r="AJ2" s="652" t="s">
        <v>71</v>
      </c>
      <c r="AL2" s="633" t="s">
        <v>84</v>
      </c>
      <c r="AM2" s="308" t="s">
        <v>85</v>
      </c>
      <c r="AN2" s="308" t="s">
        <v>86</v>
      </c>
      <c r="AO2" s="308" t="s">
        <v>87</v>
      </c>
    </row>
    <row r="3" hidden="1" spans="1:38">
      <c r="A3" s="638">
        <v>43831</v>
      </c>
      <c r="B3" s="257">
        <v>108855.56562048</v>
      </c>
      <c r="C3" s="257">
        <v>0</v>
      </c>
      <c r="D3" s="257">
        <f t="shared" ref="D3:D66" si="0">B3+C3</f>
        <v>108855.56562048</v>
      </c>
      <c r="F3" s="638">
        <v>43831</v>
      </c>
      <c r="G3" s="257">
        <f>'毛利-收入组成'!AP3</f>
        <v>3005.55318179988</v>
      </c>
      <c r="H3" s="130">
        <v>2267566.19</v>
      </c>
      <c r="I3" s="257">
        <f t="shared" ref="I3:I66" si="1">H3*1.06/10000</f>
        <v>240.36201614</v>
      </c>
      <c r="L3" s="257">
        <f t="shared" ref="L3:L66" si="2">G3-I3+J3-K3</f>
        <v>2765.19116565988</v>
      </c>
      <c r="M3" s="257">
        <v>0</v>
      </c>
      <c r="N3" s="257">
        <f t="shared" ref="N3:N66" si="3">L3+M3</f>
        <v>2765.19116565988</v>
      </c>
      <c r="P3" s="638">
        <v>43831</v>
      </c>
      <c r="Q3" s="257">
        <v>1461.135664</v>
      </c>
      <c r="V3" s="257">
        <f>Q3-R3+S3</f>
        <v>1461.135664</v>
      </c>
      <c r="W3" s="257">
        <v>0</v>
      </c>
      <c r="Z3" s="257">
        <f t="shared" ref="Z3:Z66" si="4">V3+W3</f>
        <v>1461.135664</v>
      </c>
      <c r="AB3" s="638">
        <v>43831</v>
      </c>
      <c r="AC3" s="231">
        <f t="shared" ref="AC3:AC66" si="5">L3/B3</f>
        <v>0.0254023866386455</v>
      </c>
      <c r="AD3" s="231" t="e">
        <f t="shared" ref="AD3:AD66" si="6">M3/C3</f>
        <v>#DIV/0!</v>
      </c>
      <c r="AE3" s="231">
        <f t="shared" ref="AE3:AE66" si="7">N3/D3</f>
        <v>0.0254023866386455</v>
      </c>
      <c r="AG3" s="638">
        <v>43831</v>
      </c>
      <c r="AH3" s="650">
        <f t="shared" ref="AH3:AH66" si="8">V3*1.06/L3</f>
        <v>0.560107316656495</v>
      </c>
      <c r="AI3" s="426" t="e">
        <f t="shared" ref="AI3:AI66" si="9">W3*1.06/M3</f>
        <v>#DIV/0!</v>
      </c>
      <c r="AJ3" s="650">
        <f t="shared" ref="AJ3:AJ66" si="10">Z3*1.06/N3</f>
        <v>0.560107316656495</v>
      </c>
      <c r="AL3" s="638">
        <v>43831</v>
      </c>
    </row>
    <row r="4" hidden="1" spans="1:38">
      <c r="A4" s="638">
        <v>43862</v>
      </c>
      <c r="B4" s="257">
        <v>234834.1050665</v>
      </c>
      <c r="C4" s="257">
        <v>0</v>
      </c>
      <c r="D4" s="257">
        <f t="shared" si="0"/>
        <v>234834.1050665</v>
      </c>
      <c r="F4" s="638">
        <v>43862</v>
      </c>
      <c r="G4" s="257">
        <f>'毛利-收入组成'!AP4</f>
        <v>5626.04160724009</v>
      </c>
      <c r="H4" s="130">
        <v>4138698.7</v>
      </c>
      <c r="I4" s="257">
        <f t="shared" si="1"/>
        <v>438.7020622</v>
      </c>
      <c r="L4" s="257">
        <f t="shared" si="2"/>
        <v>5187.33954504009</v>
      </c>
      <c r="M4" s="257">
        <v>0</v>
      </c>
      <c r="N4" s="257">
        <f t="shared" si="3"/>
        <v>5187.33954504009</v>
      </c>
      <c r="P4" s="638">
        <v>43862</v>
      </c>
      <c r="Q4" s="257">
        <v>2772.218464</v>
      </c>
      <c r="V4" s="257">
        <f>Q4-R4+S4</f>
        <v>2772.218464</v>
      </c>
      <c r="W4" s="257">
        <v>0</v>
      </c>
      <c r="Z4" s="257">
        <f t="shared" si="4"/>
        <v>2772.218464</v>
      </c>
      <c r="AB4" s="638">
        <v>43862</v>
      </c>
      <c r="AC4" s="231">
        <f t="shared" si="5"/>
        <v>0.022089378983394</v>
      </c>
      <c r="AD4" s="231" t="e">
        <f t="shared" si="6"/>
        <v>#DIV/0!</v>
      </c>
      <c r="AE4" s="231">
        <f t="shared" si="7"/>
        <v>0.022089378983394</v>
      </c>
      <c r="AG4" s="638">
        <v>43862</v>
      </c>
      <c r="AH4" s="650">
        <f t="shared" si="8"/>
        <v>0.566485294884873</v>
      </c>
      <c r="AI4" s="426" t="e">
        <f t="shared" si="9"/>
        <v>#DIV/0!</v>
      </c>
      <c r="AJ4" s="650">
        <f t="shared" si="10"/>
        <v>0.566485294884873</v>
      </c>
      <c r="AL4" s="638">
        <v>43862</v>
      </c>
    </row>
    <row r="5" hidden="1" spans="1:38">
      <c r="A5" s="638">
        <v>43891</v>
      </c>
      <c r="B5" s="257">
        <v>371037.82713886</v>
      </c>
      <c r="C5" s="257">
        <v>0</v>
      </c>
      <c r="D5" s="257">
        <f t="shared" si="0"/>
        <v>371037.82713886</v>
      </c>
      <c r="F5" s="638">
        <v>43891</v>
      </c>
      <c r="G5" s="257">
        <f>'毛利-收入组成'!AP5</f>
        <v>9302.77485250019</v>
      </c>
      <c r="H5" s="130">
        <v>7022628.53</v>
      </c>
      <c r="I5" s="257">
        <f t="shared" si="1"/>
        <v>744.39862418</v>
      </c>
      <c r="L5" s="257">
        <f t="shared" si="2"/>
        <v>8558.37622832019</v>
      </c>
      <c r="M5" s="257">
        <v>0</v>
      </c>
      <c r="N5" s="257">
        <f t="shared" si="3"/>
        <v>8558.37622832019</v>
      </c>
      <c r="P5" s="638">
        <v>43891</v>
      </c>
      <c r="Q5" s="257">
        <v>4900.346642</v>
      </c>
      <c r="V5" s="257">
        <f>Q5-R5+S5</f>
        <v>4900.346642</v>
      </c>
      <c r="W5" s="257">
        <v>0</v>
      </c>
      <c r="Z5" s="257">
        <f t="shared" si="4"/>
        <v>4900.346642</v>
      </c>
      <c r="AB5" s="638">
        <v>43891</v>
      </c>
      <c r="AC5" s="231">
        <f t="shared" si="5"/>
        <v>0.0230660477243395</v>
      </c>
      <c r="AD5" s="231" t="e">
        <f t="shared" si="6"/>
        <v>#DIV/0!</v>
      </c>
      <c r="AE5" s="231">
        <f t="shared" si="7"/>
        <v>0.0230660477243395</v>
      </c>
      <c r="AG5" s="638">
        <v>43891</v>
      </c>
      <c r="AH5" s="650">
        <f t="shared" si="8"/>
        <v>0.606933757285818</v>
      </c>
      <c r="AI5" s="426" t="e">
        <f t="shared" si="9"/>
        <v>#DIV/0!</v>
      </c>
      <c r="AJ5" s="650">
        <f t="shared" si="10"/>
        <v>0.606933757285818</v>
      </c>
      <c r="AL5" s="638">
        <v>43891</v>
      </c>
    </row>
    <row r="6" hidden="1" spans="1:38">
      <c r="A6" s="638">
        <v>43922</v>
      </c>
      <c r="B6" s="257">
        <v>499627.82293238</v>
      </c>
      <c r="C6" s="257">
        <v>1683.13</v>
      </c>
      <c r="D6" s="257">
        <f t="shared" si="0"/>
        <v>501310.95293238</v>
      </c>
      <c r="F6" s="638">
        <v>43922</v>
      </c>
      <c r="G6" s="257">
        <f>'毛利-收入组成'!AP6</f>
        <v>11563.2575650804</v>
      </c>
      <c r="H6" s="130">
        <v>9398075.92</v>
      </c>
      <c r="I6" s="257">
        <f t="shared" si="1"/>
        <v>996.19604752</v>
      </c>
      <c r="L6" s="257">
        <f t="shared" si="2"/>
        <v>10567.0615175604</v>
      </c>
      <c r="M6" s="257">
        <v>985.5668</v>
      </c>
      <c r="N6" s="257">
        <f t="shared" si="3"/>
        <v>11552.6283175604</v>
      </c>
      <c r="P6" s="638">
        <v>43922</v>
      </c>
      <c r="Q6" s="257">
        <v>5201.396235</v>
      </c>
      <c r="R6" s="257">
        <v>-12.4901918109842</v>
      </c>
      <c r="V6" s="257">
        <f>Q6-R6+S6</f>
        <v>5213.88642681098</v>
      </c>
      <c r="W6" s="257">
        <v>152.41</v>
      </c>
      <c r="Z6" s="257">
        <f t="shared" si="4"/>
        <v>5366.29642681098</v>
      </c>
      <c r="AB6" s="638">
        <v>43922</v>
      </c>
      <c r="AC6" s="231">
        <f t="shared" si="5"/>
        <v>0.0211498660253565</v>
      </c>
      <c r="AD6" s="231">
        <f t="shared" si="6"/>
        <v>0.585555958244461</v>
      </c>
      <c r="AE6" s="231">
        <f t="shared" si="7"/>
        <v>0.0230448352464357</v>
      </c>
      <c r="AG6" s="638">
        <v>43922</v>
      </c>
      <c r="AH6" s="650">
        <f t="shared" si="8"/>
        <v>0.523013858037573</v>
      </c>
      <c r="AI6" s="650">
        <f t="shared" si="9"/>
        <v>0.163920497321947</v>
      </c>
      <c r="AJ6" s="650">
        <f t="shared" si="10"/>
        <v>0.492379228004182</v>
      </c>
      <c r="AL6" s="638">
        <v>43922</v>
      </c>
    </row>
    <row r="7" hidden="1" spans="1:38">
      <c r="A7" s="638">
        <v>43952</v>
      </c>
      <c r="B7" s="257">
        <v>620327.4594395</v>
      </c>
      <c r="C7" s="257">
        <v>2274.8390366</v>
      </c>
      <c r="D7" s="257">
        <f t="shared" si="0"/>
        <v>622602.2984761</v>
      </c>
      <c r="F7" s="638">
        <v>43952</v>
      </c>
      <c r="G7" s="257">
        <f>'毛利-收入组成'!AP7</f>
        <v>14361.5096579404</v>
      </c>
      <c r="H7" s="130">
        <v>12574211</v>
      </c>
      <c r="I7" s="257">
        <f t="shared" si="1"/>
        <v>1332.866366</v>
      </c>
      <c r="L7" s="257">
        <f t="shared" si="2"/>
        <v>13028.6432919404</v>
      </c>
      <c r="M7" s="257">
        <v>1307.14536088999</v>
      </c>
      <c r="N7" s="257">
        <f t="shared" si="3"/>
        <v>14335.7886528304</v>
      </c>
      <c r="P7" s="638">
        <v>43952</v>
      </c>
      <c r="Q7" s="257">
        <v>5946.41108400001</v>
      </c>
      <c r="R7" s="257">
        <v>262.442552351667</v>
      </c>
      <c r="V7" s="257">
        <f>Q7-R7+S7</f>
        <v>5683.96853164834</v>
      </c>
      <c r="W7" s="257">
        <v>263.827458570043</v>
      </c>
      <c r="Z7" s="257">
        <f t="shared" si="4"/>
        <v>5947.79599021838</v>
      </c>
      <c r="AB7" s="638">
        <v>43952</v>
      </c>
      <c r="AC7" s="231">
        <f t="shared" si="5"/>
        <v>0.021002847921181</v>
      </c>
      <c r="AD7" s="231">
        <f t="shared" si="6"/>
        <v>0.574610044868785</v>
      </c>
      <c r="AE7" s="231">
        <f t="shared" si="7"/>
        <v>0.0230255954530189</v>
      </c>
      <c r="AG7" s="638">
        <v>43952</v>
      </c>
      <c r="AH7" s="650">
        <f t="shared" si="8"/>
        <v>0.462443134602844</v>
      </c>
      <c r="AI7" s="650">
        <f t="shared" si="9"/>
        <v>0.213944917261411</v>
      </c>
      <c r="AJ7" s="650">
        <f t="shared" si="10"/>
        <v>0.439784925846178</v>
      </c>
      <c r="AL7" s="638">
        <v>43952</v>
      </c>
    </row>
    <row r="8" hidden="1" spans="1:38">
      <c r="A8" s="638">
        <v>43983</v>
      </c>
      <c r="B8" s="257">
        <v>753470.03126962</v>
      </c>
      <c r="C8" s="257">
        <v>2614.30094760001</v>
      </c>
      <c r="D8" s="257">
        <f t="shared" si="0"/>
        <v>756084.33221722</v>
      </c>
      <c r="F8" s="638">
        <v>43983</v>
      </c>
      <c r="G8" s="257">
        <f>'毛利-收入组成'!AP8</f>
        <v>17359.5631117804</v>
      </c>
      <c r="H8" s="130">
        <v>16502506.8</v>
      </c>
      <c r="I8" s="257">
        <f t="shared" si="1"/>
        <v>1749.2657208</v>
      </c>
      <c r="L8" s="257">
        <f t="shared" si="2"/>
        <v>15610.2973909804</v>
      </c>
      <c r="M8" s="257">
        <v>1553.52182799</v>
      </c>
      <c r="N8" s="257">
        <f t="shared" si="3"/>
        <v>17163.8192189704</v>
      </c>
      <c r="P8" s="638">
        <v>43983</v>
      </c>
      <c r="Q8" s="257">
        <f>V8+R8</f>
        <v>7553.84773977244</v>
      </c>
      <c r="R8" s="257">
        <v>431.576440772439</v>
      </c>
      <c r="V8" s="257">
        <f>71222712.99/10000</f>
        <v>7122.271299</v>
      </c>
      <c r="W8" s="257">
        <v>299.956461246566</v>
      </c>
      <c r="Z8" s="257">
        <f t="shared" si="4"/>
        <v>7422.22776024657</v>
      </c>
      <c r="AB8" s="638">
        <v>43983</v>
      </c>
      <c r="AC8" s="231">
        <f t="shared" si="5"/>
        <v>0.0207178742924607</v>
      </c>
      <c r="AD8" s="648">
        <f t="shared" si="6"/>
        <v>0.594239859575528</v>
      </c>
      <c r="AE8" s="231">
        <f t="shared" si="7"/>
        <v>0.0227009322738344</v>
      </c>
      <c r="AG8" s="638">
        <v>43983</v>
      </c>
      <c r="AH8" s="650">
        <f t="shared" si="8"/>
        <v>0.483629964750201</v>
      </c>
      <c r="AI8" s="650">
        <f t="shared" si="9"/>
        <v>0.204666483079121</v>
      </c>
      <c r="AJ8" s="650">
        <f t="shared" si="10"/>
        <v>0.458380581005287</v>
      </c>
      <c r="AL8" s="638">
        <v>43983</v>
      </c>
    </row>
    <row r="9" hidden="1" spans="1:38">
      <c r="A9" s="638">
        <v>44013</v>
      </c>
      <c r="B9" s="257">
        <v>861281.70500162</v>
      </c>
      <c r="C9" s="257">
        <v>3169.09776360004</v>
      </c>
      <c r="D9" s="257">
        <f t="shared" si="0"/>
        <v>864450.80276522</v>
      </c>
      <c r="F9" s="638">
        <v>44013</v>
      </c>
      <c r="G9" s="257">
        <f>'毛利-收入组成'!AP9</f>
        <v>19620.8654641409</v>
      </c>
      <c r="H9" s="130">
        <v>20753792.04</v>
      </c>
      <c r="I9" s="257">
        <f t="shared" si="1"/>
        <v>2199.90195624</v>
      </c>
      <c r="L9" s="257">
        <f t="shared" si="2"/>
        <v>17420.9635079009</v>
      </c>
      <c r="M9" s="257">
        <v>1894.88628099002</v>
      </c>
      <c r="N9" s="257">
        <f t="shared" si="3"/>
        <v>19315.8497888909</v>
      </c>
      <c r="P9" s="638">
        <v>44013</v>
      </c>
      <c r="Q9" s="257">
        <v>7363.760462</v>
      </c>
      <c r="R9" s="257">
        <v>150.291621251948</v>
      </c>
      <c r="V9" s="257">
        <f t="shared" ref="V9:V67" si="11">Q9-R9+S9</f>
        <v>7213.46884074805</v>
      </c>
      <c r="W9" s="257">
        <v>392.875928</v>
      </c>
      <c r="Z9" s="257">
        <f t="shared" si="4"/>
        <v>7606.34476874805</v>
      </c>
      <c r="AB9" s="638">
        <v>44013</v>
      </c>
      <c r="AC9" s="231">
        <f t="shared" si="5"/>
        <v>0.0202267892220794</v>
      </c>
      <c r="AD9" s="648">
        <f t="shared" si="6"/>
        <v>0.597926104632841</v>
      </c>
      <c r="AE9" s="231">
        <f t="shared" si="7"/>
        <v>0.0223446490269927</v>
      </c>
      <c r="AG9" s="638">
        <v>44013</v>
      </c>
      <c r="AH9" s="650">
        <f t="shared" si="8"/>
        <v>0.438912403881974</v>
      </c>
      <c r="AI9" s="650">
        <f t="shared" si="9"/>
        <v>0.219774921512661</v>
      </c>
      <c r="AJ9" s="650">
        <f t="shared" si="10"/>
        <v>0.417415000789146</v>
      </c>
      <c r="AL9" s="638">
        <v>44013</v>
      </c>
    </row>
    <row r="10" hidden="1" spans="1:38">
      <c r="A10" s="638">
        <v>44044</v>
      </c>
      <c r="B10" s="257">
        <v>963744.16629462</v>
      </c>
      <c r="C10" s="257">
        <v>3907.62291760004</v>
      </c>
      <c r="D10" s="257">
        <f t="shared" si="0"/>
        <v>967651.78921222</v>
      </c>
      <c r="F10" s="638">
        <v>44044</v>
      </c>
      <c r="G10" s="257">
        <f>'毛利-收入组成'!AP10</f>
        <v>22608.7323818807</v>
      </c>
      <c r="H10" s="130">
        <v>24741202.74</v>
      </c>
      <c r="I10" s="257">
        <f t="shared" si="1"/>
        <v>2622.56749044</v>
      </c>
      <c r="L10" s="257">
        <f t="shared" si="2"/>
        <v>19986.1648914407</v>
      </c>
      <c r="M10" s="257">
        <v>2452.88940099002</v>
      </c>
      <c r="N10" s="257">
        <f t="shared" si="3"/>
        <v>22439.0542924307</v>
      </c>
      <c r="P10" s="638">
        <v>44044</v>
      </c>
      <c r="Q10" s="257">
        <v>8315.33411100002</v>
      </c>
      <c r="R10" s="257">
        <v>149.089869599455</v>
      </c>
      <c r="V10" s="257">
        <f t="shared" si="11"/>
        <v>8166.24424140057</v>
      </c>
      <c r="W10" s="257">
        <v>655.031426606881</v>
      </c>
      <c r="Z10" s="257">
        <f t="shared" si="4"/>
        <v>8821.27566800745</v>
      </c>
      <c r="AB10" s="638">
        <v>44044</v>
      </c>
      <c r="AC10" s="231">
        <f t="shared" si="5"/>
        <v>0.0207380398143244</v>
      </c>
      <c r="AD10" s="648">
        <f t="shared" si="6"/>
        <v>0.627719064176366</v>
      </c>
      <c r="AE10" s="231">
        <f t="shared" si="7"/>
        <v>0.0231891828678359</v>
      </c>
      <c r="AG10" s="638">
        <v>44044</v>
      </c>
      <c r="AH10" s="650">
        <f t="shared" si="8"/>
        <v>0.433110551369048</v>
      </c>
      <c r="AI10" s="650">
        <f t="shared" si="9"/>
        <v>0.283067516995691</v>
      </c>
      <c r="AJ10" s="650">
        <f t="shared" si="10"/>
        <v>0.416708836577042</v>
      </c>
      <c r="AL10" s="638">
        <v>44044</v>
      </c>
    </row>
    <row r="11" hidden="1" spans="1:38">
      <c r="A11" s="638">
        <v>44075</v>
      </c>
      <c r="B11" s="257">
        <v>1071698.56701962</v>
      </c>
      <c r="C11" s="257">
        <v>4482.13916160004</v>
      </c>
      <c r="D11" s="257">
        <f t="shared" si="0"/>
        <v>1076180.70618122</v>
      </c>
      <c r="F11" s="638">
        <v>44075</v>
      </c>
      <c r="G11" s="257">
        <f>'毛利-收入组成'!AP11</f>
        <v>25599.1748685008</v>
      </c>
      <c r="H11" s="130">
        <v>28841286.79</v>
      </c>
      <c r="I11" s="257">
        <f t="shared" si="1"/>
        <v>3057.17639974</v>
      </c>
      <c r="L11" s="257">
        <f t="shared" si="2"/>
        <v>22541.9984687608</v>
      </c>
      <c r="M11" s="257">
        <v>2887.02903899002</v>
      </c>
      <c r="N11" s="257">
        <f t="shared" si="3"/>
        <v>25429.0275077508</v>
      </c>
      <c r="P11" s="638">
        <v>44075</v>
      </c>
      <c r="Q11" s="257">
        <v>8938.93831699999</v>
      </c>
      <c r="R11" s="257">
        <v>197.126630895887</v>
      </c>
      <c r="V11" s="257">
        <f t="shared" si="11"/>
        <v>8741.8116861041</v>
      </c>
      <c r="W11" s="257">
        <v>570.897236833677</v>
      </c>
      <c r="Z11" s="257">
        <f t="shared" si="4"/>
        <v>9312.70892293778</v>
      </c>
      <c r="AB11" s="638">
        <v>44075</v>
      </c>
      <c r="AC11" s="231">
        <f t="shared" si="5"/>
        <v>0.0210338981150734</v>
      </c>
      <c r="AD11" s="648">
        <f t="shared" si="6"/>
        <v>0.644118563681411</v>
      </c>
      <c r="AE11" s="231">
        <f t="shared" si="7"/>
        <v>0.0236289568858604</v>
      </c>
      <c r="AG11" s="638">
        <v>44075</v>
      </c>
      <c r="AH11" s="650">
        <f t="shared" si="8"/>
        <v>0.411069160532143</v>
      </c>
      <c r="AI11" s="650">
        <f t="shared" si="9"/>
        <v>0.209610316651127</v>
      </c>
      <c r="AJ11" s="650">
        <f t="shared" si="10"/>
        <v>0.388196971170258</v>
      </c>
      <c r="AL11" s="638">
        <v>44075</v>
      </c>
    </row>
    <row r="12" hidden="1" spans="1:38">
      <c r="A12" s="638">
        <v>44105</v>
      </c>
      <c r="B12" s="257">
        <v>1192298.28383762</v>
      </c>
      <c r="C12" s="257">
        <v>5181.82365259989</v>
      </c>
      <c r="D12" s="257">
        <f t="shared" si="0"/>
        <v>1197480.10749022</v>
      </c>
      <c r="F12" s="638">
        <v>44105</v>
      </c>
      <c r="G12" s="257">
        <f>'毛利-收入组成'!AP12</f>
        <v>27955.569819441</v>
      </c>
      <c r="H12" s="130">
        <v>32592117.11</v>
      </c>
      <c r="I12" s="257">
        <f t="shared" si="1"/>
        <v>3454.76441366</v>
      </c>
      <c r="L12" s="257">
        <f t="shared" si="2"/>
        <v>24500.805405781</v>
      </c>
      <c r="M12" s="257">
        <v>3471.12188088983</v>
      </c>
      <c r="N12" s="257">
        <f t="shared" si="3"/>
        <v>27971.9272866708</v>
      </c>
      <c r="P12" s="638">
        <v>44105</v>
      </c>
      <c r="Q12" s="257">
        <v>9119.97464900002</v>
      </c>
      <c r="R12" s="257">
        <v>451.082951779935</v>
      </c>
      <c r="V12" s="257">
        <f t="shared" si="11"/>
        <v>8668.89169722008</v>
      </c>
      <c r="W12" s="257">
        <v>581.18028762976</v>
      </c>
      <c r="Z12" s="257">
        <f t="shared" si="4"/>
        <v>9250.07198484984</v>
      </c>
      <c r="AB12" s="638">
        <v>44105</v>
      </c>
      <c r="AC12" s="231">
        <f t="shared" si="5"/>
        <v>0.0205492247518137</v>
      </c>
      <c r="AD12" s="648">
        <f t="shared" si="6"/>
        <v>0.669864918916771</v>
      </c>
      <c r="AE12" s="231">
        <f t="shared" si="7"/>
        <v>0.0233589911946819</v>
      </c>
      <c r="AG12" s="638">
        <v>44105</v>
      </c>
      <c r="AH12" s="650">
        <f t="shared" si="8"/>
        <v>0.3750499237419</v>
      </c>
      <c r="AI12" s="650">
        <f t="shared" si="9"/>
        <v>0.177478960989298</v>
      </c>
      <c r="AJ12" s="650">
        <f t="shared" si="10"/>
        <v>0.350532739609013</v>
      </c>
      <c r="AL12" s="638">
        <v>44105</v>
      </c>
    </row>
    <row r="13" hidden="1" spans="1:38">
      <c r="A13" s="638">
        <v>44136</v>
      </c>
      <c r="B13" s="257">
        <v>1323765.35223562</v>
      </c>
      <c r="C13" s="257">
        <v>5964.13792529989</v>
      </c>
      <c r="D13" s="257">
        <f t="shared" si="0"/>
        <v>1329729.49016092</v>
      </c>
      <c r="F13" s="638">
        <v>44136</v>
      </c>
      <c r="G13" s="257">
        <f>'毛利-收入组成'!AP13</f>
        <v>32152.429444522</v>
      </c>
      <c r="H13" s="130">
        <v>37425284.43</v>
      </c>
      <c r="I13" s="257">
        <f t="shared" si="1"/>
        <v>3967.08014958</v>
      </c>
      <c r="L13" s="257">
        <f t="shared" si="2"/>
        <v>28185.349294942</v>
      </c>
      <c r="M13" s="257">
        <v>4022.96096758983</v>
      </c>
      <c r="N13" s="257">
        <f t="shared" si="3"/>
        <v>32208.3102625318</v>
      </c>
      <c r="P13" s="638">
        <v>44136</v>
      </c>
      <c r="Q13" s="257">
        <v>10096.152875</v>
      </c>
      <c r="R13" s="257">
        <v>435.371727612777</v>
      </c>
      <c r="V13" s="257">
        <f t="shared" si="11"/>
        <v>9660.78114738722</v>
      </c>
      <c r="W13" s="641">
        <v>167.556556265526</v>
      </c>
      <c r="X13" s="641"/>
      <c r="Y13" s="641"/>
      <c r="Z13" s="257">
        <f t="shared" si="4"/>
        <v>9828.33770365275</v>
      </c>
      <c r="AB13" s="638">
        <v>44136</v>
      </c>
      <c r="AC13" s="231">
        <f t="shared" si="5"/>
        <v>0.0212918016379124</v>
      </c>
      <c r="AD13" s="648">
        <f t="shared" si="6"/>
        <v>0.67452513975648</v>
      </c>
      <c r="AE13" s="231">
        <f t="shared" si="7"/>
        <v>0.0242217011060152</v>
      </c>
      <c r="AG13" s="638">
        <v>44136</v>
      </c>
      <c r="AH13" s="650">
        <f t="shared" si="8"/>
        <v>0.3633245027078</v>
      </c>
      <c r="AI13" s="650">
        <f t="shared" si="9"/>
        <v>0.04414906111999</v>
      </c>
      <c r="AJ13" s="650">
        <f t="shared" si="10"/>
        <v>0.323458072806486</v>
      </c>
      <c r="AL13" s="638">
        <v>44136</v>
      </c>
    </row>
    <row r="14" hidden="1" spans="1:38">
      <c r="A14" s="638">
        <v>44166</v>
      </c>
      <c r="B14" s="257">
        <v>1457883.96911662</v>
      </c>
      <c r="C14" s="257">
        <v>5878.41417234</v>
      </c>
      <c r="D14" s="257">
        <f t="shared" si="0"/>
        <v>1463762.38328896</v>
      </c>
      <c r="F14" s="638">
        <v>44166</v>
      </c>
      <c r="G14" s="257">
        <f>'毛利-收入组成'!AP14</f>
        <v>36994.5513815421</v>
      </c>
      <c r="H14" s="130">
        <v>42520356.16</v>
      </c>
      <c r="I14" s="257">
        <f t="shared" si="1"/>
        <v>4507.15775296</v>
      </c>
      <c r="L14" s="257">
        <f t="shared" si="2"/>
        <v>32487.3936285821</v>
      </c>
      <c r="M14" s="257">
        <v>4489.30969643</v>
      </c>
      <c r="N14" s="257">
        <f t="shared" si="3"/>
        <v>36976.7033250121</v>
      </c>
      <c r="P14" s="638">
        <v>44166</v>
      </c>
      <c r="Q14" s="257">
        <v>11872.701864</v>
      </c>
      <c r="R14" s="257">
        <v>1082.99230327496</v>
      </c>
      <c r="V14" s="257">
        <f t="shared" si="11"/>
        <v>10789.709560725</v>
      </c>
      <c r="W14" s="257">
        <v>-288.12588479695</v>
      </c>
      <c r="Z14" s="257">
        <f t="shared" si="4"/>
        <v>10501.5836759281</v>
      </c>
      <c r="AB14" s="638">
        <v>44166</v>
      </c>
      <c r="AC14" s="231">
        <f t="shared" si="5"/>
        <v>0.0222839363877959</v>
      </c>
      <c r="AD14" s="648">
        <f t="shared" si="6"/>
        <v>0.763694010802059</v>
      </c>
      <c r="AE14" s="231">
        <f t="shared" si="7"/>
        <v>0.0252614111054885</v>
      </c>
      <c r="AG14" s="638">
        <v>44166</v>
      </c>
      <c r="AH14" s="650">
        <f t="shared" si="8"/>
        <v>0.352047082173631</v>
      </c>
      <c r="AI14" s="650">
        <f t="shared" si="9"/>
        <v>-0.0680312695129139</v>
      </c>
      <c r="AJ14" s="650">
        <f t="shared" si="10"/>
        <v>0.301045731379574</v>
      </c>
      <c r="AL14" s="638">
        <v>44166</v>
      </c>
    </row>
    <row r="15" hidden="1" spans="1:38">
      <c r="A15" s="639">
        <v>44197</v>
      </c>
      <c r="B15" s="257">
        <v>126572.294054</v>
      </c>
      <c r="C15" s="257">
        <v>1250.12</v>
      </c>
      <c r="D15" s="257">
        <f t="shared" si="0"/>
        <v>127822.414054</v>
      </c>
      <c r="F15" s="639">
        <v>44197</v>
      </c>
      <c r="G15" s="257">
        <f>'毛利-收入组成'!AP15</f>
        <v>3267.62738522</v>
      </c>
      <c r="H15" s="130">
        <v>4151308.03</v>
      </c>
      <c r="I15" s="257">
        <f t="shared" si="1"/>
        <v>440.03865118</v>
      </c>
      <c r="L15" s="257">
        <f t="shared" si="2"/>
        <v>2827.58873404</v>
      </c>
      <c r="M15" s="257">
        <v>631.955255</v>
      </c>
      <c r="N15" s="257">
        <f t="shared" si="3"/>
        <v>3459.54398904</v>
      </c>
      <c r="P15" s="639">
        <v>44197</v>
      </c>
      <c r="Q15" s="257">
        <v>1259.625541</v>
      </c>
      <c r="R15" s="257">
        <f>2059085.54115382/10000</f>
        <v>205.908554115382</v>
      </c>
      <c r="V15" s="257">
        <f t="shared" si="11"/>
        <v>1053.71698688462</v>
      </c>
      <c r="W15" s="257">
        <v>-170.35</v>
      </c>
      <c r="Z15" s="257">
        <f t="shared" si="4"/>
        <v>883.366986884618</v>
      </c>
      <c r="AB15" s="639">
        <v>44197</v>
      </c>
      <c r="AC15" s="231">
        <f t="shared" si="5"/>
        <v>0.022339713087871</v>
      </c>
      <c r="AD15" s="648">
        <f t="shared" si="6"/>
        <v>0.505515674495248</v>
      </c>
      <c r="AE15" s="231">
        <f t="shared" si="7"/>
        <v>0.0270652374596718</v>
      </c>
      <c r="AG15" s="639">
        <v>44197</v>
      </c>
      <c r="AH15" s="650">
        <f t="shared" si="8"/>
        <v>0.395015014967129</v>
      </c>
      <c r="AI15" s="650">
        <f t="shared" si="9"/>
        <v>-0.28573383727935</v>
      </c>
      <c r="AJ15" s="650">
        <f t="shared" si="10"/>
        <v>0.270662552366484</v>
      </c>
      <c r="AL15" s="639">
        <v>44197</v>
      </c>
    </row>
    <row r="16" hidden="1" spans="1:38">
      <c r="A16" s="639">
        <v>44228</v>
      </c>
      <c r="B16" s="257">
        <v>253086.249925</v>
      </c>
      <c r="C16" s="257">
        <v>2870.11</v>
      </c>
      <c r="D16" s="257">
        <f t="shared" si="0"/>
        <v>255956.359925</v>
      </c>
      <c r="F16" s="639">
        <v>44228</v>
      </c>
      <c r="G16" s="257">
        <f>'毛利-收入组成'!AP16</f>
        <v>6453.3500072201</v>
      </c>
      <c r="H16" s="130">
        <v>8209257.86</v>
      </c>
      <c r="I16" s="257">
        <f t="shared" si="1"/>
        <v>870.18133316</v>
      </c>
      <c r="L16" s="257">
        <f t="shared" si="2"/>
        <v>5583.1686740601</v>
      </c>
      <c r="M16" s="257">
        <v>1530.8654</v>
      </c>
      <c r="N16" s="257">
        <f t="shared" si="3"/>
        <v>7114.0340740601</v>
      </c>
      <c r="P16" s="639">
        <v>44228</v>
      </c>
      <c r="Q16" s="257">
        <v>2643.017623</v>
      </c>
      <c r="R16" s="257">
        <f>2059085.54115382/10000+5981296.97843144/10000</f>
        <v>804.038251958526</v>
      </c>
      <c r="V16" s="257">
        <f t="shared" si="11"/>
        <v>1838.97937104147</v>
      </c>
      <c r="W16" s="257">
        <v>-210.67</v>
      </c>
      <c r="Z16" s="257">
        <f t="shared" si="4"/>
        <v>1628.30937104147</v>
      </c>
      <c r="AB16" s="639">
        <v>44228</v>
      </c>
      <c r="AC16" s="231">
        <f t="shared" si="5"/>
        <v>0.0220603398079296</v>
      </c>
      <c r="AD16" s="648">
        <f t="shared" si="6"/>
        <v>0.533382135179488</v>
      </c>
      <c r="AE16" s="231">
        <f t="shared" si="7"/>
        <v>0.0277939336070596</v>
      </c>
      <c r="AG16" s="639">
        <v>44228</v>
      </c>
      <c r="AH16" s="650">
        <f t="shared" si="8"/>
        <v>0.349141902583146</v>
      </c>
      <c r="AI16" s="650">
        <f t="shared" si="9"/>
        <v>-0.145871870903869</v>
      </c>
      <c r="AJ16" s="650">
        <f t="shared" si="10"/>
        <v>0.242620138635195</v>
      </c>
      <c r="AL16" s="639">
        <v>44228</v>
      </c>
    </row>
    <row r="17" hidden="1" spans="1:38">
      <c r="A17" s="639">
        <v>44256</v>
      </c>
      <c r="B17" s="257">
        <v>420256.067609</v>
      </c>
      <c r="C17" s="257">
        <v>3989.14</v>
      </c>
      <c r="D17" s="257">
        <f t="shared" si="0"/>
        <v>424245.207609</v>
      </c>
      <c r="F17" s="639">
        <v>44256</v>
      </c>
      <c r="G17" s="257">
        <f>'毛利-收入组成'!AP17</f>
        <v>11169.7973826201</v>
      </c>
      <c r="H17" s="130">
        <v>12929114.57</v>
      </c>
      <c r="I17" s="257">
        <f t="shared" si="1"/>
        <v>1370.48614442</v>
      </c>
      <c r="L17" s="257">
        <f t="shared" si="2"/>
        <v>9799.3112382001</v>
      </c>
      <c r="M17" s="257">
        <v>2212.245</v>
      </c>
      <c r="N17" s="257">
        <f t="shared" si="3"/>
        <v>12011.5562382001</v>
      </c>
      <c r="P17" s="639">
        <v>44256</v>
      </c>
      <c r="Q17" s="257">
        <v>5626.50078099997</v>
      </c>
      <c r="R17" s="257">
        <v>1056.35540039822</v>
      </c>
      <c r="V17" s="257">
        <f t="shared" si="11"/>
        <v>4570.14538060175</v>
      </c>
      <c r="W17" s="257">
        <v>-440.97</v>
      </c>
      <c r="Z17" s="257">
        <f t="shared" si="4"/>
        <v>4129.17538060175</v>
      </c>
      <c r="AB17" s="639">
        <v>44256</v>
      </c>
      <c r="AC17" s="231">
        <f t="shared" si="5"/>
        <v>0.0233174771133042</v>
      </c>
      <c r="AD17" s="648">
        <f t="shared" si="6"/>
        <v>0.554566899131141</v>
      </c>
      <c r="AE17" s="231">
        <f t="shared" si="7"/>
        <v>0.0283127682358416</v>
      </c>
      <c r="AG17" s="639">
        <v>44256</v>
      </c>
      <c r="AH17" s="650">
        <f t="shared" si="8"/>
        <v>0.49435659156874</v>
      </c>
      <c r="AI17" s="650">
        <f t="shared" si="9"/>
        <v>-0.21129133527254</v>
      </c>
      <c r="AJ17" s="650">
        <f t="shared" si="10"/>
        <v>0.364392907683187</v>
      </c>
      <c r="AL17" s="639">
        <v>44256</v>
      </c>
    </row>
    <row r="18" hidden="1" spans="1:38">
      <c r="A18" s="639">
        <v>44287</v>
      </c>
      <c r="B18" s="257">
        <v>576778.071365</v>
      </c>
      <c r="C18" s="257">
        <v>5126.15929699995</v>
      </c>
      <c r="D18" s="257">
        <f t="shared" si="0"/>
        <v>581904.230662</v>
      </c>
      <c r="F18" s="639">
        <v>44287</v>
      </c>
      <c r="G18" s="257">
        <f>'毛利-收入组成'!AP18</f>
        <v>13446.1625556201</v>
      </c>
      <c r="H18" s="130">
        <v>17509483.83</v>
      </c>
      <c r="I18" s="257">
        <f t="shared" si="1"/>
        <v>1856.00528598</v>
      </c>
      <c r="L18" s="257">
        <f t="shared" si="2"/>
        <v>11590.1572696401</v>
      </c>
      <c r="M18" s="257">
        <v>2770.03348901835</v>
      </c>
      <c r="N18" s="257">
        <f t="shared" si="3"/>
        <v>14360.1907586584</v>
      </c>
      <c r="P18" s="639">
        <v>44287</v>
      </c>
      <c r="Q18" s="257">
        <v>5424.448779</v>
      </c>
      <c r="R18" s="257">
        <v>922.429373012209</v>
      </c>
      <c r="V18" s="257">
        <f t="shared" si="11"/>
        <v>4502.01940598779</v>
      </c>
      <c r="W18" s="257">
        <v>-1136.00044707665</v>
      </c>
      <c r="Z18" s="257">
        <f t="shared" si="4"/>
        <v>3366.01895891114</v>
      </c>
      <c r="AB18" s="639">
        <v>44287</v>
      </c>
      <c r="AC18" s="231">
        <f t="shared" si="5"/>
        <v>0.0200946565846564</v>
      </c>
      <c r="AD18" s="648">
        <f t="shared" si="6"/>
        <v>0.5403721048309</v>
      </c>
      <c r="AE18" s="231">
        <f t="shared" si="7"/>
        <v>0.0246779280884789</v>
      </c>
      <c r="AG18" s="639">
        <v>44287</v>
      </c>
      <c r="AH18" s="650">
        <f t="shared" si="8"/>
        <v>0.411740795170008</v>
      </c>
      <c r="AI18" s="650">
        <f t="shared" si="9"/>
        <v>-0.43470971693125</v>
      </c>
      <c r="AJ18" s="650">
        <f t="shared" si="10"/>
        <v>0.248463279938987</v>
      </c>
      <c r="AL18" s="639">
        <v>44287</v>
      </c>
    </row>
    <row r="19" hidden="1" spans="1:38">
      <c r="A19" s="639">
        <v>44317</v>
      </c>
      <c r="B19" s="257">
        <v>771135.941722</v>
      </c>
      <c r="C19" s="257">
        <v>5636.3653770001</v>
      </c>
      <c r="D19" s="257">
        <f t="shared" si="0"/>
        <v>776772.307099</v>
      </c>
      <c r="F19" s="639">
        <v>44317</v>
      </c>
      <c r="G19" s="257">
        <f>'毛利-收入组成'!AP19</f>
        <v>16651.8957049801</v>
      </c>
      <c r="H19" s="130">
        <v>22355193.8</v>
      </c>
      <c r="I19" s="257">
        <f t="shared" si="1"/>
        <v>2369.6505428</v>
      </c>
      <c r="L19" s="257">
        <f t="shared" si="2"/>
        <v>14282.2451621801</v>
      </c>
      <c r="M19" s="257">
        <v>3359.42801366</v>
      </c>
      <c r="N19" s="257">
        <f t="shared" si="3"/>
        <v>17641.6731758401</v>
      </c>
      <c r="P19" s="639">
        <v>44317</v>
      </c>
      <c r="Q19" s="257">
        <v>5772.829378</v>
      </c>
      <c r="R19" s="257">
        <v>593.887477953706</v>
      </c>
      <c r="V19" s="257">
        <f t="shared" si="11"/>
        <v>5178.94190004629</v>
      </c>
      <c r="W19" s="257">
        <v>-1642.042709</v>
      </c>
      <c r="Z19" s="257">
        <f t="shared" si="4"/>
        <v>3536.89919104629</v>
      </c>
      <c r="AB19" s="639">
        <v>44317</v>
      </c>
      <c r="AC19" s="231">
        <f t="shared" si="5"/>
        <v>0.0185210471843484</v>
      </c>
      <c r="AD19" s="648">
        <f t="shared" si="6"/>
        <v>0.596027366743925</v>
      </c>
      <c r="AE19" s="231">
        <f t="shared" si="7"/>
        <v>0.0227115114874862</v>
      </c>
      <c r="AG19" s="639">
        <v>44317</v>
      </c>
      <c r="AH19" s="650">
        <f t="shared" si="8"/>
        <v>0.384370829075665</v>
      </c>
      <c r="AI19" s="650">
        <f t="shared" si="9"/>
        <v>-0.518113578996951</v>
      </c>
      <c r="AJ19" s="650">
        <f t="shared" si="10"/>
        <v>0.212514601372584</v>
      </c>
      <c r="AL19" s="639">
        <v>44317</v>
      </c>
    </row>
    <row r="20" hidden="1" spans="1:38">
      <c r="A20" s="639">
        <v>44348</v>
      </c>
      <c r="B20" s="257">
        <v>997949.57925</v>
      </c>
      <c r="C20" s="257">
        <v>8217.6120486401</v>
      </c>
      <c r="D20" s="257">
        <f t="shared" si="0"/>
        <v>1006167.19129864</v>
      </c>
      <c r="F20" s="639">
        <v>44348</v>
      </c>
      <c r="G20" s="257">
        <f>'毛利-收入组成'!AP20</f>
        <v>21665.3265800601</v>
      </c>
      <c r="H20" s="130">
        <v>27674170.36</v>
      </c>
      <c r="I20" s="257">
        <f t="shared" si="1"/>
        <v>2933.46205816</v>
      </c>
      <c r="L20" s="257">
        <f t="shared" si="2"/>
        <v>18731.8645219001</v>
      </c>
      <c r="M20" s="257">
        <v>3775.64107186</v>
      </c>
      <c r="N20" s="257">
        <f t="shared" si="3"/>
        <v>22507.5055937601</v>
      </c>
      <c r="P20" s="639">
        <v>44348</v>
      </c>
      <c r="Q20" s="257">
        <f ca="1">V20+R20</f>
        <v>7603.228782</v>
      </c>
      <c r="R20" s="257">
        <f>3569650.9/10000</f>
        <v>356.96509</v>
      </c>
      <c r="V20" s="257">
        <f ca="1" t="shared" si="11"/>
        <v>0</v>
      </c>
      <c r="W20" s="257">
        <v>-2396.68212</v>
      </c>
      <c r="Z20" s="257">
        <f ca="1" t="shared" si="4"/>
        <v>4849.581572</v>
      </c>
      <c r="AB20" s="639">
        <v>44348</v>
      </c>
      <c r="AC20" s="231">
        <f t="shared" si="5"/>
        <v>0.0187703516403884</v>
      </c>
      <c r="AD20" s="648">
        <f t="shared" si="6"/>
        <v>0.459457205999986</v>
      </c>
      <c r="AE20" s="231">
        <f t="shared" si="7"/>
        <v>0.0223695483100677</v>
      </c>
      <c r="AG20" s="639">
        <v>44348</v>
      </c>
      <c r="AH20" s="650">
        <f ca="1" t="shared" si="8"/>
        <v>0.410052053523013</v>
      </c>
      <c r="AI20" s="650">
        <f t="shared" si="9"/>
        <v>-0.67286137608109</v>
      </c>
      <c r="AJ20" s="650">
        <f ca="1" t="shared" si="10"/>
        <v>0.228392988503584</v>
      </c>
      <c r="AL20" s="639">
        <v>44348</v>
      </c>
    </row>
    <row r="21" hidden="1" spans="1:38">
      <c r="A21" s="639">
        <v>44378</v>
      </c>
      <c r="B21" s="257">
        <v>1218182.49337377</v>
      </c>
      <c r="C21" s="257">
        <v>12572.539601</v>
      </c>
      <c r="D21" s="257">
        <f t="shared" si="0"/>
        <v>1230755.03297477</v>
      </c>
      <c r="F21" s="639">
        <v>44378</v>
      </c>
      <c r="G21" s="257">
        <f>'毛利-收入组成'!AP21</f>
        <v>24096.8585761201</v>
      </c>
      <c r="H21" s="130">
        <v>33458555.43</v>
      </c>
      <c r="I21" s="257">
        <f t="shared" si="1"/>
        <v>3546.60687558</v>
      </c>
      <c r="L21" s="257">
        <f t="shared" si="2"/>
        <v>20550.2517005401</v>
      </c>
      <c r="M21" s="257">
        <v>4601.69923199994</v>
      </c>
      <c r="N21" s="257">
        <f t="shared" si="3"/>
        <v>25151.95093254</v>
      </c>
      <c r="P21" s="639">
        <v>44378</v>
      </c>
      <c r="Q21" s="257">
        <v>7910.574629</v>
      </c>
      <c r="R21" s="257">
        <v>112.486957497935</v>
      </c>
      <c r="V21" s="257">
        <f t="shared" si="11"/>
        <v>7798.08767150206</v>
      </c>
      <c r="W21" s="257">
        <v>-3142.90560930124</v>
      </c>
      <c r="Z21" s="257">
        <f t="shared" si="4"/>
        <v>4655.18206220083</v>
      </c>
      <c r="AB21" s="639">
        <v>44378</v>
      </c>
      <c r="AC21" s="231">
        <f t="shared" si="5"/>
        <v>0.0168696002547418</v>
      </c>
      <c r="AD21" s="148">
        <f t="shared" si="6"/>
        <v>0.366011909927405</v>
      </c>
      <c r="AE21" s="231">
        <f t="shared" si="7"/>
        <v>0.0204361958786771</v>
      </c>
      <c r="AG21" s="639">
        <v>44378</v>
      </c>
      <c r="AH21" s="650">
        <f t="shared" si="8"/>
        <v>0.402232199013647</v>
      </c>
      <c r="AI21" s="650">
        <f t="shared" si="9"/>
        <v>-0.723967338563199</v>
      </c>
      <c r="AJ21" s="650">
        <f t="shared" si="10"/>
        <v>0.196187285796146</v>
      </c>
      <c r="AL21" s="639">
        <v>44378</v>
      </c>
    </row>
    <row r="22" hidden="1" spans="1:38">
      <c r="A22" s="639">
        <v>44409</v>
      </c>
      <c r="B22" s="257">
        <v>1486957.56979877</v>
      </c>
      <c r="C22" s="257">
        <v>17899.2195369999</v>
      </c>
      <c r="D22" s="257">
        <f t="shared" si="0"/>
        <v>1504856.78933577</v>
      </c>
      <c r="F22" s="639">
        <v>44409</v>
      </c>
      <c r="G22" s="257">
        <f>'毛利-收入组成'!AP22</f>
        <v>28498.3046751201</v>
      </c>
      <c r="H22" s="130">
        <v>38539023.37</v>
      </c>
      <c r="I22" s="257">
        <f t="shared" si="1"/>
        <v>4085.13647722</v>
      </c>
      <c r="L22" s="257">
        <f t="shared" si="2"/>
        <v>24413.1681979001</v>
      </c>
      <c r="M22" s="257">
        <v>5710.07111881994</v>
      </c>
      <c r="N22" s="257">
        <f t="shared" si="3"/>
        <v>30123.23931672</v>
      </c>
      <c r="P22" s="639">
        <v>44409</v>
      </c>
      <c r="Q22" s="257">
        <v>9563.228849</v>
      </c>
      <c r="R22" s="257">
        <v>887.647346714151</v>
      </c>
      <c r="V22" s="257">
        <f t="shared" si="11"/>
        <v>8675.58150228585</v>
      </c>
      <c r="W22" s="257">
        <v>-4186.917583</v>
      </c>
      <c r="Z22" s="257">
        <f t="shared" si="4"/>
        <v>4488.66391928585</v>
      </c>
      <c r="AB22" s="639">
        <v>44409</v>
      </c>
      <c r="AC22" s="231">
        <f t="shared" si="5"/>
        <v>0.0164182009586218</v>
      </c>
      <c r="AD22" s="148">
        <f t="shared" si="6"/>
        <v>0.31901229587226</v>
      </c>
      <c r="AE22" s="231">
        <f t="shared" si="7"/>
        <v>0.0200173461888132</v>
      </c>
      <c r="AG22" s="639">
        <v>44409</v>
      </c>
      <c r="AH22" s="650">
        <f t="shared" si="8"/>
        <v>0.376686725699699</v>
      </c>
      <c r="AI22" s="650">
        <f t="shared" si="9"/>
        <v>-0.777246473052195</v>
      </c>
      <c r="AJ22" s="650">
        <f t="shared" si="10"/>
        <v>0.157950601009967</v>
      </c>
      <c r="AL22" s="639">
        <v>44409</v>
      </c>
    </row>
    <row r="23" hidden="1" spans="1:38">
      <c r="A23" s="639">
        <v>44440</v>
      </c>
      <c r="B23" s="257">
        <v>1664670.22090177</v>
      </c>
      <c r="C23" s="257">
        <v>22068.8002636399</v>
      </c>
      <c r="D23" s="257">
        <f t="shared" si="0"/>
        <v>1686739.02116541</v>
      </c>
      <c r="F23" s="639">
        <v>44440</v>
      </c>
      <c r="G23" s="257">
        <f>'毛利-收入组成'!AP23</f>
        <v>31841.63541666</v>
      </c>
      <c r="H23" s="130">
        <v>41417901.36</v>
      </c>
      <c r="I23" s="257">
        <f t="shared" si="1"/>
        <v>4390.29754416</v>
      </c>
      <c r="L23" s="257">
        <f t="shared" si="2"/>
        <v>27451.3378725</v>
      </c>
      <c r="M23" s="257">
        <v>7194.85917007796</v>
      </c>
      <c r="N23" s="257">
        <f t="shared" si="3"/>
        <v>34646.197042578</v>
      </c>
      <c r="P23" s="639">
        <v>44440</v>
      </c>
      <c r="Q23" s="257">
        <v>10693.952379</v>
      </c>
      <c r="R23" s="257">
        <v>777.151143111653</v>
      </c>
      <c r="V23" s="257">
        <f t="shared" si="11"/>
        <v>9916.80123588835</v>
      </c>
      <c r="W23" s="257">
        <v>-4721.50945636564</v>
      </c>
      <c r="Z23" s="257">
        <f t="shared" si="4"/>
        <v>5195.29177952271</v>
      </c>
      <c r="AB23" s="639">
        <v>44440</v>
      </c>
      <c r="AC23" s="231">
        <f t="shared" si="5"/>
        <v>0.0164905562241807</v>
      </c>
      <c r="AD23" s="148">
        <f t="shared" si="6"/>
        <v>0.326019497395699</v>
      </c>
      <c r="AE23" s="231">
        <f t="shared" si="7"/>
        <v>0.0205403424049798</v>
      </c>
      <c r="AG23" s="639">
        <v>44440</v>
      </c>
      <c r="AH23" s="650">
        <f t="shared" si="8"/>
        <v>0.382925209651515</v>
      </c>
      <c r="AI23" s="650">
        <f t="shared" si="9"/>
        <v>-0.695607781256037</v>
      </c>
      <c r="AJ23" s="650">
        <f t="shared" si="10"/>
        <v>0.158949892235685</v>
      </c>
      <c r="AL23" s="639">
        <v>44440</v>
      </c>
    </row>
    <row r="24" hidden="1" spans="1:38">
      <c r="A24" s="639">
        <v>44470</v>
      </c>
      <c r="B24" s="257">
        <v>1806282.52835477</v>
      </c>
      <c r="C24" s="257">
        <v>27398.8385116399</v>
      </c>
      <c r="D24" s="257">
        <f t="shared" si="0"/>
        <v>1833681.36686641</v>
      </c>
      <c r="F24" s="639">
        <v>44470</v>
      </c>
      <c r="G24" s="257">
        <f>'毛利-收入组成'!AP24</f>
        <v>33988.6978179804</v>
      </c>
      <c r="H24" s="130">
        <v>43956681.97</v>
      </c>
      <c r="I24" s="257">
        <f t="shared" si="1"/>
        <v>4659.40828882</v>
      </c>
      <c r="L24" s="257">
        <f t="shared" si="2"/>
        <v>29329.2895291604</v>
      </c>
      <c r="M24" s="257">
        <v>9048.69395939804</v>
      </c>
      <c r="N24" s="257">
        <f t="shared" si="3"/>
        <v>38377.9834885584</v>
      </c>
      <c r="P24" s="639">
        <v>44470</v>
      </c>
      <c r="Q24" s="257">
        <v>12165.081672</v>
      </c>
      <c r="R24" s="257">
        <v>307.975597793713</v>
      </c>
      <c r="V24" s="257">
        <f t="shared" si="11"/>
        <v>11857.1060742063</v>
      </c>
      <c r="W24" s="257">
        <v>-6032.22742584196</v>
      </c>
      <c r="Z24" s="257">
        <f t="shared" si="4"/>
        <v>5824.87864836433</v>
      </c>
      <c r="AB24" s="639">
        <v>44470</v>
      </c>
      <c r="AC24" s="231">
        <f t="shared" si="5"/>
        <v>0.016237376528175</v>
      </c>
      <c r="AD24" s="148">
        <f t="shared" si="6"/>
        <v>0.330258304765506</v>
      </c>
      <c r="AE24" s="231">
        <f t="shared" si="7"/>
        <v>0.0209294723620074</v>
      </c>
      <c r="AG24" s="639">
        <v>44470</v>
      </c>
      <c r="AH24" s="650">
        <f t="shared" si="8"/>
        <v>0.428531772860113</v>
      </c>
      <c r="AI24" s="650">
        <f t="shared" si="9"/>
        <v>-0.706639112791681</v>
      </c>
      <c r="AJ24" s="650">
        <f t="shared" si="10"/>
        <v>0.160883162845357</v>
      </c>
      <c r="AL24" s="639">
        <v>44470</v>
      </c>
    </row>
    <row r="25" hidden="1" spans="1:38">
      <c r="A25" s="639">
        <v>44501</v>
      </c>
      <c r="B25" s="257">
        <v>1984677.75806477</v>
      </c>
      <c r="C25" s="257">
        <v>34131.1127846399</v>
      </c>
      <c r="D25" s="257">
        <f t="shared" si="0"/>
        <v>2018808.87084941</v>
      </c>
      <c r="F25" s="639">
        <v>44501</v>
      </c>
      <c r="G25" s="257">
        <f>'毛利-收入组成'!AP25</f>
        <v>38643.1585961804</v>
      </c>
      <c r="H25" s="130">
        <v>47344756.64</v>
      </c>
      <c r="I25" s="257">
        <f t="shared" si="1"/>
        <v>5018.54420384</v>
      </c>
      <c r="J25" s="257">
        <v>0</v>
      </c>
      <c r="L25" s="257">
        <f t="shared" si="2"/>
        <v>33624.6143923404</v>
      </c>
      <c r="M25" s="257">
        <v>9572.80578206</v>
      </c>
      <c r="N25" s="257">
        <f t="shared" si="3"/>
        <v>43197.4201744004</v>
      </c>
      <c r="P25" s="639">
        <v>44501</v>
      </c>
      <c r="Q25" s="257">
        <v>13533.200216</v>
      </c>
      <c r="R25" s="257">
        <v>113.858428550592</v>
      </c>
      <c r="V25" s="257">
        <f t="shared" si="11"/>
        <v>13419.3417874494</v>
      </c>
      <c r="W25" s="257">
        <v>-6850.527537</v>
      </c>
      <c r="Z25" s="257">
        <f t="shared" si="4"/>
        <v>6568.81425044941</v>
      </c>
      <c r="AB25" s="639">
        <v>44501</v>
      </c>
      <c r="AC25" s="231">
        <f t="shared" si="5"/>
        <v>0.0169421026943574</v>
      </c>
      <c r="AD25" s="148">
        <f t="shared" si="6"/>
        <v>0.280471540510923</v>
      </c>
      <c r="AE25" s="231">
        <f t="shared" si="7"/>
        <v>0.0213974788788327</v>
      </c>
      <c r="AG25" s="639">
        <v>44501</v>
      </c>
      <c r="AH25" s="650">
        <f t="shared" si="8"/>
        <v>0.423038376848618</v>
      </c>
      <c r="AI25" s="650">
        <f t="shared" si="9"/>
        <v>-0.758561215440993</v>
      </c>
      <c r="AJ25" s="650">
        <f t="shared" si="10"/>
        <v>0.16118886445915</v>
      </c>
      <c r="AL25" s="639">
        <v>44501</v>
      </c>
    </row>
    <row r="26" hidden="1" spans="1:38">
      <c r="A26" s="639">
        <v>44531</v>
      </c>
      <c r="B26" s="257">
        <v>2148731.58484175</v>
      </c>
      <c r="C26" s="257">
        <v>42339.2907692799</v>
      </c>
      <c r="D26" s="257">
        <f t="shared" si="0"/>
        <v>2191070.87561103</v>
      </c>
      <c r="F26" s="639">
        <v>44531</v>
      </c>
      <c r="G26" s="257">
        <f>'毛利-收入组成'!AP26</f>
        <v>43403.1638062604</v>
      </c>
      <c r="H26" s="130">
        <v>48802379.21</v>
      </c>
      <c r="I26" s="257">
        <f t="shared" si="1"/>
        <v>5173.05219626</v>
      </c>
      <c r="J26" s="257">
        <v>0</v>
      </c>
      <c r="L26" s="257">
        <f t="shared" si="2"/>
        <v>38230.1116100004</v>
      </c>
      <c r="M26" s="257">
        <v>11140.6039600599</v>
      </c>
      <c r="N26" s="257">
        <f t="shared" si="3"/>
        <v>49370.7155700603</v>
      </c>
      <c r="P26" s="639">
        <v>44531</v>
      </c>
      <c r="Q26" s="257">
        <f>151608372.83/10000</f>
        <v>15160.837283</v>
      </c>
      <c r="R26" s="257">
        <v>1486.71796616461</v>
      </c>
      <c r="V26" s="257">
        <f t="shared" si="11"/>
        <v>13674.1193168354</v>
      </c>
      <c r="W26" s="257">
        <v>-7655.0038523751</v>
      </c>
      <c r="Z26" s="257">
        <f t="shared" si="4"/>
        <v>6019.11546446029</v>
      </c>
      <c r="AB26" s="639">
        <v>44531</v>
      </c>
      <c r="AC26" s="231">
        <f t="shared" si="5"/>
        <v>0.0177919438052175</v>
      </c>
      <c r="AD26" s="148">
        <f t="shared" si="6"/>
        <v>0.263126844064738</v>
      </c>
      <c r="AE26" s="231">
        <f t="shared" si="7"/>
        <v>0.0225326876093372</v>
      </c>
      <c r="AG26" s="639">
        <v>44531</v>
      </c>
      <c r="AH26" s="650">
        <f t="shared" si="8"/>
        <v>0.379140051269271</v>
      </c>
      <c r="AI26" s="650">
        <f t="shared" si="9"/>
        <v>-0.728354056261953</v>
      </c>
      <c r="AJ26" s="650">
        <f t="shared" si="10"/>
        <v>0.129231718006475</v>
      </c>
      <c r="AL26" s="639">
        <v>44531</v>
      </c>
    </row>
    <row r="27" spans="1:44">
      <c r="A27" s="640">
        <v>44562</v>
      </c>
      <c r="B27" s="257">
        <v>108052.899578</v>
      </c>
      <c r="C27" s="257">
        <v>2374.05855046</v>
      </c>
      <c r="D27" s="257">
        <f t="shared" si="0"/>
        <v>110426.95812846</v>
      </c>
      <c r="F27" s="640">
        <v>44562</v>
      </c>
      <c r="G27" s="257">
        <f>'毛利-收入组成'!AP27</f>
        <v>2571.87997958</v>
      </c>
      <c r="H27" s="130">
        <v>2707835.92</v>
      </c>
      <c r="I27" s="257">
        <f t="shared" si="1"/>
        <v>287.03060752</v>
      </c>
      <c r="J27" s="257">
        <v>655.10540815</v>
      </c>
      <c r="K27" s="257">
        <f t="shared" ref="K27:K69" si="12">R27*1.06</f>
        <v>-486.041770088523</v>
      </c>
      <c r="L27" s="257">
        <f t="shared" si="2"/>
        <v>3425.99655029852</v>
      </c>
      <c r="M27" s="257">
        <v>1436.02002718</v>
      </c>
      <c r="N27" s="257">
        <f t="shared" si="3"/>
        <v>4862.01657747852</v>
      </c>
      <c r="P27" s="640">
        <v>44562</v>
      </c>
      <c r="Q27" s="257">
        <v>554.64112</v>
      </c>
      <c r="R27" s="257">
        <f>-4585299.71781625/10000</f>
        <v>-458.529971781625</v>
      </c>
      <c r="S27" s="257">
        <v>160.39838015</v>
      </c>
      <c r="V27" s="257">
        <f t="shared" si="11"/>
        <v>1173.56947193163</v>
      </c>
      <c r="W27" s="257">
        <v>-1005.61331266</v>
      </c>
      <c r="Z27" s="257">
        <f t="shared" si="4"/>
        <v>167.956159271625</v>
      </c>
      <c r="AB27" s="640">
        <v>44562</v>
      </c>
      <c r="AC27" s="231">
        <f t="shared" si="5"/>
        <v>0.0317066600126302</v>
      </c>
      <c r="AD27" s="148">
        <f t="shared" si="6"/>
        <v>0.604879785674096</v>
      </c>
      <c r="AE27" s="231">
        <f t="shared" si="7"/>
        <v>0.0440292539057585</v>
      </c>
      <c r="AG27" s="640">
        <v>44562</v>
      </c>
      <c r="AH27" s="650">
        <f t="shared" si="8"/>
        <v>0.363101253017645</v>
      </c>
      <c r="AI27" s="650">
        <f t="shared" si="9"/>
        <v>-0.742294739101147</v>
      </c>
      <c r="AJ27" s="650">
        <f t="shared" si="10"/>
        <v>0.0366172196229434</v>
      </c>
      <c r="AL27" s="640">
        <v>44562</v>
      </c>
      <c r="AM27" s="130">
        <v>4419474.36</v>
      </c>
      <c r="AN27" s="130">
        <f>-12638207.1/3</f>
        <v>-4212735.7</v>
      </c>
      <c r="AQ27" s="13"/>
      <c r="AR27" s="13"/>
    </row>
    <row r="28" spans="1:44">
      <c r="A28" s="640">
        <v>44593</v>
      </c>
      <c r="B28" s="257">
        <v>194083.644645</v>
      </c>
      <c r="C28" s="257">
        <v>4905.4859935</v>
      </c>
      <c r="D28" s="257">
        <f t="shared" si="0"/>
        <v>198989.1306385</v>
      </c>
      <c r="F28" s="640">
        <v>44593</v>
      </c>
      <c r="G28" s="257">
        <f>'毛利-收入组成'!AP28</f>
        <v>4593.9911843797</v>
      </c>
      <c r="H28" s="130">
        <v>4898251.55</v>
      </c>
      <c r="I28" s="257">
        <f t="shared" si="1"/>
        <v>519.2146643</v>
      </c>
      <c r="J28" s="257">
        <v>895.37</v>
      </c>
      <c r="K28" s="257">
        <f t="shared" si="12"/>
        <v>-952.56962669466</v>
      </c>
      <c r="L28" s="257">
        <f t="shared" si="2"/>
        <v>5922.71614677436</v>
      </c>
      <c r="M28" s="257">
        <v>3006.565433</v>
      </c>
      <c r="N28" s="257">
        <f t="shared" si="3"/>
        <v>8929.28157977436</v>
      </c>
      <c r="P28" s="640">
        <v>44593</v>
      </c>
      <c r="Q28" s="257">
        <v>632.652321</v>
      </c>
      <c r="R28" s="257">
        <f>-4585299.71781625/10000-4401206.19439752/10000</f>
        <v>-898.650591221377</v>
      </c>
      <c r="S28" s="257">
        <v>103.02</v>
      </c>
      <c r="V28" s="257">
        <f t="shared" si="11"/>
        <v>1634.32291222138</v>
      </c>
      <c r="W28" s="257">
        <v>-1072.18</v>
      </c>
      <c r="Z28" s="257">
        <f t="shared" si="4"/>
        <v>562.142912221377</v>
      </c>
      <c r="AB28" s="640">
        <v>44593</v>
      </c>
      <c r="AC28" s="231">
        <f t="shared" si="5"/>
        <v>0.030516307325162</v>
      </c>
      <c r="AD28" s="148">
        <f t="shared" si="6"/>
        <v>0.612898586803395</v>
      </c>
      <c r="AE28" s="231">
        <f t="shared" si="7"/>
        <v>0.0448732126781137</v>
      </c>
      <c r="AG28" s="640">
        <v>44593</v>
      </c>
      <c r="AH28" s="650">
        <f t="shared" si="8"/>
        <v>0.292497942501964</v>
      </c>
      <c r="AI28" s="650">
        <f t="shared" si="9"/>
        <v>-0.378009667617967</v>
      </c>
      <c r="AJ28" s="650">
        <f t="shared" si="10"/>
        <v>0.0667322988564235</v>
      </c>
      <c r="AL28" s="640">
        <v>44593</v>
      </c>
      <c r="AM28" s="130">
        <v>2602332.17</v>
      </c>
      <c r="AN28" s="130">
        <f t="shared" ref="AN27:AN29" si="13">-12638207.1/3</f>
        <v>-4212735.7</v>
      </c>
      <c r="AQ28" s="13"/>
      <c r="AR28" s="13"/>
    </row>
    <row r="29" spans="1:44">
      <c r="A29" s="640">
        <v>44621</v>
      </c>
      <c r="B29" s="257">
        <v>326827.751907</v>
      </c>
      <c r="C29" s="257">
        <v>7834.8750365</v>
      </c>
      <c r="D29" s="257">
        <f t="shared" si="0"/>
        <v>334662.6269435</v>
      </c>
      <c r="F29" s="640">
        <v>44621</v>
      </c>
      <c r="G29" s="257">
        <f>'毛利-收入组成'!AP29</f>
        <v>8008.3700428397</v>
      </c>
      <c r="H29" s="130">
        <v>6963186.24</v>
      </c>
      <c r="I29" s="257">
        <f t="shared" si="1"/>
        <v>738.09774144</v>
      </c>
      <c r="J29" s="257">
        <v>1265.12</v>
      </c>
      <c r="K29" s="257">
        <f t="shared" si="12"/>
        <v>-1339.64995287565</v>
      </c>
      <c r="L29" s="257">
        <f t="shared" si="2"/>
        <v>9875.04225427535</v>
      </c>
      <c r="M29" s="257">
        <v>4720.674914</v>
      </c>
      <c r="N29" s="257">
        <f t="shared" si="3"/>
        <v>14595.7171682754</v>
      </c>
      <c r="P29" s="640">
        <v>44621</v>
      </c>
      <c r="Q29" s="257">
        <v>1386.528945</v>
      </c>
      <c r="R29" s="257">
        <v>-1263.82071026005</v>
      </c>
      <c r="S29" s="257">
        <v>203.797852</v>
      </c>
      <c r="V29" s="257">
        <f t="shared" si="11"/>
        <v>2854.14750726005</v>
      </c>
      <c r="W29" s="257">
        <v>-1370.88</v>
      </c>
      <c r="Z29" s="257">
        <f t="shared" si="4"/>
        <v>1483.26750726005</v>
      </c>
      <c r="AB29" s="640">
        <v>44621</v>
      </c>
      <c r="AC29" s="231">
        <f t="shared" si="5"/>
        <v>0.0302148217116071</v>
      </c>
      <c r="AD29" s="148">
        <f t="shared" si="6"/>
        <v>0.602520766701191</v>
      </c>
      <c r="AE29" s="231">
        <f t="shared" si="7"/>
        <v>0.0436132271523091</v>
      </c>
      <c r="AG29" s="640">
        <v>44621</v>
      </c>
      <c r="AH29" s="650">
        <f t="shared" si="8"/>
        <v>0.306367940490161</v>
      </c>
      <c r="AI29" s="650">
        <f t="shared" si="9"/>
        <v>-0.307823102940318</v>
      </c>
      <c r="AJ29" s="650">
        <f t="shared" si="10"/>
        <v>0.107720884117504</v>
      </c>
      <c r="AL29" s="640">
        <v>44621</v>
      </c>
      <c r="AM29" s="130">
        <v>6160436.96</v>
      </c>
      <c r="AN29" s="130">
        <f t="shared" si="13"/>
        <v>-4212735.7</v>
      </c>
      <c r="AO29" s="244">
        <v>146.567852</v>
      </c>
      <c r="AQ29" s="13"/>
      <c r="AR29" s="13"/>
    </row>
    <row r="30" spans="1:44">
      <c r="A30" s="640">
        <v>44652</v>
      </c>
      <c r="B30" s="257">
        <v>448332.98415</v>
      </c>
      <c r="C30" s="257">
        <v>8907.41382564</v>
      </c>
      <c r="D30" s="257">
        <f t="shared" si="0"/>
        <v>457240.39797564</v>
      </c>
      <c r="F30" s="640">
        <v>44652</v>
      </c>
      <c r="G30" s="257">
        <f>'毛利-收入组成'!AP30</f>
        <v>10700.5648440397</v>
      </c>
      <c r="H30" s="130">
        <v>9273917.56</v>
      </c>
      <c r="I30" s="257">
        <f t="shared" si="1"/>
        <v>983.03526136</v>
      </c>
      <c r="J30" s="257">
        <v>1531.86418181</v>
      </c>
      <c r="K30" s="257">
        <f t="shared" si="12"/>
        <v>-1249.42270405276</v>
      </c>
      <c r="L30" s="257">
        <f t="shared" si="2"/>
        <v>12498.8164685425</v>
      </c>
      <c r="M30" s="257">
        <v>6687.3105206</v>
      </c>
      <c r="N30" s="257">
        <f t="shared" si="3"/>
        <v>19186.1269891425</v>
      </c>
      <c r="P30" s="640">
        <v>44652</v>
      </c>
      <c r="Q30" s="257">
        <v>1630.635369</v>
      </c>
      <c r="R30" s="257">
        <v>-1178.70066420072</v>
      </c>
      <c r="S30" s="257">
        <v>4.46740400000002</v>
      </c>
      <c r="V30" s="257">
        <f t="shared" si="11"/>
        <v>2813.80343720072</v>
      </c>
      <c r="W30" s="257">
        <v>-1783.218096</v>
      </c>
      <c r="Z30" s="257">
        <f t="shared" si="4"/>
        <v>1030.58534120072</v>
      </c>
      <c r="AB30" s="640">
        <v>44652</v>
      </c>
      <c r="AC30" s="231">
        <f t="shared" si="5"/>
        <v>0.0278784227581183</v>
      </c>
      <c r="AD30" s="148">
        <f t="shared" si="6"/>
        <v>0.750757812705476</v>
      </c>
      <c r="AE30" s="231">
        <f t="shared" si="7"/>
        <v>0.0419606996102838</v>
      </c>
      <c r="AG30" s="640">
        <v>44652</v>
      </c>
      <c r="AH30" s="650">
        <f t="shared" si="8"/>
        <v>0.238633125859522</v>
      </c>
      <c r="AI30" s="650">
        <f t="shared" si="9"/>
        <v>-0.282656409618976</v>
      </c>
      <c r="AJ30" s="650">
        <f t="shared" si="10"/>
        <v>0.0569380397769164</v>
      </c>
      <c r="AK30" s="425"/>
      <c r="AL30" s="640">
        <v>44652</v>
      </c>
      <c r="AM30" s="130">
        <v>3124110.2</v>
      </c>
      <c r="AN30" s="130">
        <v>851200.460593292</v>
      </c>
      <c r="AO30" s="244">
        <v>-11.900448</v>
      </c>
      <c r="AQ30" s="13"/>
      <c r="AR30" s="13"/>
    </row>
    <row r="31" spans="1:44">
      <c r="A31" s="640">
        <v>44682</v>
      </c>
      <c r="B31" s="257">
        <v>584617.02294829</v>
      </c>
      <c r="C31" s="257">
        <v>11251.9151577398</v>
      </c>
      <c r="D31" s="257">
        <f t="shared" si="0"/>
        <v>595868.93810603</v>
      </c>
      <c r="F31" s="640">
        <v>44682</v>
      </c>
      <c r="G31" s="257">
        <f>'毛利-收入组成'!AP31</f>
        <v>13310.05702192</v>
      </c>
      <c r="H31" s="130">
        <v>11902620.33</v>
      </c>
      <c r="I31" s="257">
        <f t="shared" si="1"/>
        <v>1261.67775498</v>
      </c>
      <c r="J31" s="257">
        <v>1849.54393938</v>
      </c>
      <c r="K31" s="257">
        <f t="shared" si="12"/>
        <v>-1388.95709598</v>
      </c>
      <c r="L31" s="257">
        <f t="shared" si="2"/>
        <v>15286.8803023</v>
      </c>
      <c r="M31" s="257">
        <v>8601.35285132</v>
      </c>
      <c r="N31" s="257">
        <f t="shared" si="3"/>
        <v>23888.23315362</v>
      </c>
      <c r="P31" s="640">
        <v>44682</v>
      </c>
      <c r="Q31" s="257">
        <v>1691.002652</v>
      </c>
      <c r="R31" s="257">
        <f>-13103368.83/10000</f>
        <v>-1310.336883</v>
      </c>
      <c r="S31" s="257">
        <v>45.146767</v>
      </c>
      <c r="V31" s="257">
        <f t="shared" si="11"/>
        <v>3046.486302</v>
      </c>
      <c r="W31" s="257">
        <v>-2102.622364</v>
      </c>
      <c r="Z31" s="257">
        <f t="shared" si="4"/>
        <v>943.863938</v>
      </c>
      <c r="AB31" s="640">
        <v>44682</v>
      </c>
      <c r="AC31" s="231">
        <f t="shared" si="5"/>
        <v>0.0261485377644437</v>
      </c>
      <c r="AD31" s="148">
        <f t="shared" si="6"/>
        <v>0.764434563426603</v>
      </c>
      <c r="AE31" s="231">
        <f t="shared" si="7"/>
        <v>0.0400897439452856</v>
      </c>
      <c r="AG31" s="640">
        <v>44682</v>
      </c>
      <c r="AH31" s="650">
        <f t="shared" si="8"/>
        <v>0.211244898649081</v>
      </c>
      <c r="AI31" s="650">
        <f t="shared" si="9"/>
        <v>-0.259119669238771</v>
      </c>
      <c r="AJ31" s="650">
        <f t="shared" si="10"/>
        <v>0.0418823681034102</v>
      </c>
      <c r="AK31" s="425"/>
      <c r="AL31" s="640">
        <v>44682</v>
      </c>
      <c r="AM31" s="130">
        <v>603672.789999899</v>
      </c>
      <c r="AN31" s="130">
        <f t="shared" ref="AN31:AN38" si="14">(R31-R30)*10000</f>
        <v>-1316362.1879928</v>
      </c>
      <c r="AO31" s="244">
        <v>208.222596</v>
      </c>
      <c r="AQ31" s="13"/>
      <c r="AR31" s="13"/>
    </row>
    <row r="32" spans="1:44">
      <c r="A32" s="640">
        <v>44713</v>
      </c>
      <c r="B32" s="257">
        <v>727745.906409721</v>
      </c>
      <c r="C32" s="257">
        <v>13983.2696523</v>
      </c>
      <c r="D32" s="257">
        <f t="shared" si="0"/>
        <v>741729.176062021</v>
      </c>
      <c r="F32" s="640">
        <v>44713</v>
      </c>
      <c r="G32" s="257">
        <f>'毛利-收入组成'!AP32</f>
        <v>17052.4032780401</v>
      </c>
      <c r="H32" s="130">
        <v>15547055.48</v>
      </c>
      <c r="I32" s="257">
        <f t="shared" si="1"/>
        <v>1647.98788088</v>
      </c>
      <c r="J32" s="257">
        <v>2173.82725368</v>
      </c>
      <c r="K32" s="257">
        <f t="shared" si="12"/>
        <v>-1365.4349349</v>
      </c>
      <c r="L32" s="257">
        <f t="shared" si="2"/>
        <v>18943.6775857401</v>
      </c>
      <c r="M32" s="257">
        <v>10706.91425212</v>
      </c>
      <c r="N32" s="257">
        <f t="shared" si="3"/>
        <v>29650.5918378601</v>
      </c>
      <c r="P32" s="640">
        <v>44713</v>
      </c>
      <c r="Q32" s="257">
        <v>3194.83820600002</v>
      </c>
      <c r="R32" s="257">
        <f>-12881461.65/10000</f>
        <v>-1288.146165</v>
      </c>
      <c r="S32" s="257">
        <v>-520.135645</v>
      </c>
      <c r="V32" s="257">
        <f t="shared" si="11"/>
        <v>3962.84872600002</v>
      </c>
      <c r="W32" s="257">
        <v>-2258.996982</v>
      </c>
      <c r="Z32" s="257">
        <f t="shared" si="4"/>
        <v>1703.85174400002</v>
      </c>
      <c r="AB32" s="640">
        <v>44713</v>
      </c>
      <c r="AC32" s="231">
        <f t="shared" si="5"/>
        <v>0.0260306206038276</v>
      </c>
      <c r="AD32" s="148">
        <f t="shared" si="6"/>
        <v>0.765694613516868</v>
      </c>
      <c r="AE32" s="231">
        <f t="shared" si="7"/>
        <v>0.0399749568909782</v>
      </c>
      <c r="AG32" s="640">
        <v>44713</v>
      </c>
      <c r="AH32" s="650">
        <f t="shared" si="8"/>
        <v>0.221742564533618</v>
      </c>
      <c r="AI32" s="650">
        <f t="shared" si="9"/>
        <v>-0.223643969171218</v>
      </c>
      <c r="AJ32" s="650">
        <f t="shared" si="10"/>
        <v>0.0609122023100355</v>
      </c>
      <c r="AK32" s="425"/>
      <c r="AL32" s="640">
        <v>44713</v>
      </c>
      <c r="AM32" s="130">
        <v>15038355.5800002</v>
      </c>
      <c r="AN32" s="130">
        <f t="shared" si="14"/>
        <v>221907.179999998</v>
      </c>
      <c r="AO32" s="244">
        <v>-280.713167</v>
      </c>
      <c r="AQ32" s="13"/>
      <c r="AR32" s="13"/>
    </row>
    <row r="33" spans="1:44">
      <c r="A33" s="640">
        <v>44743</v>
      </c>
      <c r="B33" s="257">
        <v>850965.842971721</v>
      </c>
      <c r="C33" s="257">
        <v>16453.57114572</v>
      </c>
      <c r="D33" s="257">
        <f t="shared" si="0"/>
        <v>867419.414117441</v>
      </c>
      <c r="F33" s="640">
        <v>44743</v>
      </c>
      <c r="G33" s="257">
        <f>'毛利-收入组成'!AP33</f>
        <v>20185.9328324601</v>
      </c>
      <c r="H33" s="130">
        <v>18238987.66</v>
      </c>
      <c r="I33" s="257">
        <f t="shared" si="1"/>
        <v>1933.33269196</v>
      </c>
      <c r="J33" s="257">
        <v>2432.4562</v>
      </c>
      <c r="K33" s="257">
        <f t="shared" si="12"/>
        <v>-1463.22476002</v>
      </c>
      <c r="L33" s="257">
        <f t="shared" si="2"/>
        <v>22148.2811005201</v>
      </c>
      <c r="M33" s="257">
        <v>13005.352</v>
      </c>
      <c r="N33" s="257">
        <f t="shared" si="3"/>
        <v>35153.6331005201</v>
      </c>
      <c r="P33" s="640">
        <v>44743</v>
      </c>
      <c r="Q33" s="257">
        <v>3804.432008</v>
      </c>
      <c r="R33" s="257">
        <f>-13804007.17/10000</f>
        <v>-1380.400717</v>
      </c>
      <c r="S33" s="257">
        <v>-820.04</v>
      </c>
      <c r="V33" s="257">
        <f t="shared" si="11"/>
        <v>4364.792725</v>
      </c>
      <c r="W33" s="257">
        <v>-2988.73</v>
      </c>
      <c r="Z33" s="257">
        <f t="shared" si="4"/>
        <v>1376.062725</v>
      </c>
      <c r="AB33" s="640">
        <v>44743</v>
      </c>
      <c r="AC33" s="231">
        <f t="shared" si="5"/>
        <v>0.0260272269250837</v>
      </c>
      <c r="AD33" s="148">
        <f t="shared" si="6"/>
        <v>0.790427311178767</v>
      </c>
      <c r="AE33" s="231">
        <f t="shared" si="7"/>
        <v>0.0405266847022179</v>
      </c>
      <c r="AG33" s="640">
        <v>44743</v>
      </c>
      <c r="AH33" s="650">
        <f t="shared" si="8"/>
        <v>0.208895682129994</v>
      </c>
      <c r="AI33" s="650">
        <f t="shared" si="9"/>
        <v>-0.243596159488801</v>
      </c>
      <c r="AJ33" s="650">
        <f t="shared" si="10"/>
        <v>0.0414929086939358</v>
      </c>
      <c r="AK33" s="425"/>
      <c r="AL33" s="640">
        <v>44743</v>
      </c>
      <c r="AM33" s="130">
        <v>6095938.02000006</v>
      </c>
      <c r="AN33" s="130">
        <f t="shared" si="14"/>
        <v>-922545.519999999</v>
      </c>
      <c r="AO33" s="244">
        <v>15.963167</v>
      </c>
      <c r="AQ33" s="13"/>
      <c r="AR33" s="13"/>
    </row>
    <row r="34" spans="1:44">
      <c r="A34" s="640">
        <v>44774</v>
      </c>
      <c r="B34" s="257">
        <v>985758.183133721</v>
      </c>
      <c r="C34" s="641">
        <v>19132.3184785</v>
      </c>
      <c r="D34" s="257">
        <f t="shared" si="0"/>
        <v>1004890.50161222</v>
      </c>
      <c r="F34" s="640">
        <v>44774</v>
      </c>
      <c r="G34" s="257">
        <f>'毛利-收入组成'!AP34</f>
        <v>25497.3651300401</v>
      </c>
      <c r="H34" s="130">
        <v>21451872.05</v>
      </c>
      <c r="I34" s="257">
        <f t="shared" si="1"/>
        <v>2273.8984373</v>
      </c>
      <c r="J34" s="257">
        <v>3031.335</v>
      </c>
      <c r="K34" s="257">
        <f t="shared" si="12"/>
        <v>-1426.75733960175</v>
      </c>
      <c r="L34" s="257">
        <f t="shared" si="2"/>
        <v>27681.5590323419</v>
      </c>
      <c r="M34" s="257">
        <v>15290.9982</v>
      </c>
      <c r="N34" s="257">
        <f t="shared" si="3"/>
        <v>42972.5572323419</v>
      </c>
      <c r="P34" s="640">
        <v>44774</v>
      </c>
      <c r="Q34" s="257">
        <f>54992357.66/10000</f>
        <v>5499.235766</v>
      </c>
      <c r="R34" s="257">
        <f>-13459974.9019033/10000</f>
        <v>-1345.99749019033</v>
      </c>
      <c r="S34" s="257">
        <v>-606.21</v>
      </c>
      <c r="V34" s="257">
        <f t="shared" si="11"/>
        <v>6239.02325619033</v>
      </c>
      <c r="W34" s="257">
        <v>-3396.47</v>
      </c>
      <c r="Z34" s="257">
        <f t="shared" si="4"/>
        <v>2842.55325619033</v>
      </c>
      <c r="AB34" s="640">
        <v>44774</v>
      </c>
      <c r="AC34" s="231">
        <f t="shared" si="5"/>
        <v>0.0280814904770481</v>
      </c>
      <c r="AD34" s="148">
        <f t="shared" si="6"/>
        <v>0.799223482359616</v>
      </c>
      <c r="AE34" s="231">
        <f t="shared" si="7"/>
        <v>0.0427634226449527</v>
      </c>
      <c r="AG34" s="640">
        <v>44774</v>
      </c>
      <c r="AH34" s="650">
        <f t="shared" si="8"/>
        <v>0.238908677211244</v>
      </c>
      <c r="AI34" s="650">
        <f t="shared" si="9"/>
        <v>-0.235449520882162</v>
      </c>
      <c r="AJ34" s="650">
        <f t="shared" si="10"/>
        <v>0.0701169919972562</v>
      </c>
      <c r="AK34" s="425"/>
      <c r="AL34" s="640">
        <v>44774</v>
      </c>
      <c r="AM34" s="130">
        <v>16948037.5799993</v>
      </c>
      <c r="AN34" s="130">
        <f t="shared" si="14"/>
        <v>344032.268096701</v>
      </c>
      <c r="AO34" s="244">
        <v>302.64</v>
      </c>
      <c r="AQ34" s="13"/>
      <c r="AR34" s="13"/>
    </row>
    <row r="35" spans="1:44">
      <c r="A35" s="640">
        <v>44805</v>
      </c>
      <c r="B35" s="257">
        <v>1135221.79571072</v>
      </c>
      <c r="C35" s="257">
        <v>22645.07122958</v>
      </c>
      <c r="D35" s="257">
        <f t="shared" si="0"/>
        <v>1157866.8669403</v>
      </c>
      <c r="F35" s="640">
        <v>44805</v>
      </c>
      <c r="G35" s="257">
        <f>'毛利-收入组成'!AP35</f>
        <v>28661.8814268601</v>
      </c>
      <c r="H35" s="130">
        <v>24370597.15</v>
      </c>
      <c r="I35" s="257">
        <f t="shared" si="1"/>
        <v>2583.2832979</v>
      </c>
      <c r="J35" s="257">
        <v>4014.432</v>
      </c>
      <c r="K35" s="257">
        <f t="shared" si="12"/>
        <v>-1269.18044734172</v>
      </c>
      <c r="L35" s="257">
        <f t="shared" si="2"/>
        <v>31362.2105763018</v>
      </c>
      <c r="M35" s="257">
        <v>17952.319</v>
      </c>
      <c r="N35" s="257">
        <f t="shared" si="3"/>
        <v>49314.5295763018</v>
      </c>
      <c r="P35" s="640">
        <v>44805</v>
      </c>
      <c r="Q35" s="257">
        <f>60424603.79/10000</f>
        <v>6042.460379</v>
      </c>
      <c r="R35" s="257">
        <f>-11973400.44662/10000</f>
        <v>-1197.340044662</v>
      </c>
      <c r="S35" s="257">
        <v>-844.98</v>
      </c>
      <c r="V35" s="257">
        <f t="shared" si="11"/>
        <v>6394.820423662</v>
      </c>
      <c r="W35" s="257">
        <v>-4007.97</v>
      </c>
      <c r="Z35" s="257">
        <f t="shared" si="4"/>
        <v>2386.850423662</v>
      </c>
      <c r="AB35" s="640">
        <v>44805</v>
      </c>
      <c r="AC35" s="231">
        <f t="shared" si="5"/>
        <v>0.0276265049656372</v>
      </c>
      <c r="AD35" s="148">
        <f t="shared" si="6"/>
        <v>0.792769376523306</v>
      </c>
      <c r="AE35" s="231">
        <f t="shared" si="7"/>
        <v>0.0425908461364103</v>
      </c>
      <c r="AG35" s="640">
        <v>44805</v>
      </c>
      <c r="AH35" s="650">
        <f t="shared" si="8"/>
        <v>0.216136220136337</v>
      </c>
      <c r="AI35" s="650">
        <f t="shared" si="9"/>
        <v>-0.236651777411041</v>
      </c>
      <c r="AJ35" s="650">
        <f t="shared" si="10"/>
        <v>0.051304584486953</v>
      </c>
      <c r="AK35" s="425"/>
      <c r="AL35" s="640">
        <v>44805</v>
      </c>
      <c r="AM35" s="130">
        <v>5432246.12999998</v>
      </c>
      <c r="AN35" s="130">
        <f t="shared" si="14"/>
        <v>1486574.4552833</v>
      </c>
      <c r="AO35" s="244">
        <v>-155.56</v>
      </c>
      <c r="AQ35" s="13"/>
      <c r="AR35" s="13"/>
    </row>
    <row r="36" spans="1:44">
      <c r="A36" s="640">
        <v>44835</v>
      </c>
      <c r="B36" s="257">
        <v>1282790.9938808</v>
      </c>
      <c r="C36" s="257">
        <v>30802.28958358</v>
      </c>
      <c r="D36" s="257">
        <f t="shared" si="0"/>
        <v>1313593.28346438</v>
      </c>
      <c r="F36" s="640">
        <v>44835</v>
      </c>
      <c r="G36" s="257">
        <f>'毛利-收入组成'!AP36</f>
        <v>31941.9235956401</v>
      </c>
      <c r="H36" s="130">
        <v>27931644.94</v>
      </c>
      <c r="I36" s="257">
        <f t="shared" si="1"/>
        <v>2960.75436364</v>
      </c>
      <c r="J36" s="257">
        <v>4527.9066</v>
      </c>
      <c r="K36" s="257">
        <f t="shared" si="12"/>
        <v>-1399.68033677282</v>
      </c>
      <c r="L36" s="257">
        <f t="shared" si="2"/>
        <v>34908.7561687729</v>
      </c>
      <c r="M36" s="257">
        <v>20691.8572</v>
      </c>
      <c r="N36" s="257">
        <f t="shared" si="3"/>
        <v>55600.6133687729</v>
      </c>
      <c r="P36" s="640">
        <v>44835</v>
      </c>
      <c r="Q36" s="257">
        <f>70722471.56/10000</f>
        <v>7072.247156</v>
      </c>
      <c r="R36" s="257">
        <f>-13204531.4789889/10000</f>
        <v>-1320.45314789889</v>
      </c>
      <c r="S36" s="257">
        <v>-989.72</v>
      </c>
      <c r="V36" s="257">
        <f t="shared" si="11"/>
        <v>7402.98030389889</v>
      </c>
      <c r="W36" s="257">
        <v>-3546.33</v>
      </c>
      <c r="Z36" s="257">
        <f t="shared" si="4"/>
        <v>3856.65030389889</v>
      </c>
      <c r="AB36" s="640">
        <v>44835</v>
      </c>
      <c r="AC36" s="231">
        <f t="shared" si="5"/>
        <v>0.0272131285106424</v>
      </c>
      <c r="AD36" s="148">
        <f t="shared" si="6"/>
        <v>0.671763608476376</v>
      </c>
      <c r="AE36" s="231">
        <f t="shared" si="7"/>
        <v>0.0423271145404578</v>
      </c>
      <c r="AG36" s="640">
        <v>44835</v>
      </c>
      <c r="AH36" s="650">
        <f t="shared" si="8"/>
        <v>0.224790567850492</v>
      </c>
      <c r="AI36" s="650">
        <f t="shared" si="9"/>
        <v>-0.181670971516274</v>
      </c>
      <c r="AJ36" s="650">
        <f t="shared" si="10"/>
        <v>0.0735252558280014</v>
      </c>
      <c r="AK36" s="425"/>
      <c r="AL36" s="640">
        <v>44835</v>
      </c>
      <c r="AM36" s="130">
        <v>10297813.0400008</v>
      </c>
      <c r="AN36" s="130">
        <f t="shared" si="14"/>
        <v>-1231131.0323689</v>
      </c>
      <c r="AO36" s="244">
        <v>-99.33</v>
      </c>
      <c r="AQ36" s="13"/>
      <c r="AR36" s="13"/>
    </row>
    <row r="37" spans="1:44">
      <c r="A37" s="640">
        <v>44866</v>
      </c>
      <c r="B37" s="257">
        <v>1458208.41004867</v>
      </c>
      <c r="C37" s="257">
        <v>28395.37322158</v>
      </c>
      <c r="D37" s="257">
        <f t="shared" si="0"/>
        <v>1486603.78327025</v>
      </c>
      <c r="F37" s="640">
        <v>44866</v>
      </c>
      <c r="G37" s="257">
        <f>'毛利-收入组成'!AP37</f>
        <v>36141.2309813801</v>
      </c>
      <c r="H37" s="130">
        <v>34940281.78</v>
      </c>
      <c r="I37" s="257">
        <f t="shared" si="1"/>
        <v>3703.66986868</v>
      </c>
      <c r="J37" s="257">
        <v>5080.3998</v>
      </c>
      <c r="K37" s="257">
        <f t="shared" si="12"/>
        <v>-1487.86396943835</v>
      </c>
      <c r="L37" s="257">
        <f t="shared" si="2"/>
        <v>39005.8248821384</v>
      </c>
      <c r="M37" s="257">
        <v>23119.872</v>
      </c>
      <c r="N37" s="257">
        <f t="shared" si="3"/>
        <v>62125.6968821385</v>
      </c>
      <c r="P37" s="640">
        <v>44866</v>
      </c>
      <c r="Q37" s="257">
        <f>75107451.42/10000</f>
        <v>7510.745142</v>
      </c>
      <c r="R37" s="257">
        <f>-14036452.5418712/10000</f>
        <v>-1403.64525418712</v>
      </c>
      <c r="S37" s="257">
        <v>-1132.02</v>
      </c>
      <c r="V37" s="257">
        <f t="shared" si="11"/>
        <v>7782.37039618712</v>
      </c>
      <c r="W37" s="257">
        <v>-3545.53</v>
      </c>
      <c r="Z37" s="257">
        <f t="shared" si="4"/>
        <v>4236.84039618712</v>
      </c>
      <c r="AB37" s="640">
        <v>44866</v>
      </c>
      <c r="AC37" s="231">
        <f t="shared" si="5"/>
        <v>0.0267491427242808</v>
      </c>
      <c r="AD37" s="148">
        <f t="shared" si="6"/>
        <v>0.81421264723611</v>
      </c>
      <c r="AE37" s="231">
        <f t="shared" si="7"/>
        <v>0.041790353005475</v>
      </c>
      <c r="AG37" s="640">
        <v>44866</v>
      </c>
      <c r="AH37" s="650">
        <f t="shared" si="8"/>
        <v>0.211489249230975</v>
      </c>
      <c r="AI37" s="650">
        <f t="shared" si="9"/>
        <v>-0.162555476085681</v>
      </c>
      <c r="AJ37" s="650">
        <f t="shared" si="10"/>
        <v>0.0722897455537364</v>
      </c>
      <c r="AK37" s="425"/>
      <c r="AL37" s="640">
        <v>44866</v>
      </c>
      <c r="AM37" s="130">
        <v>3561925.27999946</v>
      </c>
      <c r="AN37" s="130">
        <f t="shared" si="14"/>
        <v>-831921.062882298</v>
      </c>
      <c r="AO37" s="244">
        <v>-166.06</v>
      </c>
      <c r="AQ37" s="13"/>
      <c r="AR37" s="13"/>
    </row>
    <row r="38" spans="1:46">
      <c r="A38" s="640">
        <v>44896</v>
      </c>
      <c r="B38" s="257">
        <v>1630463.79639959</v>
      </c>
      <c r="C38" s="257">
        <v>43463.22048443</v>
      </c>
      <c r="D38" s="257">
        <f t="shared" si="0"/>
        <v>1673927.01688402</v>
      </c>
      <c r="F38" s="640">
        <v>44896</v>
      </c>
      <c r="G38" s="257">
        <f>'毛利-收入组成'!AP38</f>
        <v>43520.1239824001</v>
      </c>
      <c r="H38" s="130">
        <v>39830925.24</v>
      </c>
      <c r="I38" s="257">
        <f t="shared" si="1"/>
        <v>4222.07807544</v>
      </c>
      <c r="J38" s="257">
        <v>6011.9066</v>
      </c>
      <c r="K38" s="257">
        <f t="shared" si="12"/>
        <v>-1190.80491743</v>
      </c>
      <c r="L38" s="257">
        <f t="shared" si="2"/>
        <v>46500.7574243901</v>
      </c>
      <c r="M38" s="257">
        <v>25043.454</v>
      </c>
      <c r="N38" s="257">
        <f t="shared" si="3"/>
        <v>71544.2114243901</v>
      </c>
      <c r="P38" s="640">
        <v>44896</v>
      </c>
      <c r="Q38" s="257">
        <f>115027391.79/10000</f>
        <v>11502.739179</v>
      </c>
      <c r="R38" s="257">
        <f>-11234008.655/10000</f>
        <v>-1123.4008655</v>
      </c>
      <c r="S38" s="257">
        <v>-1269.48</v>
      </c>
      <c r="V38" s="257">
        <f t="shared" si="11"/>
        <v>11356.6600445</v>
      </c>
      <c r="W38" s="257">
        <v>-4104.55</v>
      </c>
      <c r="Z38" s="257">
        <f t="shared" si="4"/>
        <v>7252.1100445</v>
      </c>
      <c r="AB38" s="640">
        <v>44896</v>
      </c>
      <c r="AC38" s="231">
        <f t="shared" si="5"/>
        <v>0.0285199570374231</v>
      </c>
      <c r="AD38" s="148">
        <f t="shared" si="6"/>
        <v>0.576198765781091</v>
      </c>
      <c r="AE38" s="231">
        <f t="shared" si="7"/>
        <v>0.0427403409484173</v>
      </c>
      <c r="AG38" s="640">
        <v>44896</v>
      </c>
      <c r="AH38" s="650">
        <f t="shared" si="8"/>
        <v>0.258878786366949</v>
      </c>
      <c r="AI38" s="650">
        <f t="shared" si="9"/>
        <v>-0.173730947815745</v>
      </c>
      <c r="AJ38" s="650">
        <f t="shared" si="10"/>
        <v>0.107447360088581</v>
      </c>
      <c r="AK38" s="425"/>
      <c r="AL38" s="640">
        <v>44896</v>
      </c>
      <c r="AM38" s="130">
        <v>18287189.7299999</v>
      </c>
      <c r="AN38" s="130">
        <f t="shared" si="14"/>
        <v>2802443.8868712</v>
      </c>
      <c r="AO38" s="244">
        <v>184.5</v>
      </c>
      <c r="AQ38" s="13"/>
      <c r="AR38" s="425"/>
      <c r="AS38" s="14"/>
      <c r="AT38" s="13"/>
    </row>
    <row r="39" spans="1:44">
      <c r="A39" s="642">
        <v>44927</v>
      </c>
      <c r="B39" s="257">
        <f>'GMV表-商品大类'!T42+B95</f>
        <v>139899.12003602</v>
      </c>
      <c r="C39" s="244">
        <v>3494.72214152</v>
      </c>
      <c r="D39" s="257">
        <f t="shared" si="0"/>
        <v>143393.84217754</v>
      </c>
      <c r="F39" s="642">
        <v>44927</v>
      </c>
      <c r="G39" s="257">
        <f>'毛利-收入组成'!AP39</f>
        <v>4343.28341928</v>
      </c>
      <c r="H39" s="130">
        <v>3630321.34</v>
      </c>
      <c r="I39" s="257">
        <f t="shared" si="1"/>
        <v>384.81406204</v>
      </c>
      <c r="J39" s="257">
        <v>1931.32878064</v>
      </c>
      <c r="K39" s="257">
        <f t="shared" si="12"/>
        <v>206.063629458917</v>
      </c>
      <c r="L39" s="257">
        <f t="shared" si="2"/>
        <v>5683.73450842108</v>
      </c>
      <c r="M39" s="257">
        <v>2148.77725842</v>
      </c>
      <c r="N39" s="257">
        <f t="shared" si="3"/>
        <v>7832.51176684108</v>
      </c>
      <c r="P39" s="642">
        <v>44927</v>
      </c>
      <c r="Q39" s="257">
        <v>1390.690031</v>
      </c>
      <c r="R39" s="257">
        <f>1943996.50432941/10000</f>
        <v>194.399650432941</v>
      </c>
      <c r="S39" s="257">
        <v>785.577999</v>
      </c>
      <c r="V39" s="257">
        <f t="shared" si="11"/>
        <v>1981.86837956706</v>
      </c>
      <c r="W39" s="257">
        <v>206.133102</v>
      </c>
      <c r="Z39" s="257">
        <f t="shared" si="4"/>
        <v>2188.00148156706</v>
      </c>
      <c r="AB39" s="642">
        <v>44927</v>
      </c>
      <c r="AC39" s="231">
        <f t="shared" si="5"/>
        <v>0.0406273785493267</v>
      </c>
      <c r="AD39" s="148">
        <f t="shared" si="6"/>
        <v>0.614863548918773</v>
      </c>
      <c r="AE39" s="231">
        <f t="shared" si="7"/>
        <v>0.0546223718389764</v>
      </c>
      <c r="AG39" s="642">
        <v>44927</v>
      </c>
      <c r="AH39" s="650">
        <f t="shared" si="8"/>
        <v>0.36961270432821</v>
      </c>
      <c r="AI39" s="650">
        <f t="shared" si="9"/>
        <v>0.10168624377599</v>
      </c>
      <c r="AJ39" s="650">
        <f t="shared" si="10"/>
        <v>0.296109554572233</v>
      </c>
      <c r="AK39" s="425"/>
      <c r="AL39" s="642">
        <v>44927</v>
      </c>
      <c r="AM39" s="130">
        <v>13906900.31</v>
      </c>
      <c r="AN39" s="130">
        <f>R39*10000</f>
        <v>1943996.50432941</v>
      </c>
      <c r="AO39" s="244">
        <v>98.863</v>
      </c>
      <c r="AQ39" s="13"/>
      <c r="AR39" s="13"/>
    </row>
    <row r="40" spans="1:44">
      <c r="A40" s="642">
        <v>44958</v>
      </c>
      <c r="B40" s="257">
        <f>'GMV表-商品大类'!T43+B96</f>
        <v>273756.550404389</v>
      </c>
      <c r="C40" s="244">
        <v>6379.21119306</v>
      </c>
      <c r="D40" s="257">
        <f t="shared" si="0"/>
        <v>280135.761597449</v>
      </c>
      <c r="F40" s="642">
        <v>44958</v>
      </c>
      <c r="G40" s="257">
        <f>'毛利-收入组成'!AP40</f>
        <v>7467.24827732</v>
      </c>
      <c r="H40" s="130">
        <v>6214995.07</v>
      </c>
      <c r="I40" s="257">
        <f t="shared" si="1"/>
        <v>658.78947742</v>
      </c>
      <c r="J40" s="257">
        <v>2249.6399443</v>
      </c>
      <c r="K40" s="257">
        <f t="shared" si="12"/>
        <v>-169.182570786703</v>
      </c>
      <c r="L40" s="257">
        <f t="shared" si="2"/>
        <v>9227.2813149867</v>
      </c>
      <c r="M40" s="257">
        <v>3659.1240757</v>
      </c>
      <c r="N40" s="257">
        <f t="shared" si="3"/>
        <v>12886.4053906867</v>
      </c>
      <c r="P40" s="642">
        <v>44958</v>
      </c>
      <c r="Q40" s="257">
        <v>2066.431446</v>
      </c>
      <c r="R40" s="257">
        <f>-1596061.9885538/10000</f>
        <v>-159.60619885538</v>
      </c>
      <c r="S40" s="257">
        <v>597.929336</v>
      </c>
      <c r="V40" s="257">
        <f t="shared" si="11"/>
        <v>2823.96698085538</v>
      </c>
      <c r="W40" s="257">
        <v>130.11791</v>
      </c>
      <c r="Z40" s="257">
        <f t="shared" si="4"/>
        <v>2954.08489085538</v>
      </c>
      <c r="AB40" s="642">
        <v>44958</v>
      </c>
      <c r="AC40" s="231">
        <f t="shared" si="5"/>
        <v>0.0337061571727007</v>
      </c>
      <c r="AD40" s="148">
        <f t="shared" si="6"/>
        <v>0.57360133799627</v>
      </c>
      <c r="AE40" s="231">
        <f t="shared" si="7"/>
        <v>0.0460005724267517</v>
      </c>
      <c r="AG40" s="642">
        <v>44958</v>
      </c>
      <c r="AH40" s="650">
        <f t="shared" si="8"/>
        <v>0.324408121690719</v>
      </c>
      <c r="AI40" s="650">
        <f t="shared" si="9"/>
        <v>0.0376934429515388</v>
      </c>
      <c r="AJ40" s="650">
        <f t="shared" si="10"/>
        <v>0.242994837533963</v>
      </c>
      <c r="AK40" s="425"/>
      <c r="AL40" s="642">
        <v>44958</v>
      </c>
      <c r="AM40" s="130">
        <v>6757414.14999998</v>
      </c>
      <c r="AN40" s="130">
        <f t="shared" ref="AN40:AN50" si="15">(R40-R39)*10000</f>
        <v>-3540058.49288321</v>
      </c>
      <c r="AO40" s="244">
        <f t="shared" ref="AO40:AO50" si="16">S40-S39</f>
        <v>-187.648663</v>
      </c>
      <c r="AQ40" s="13"/>
      <c r="AR40" s="13"/>
    </row>
    <row r="41" spans="1:44">
      <c r="A41" s="642">
        <v>44986</v>
      </c>
      <c r="B41" s="257">
        <f>'GMV表-商品大类'!T44+B97</f>
        <v>430030.63880231</v>
      </c>
      <c r="C41" s="244">
        <v>9120.95515956</v>
      </c>
      <c r="D41" s="257">
        <f t="shared" si="0"/>
        <v>439151.59396187</v>
      </c>
      <c r="F41" s="642">
        <v>44986</v>
      </c>
      <c r="G41" s="257">
        <f>'毛利-收入组成'!AP41</f>
        <v>10413.0989674</v>
      </c>
      <c r="H41" s="130">
        <v>9373428.75</v>
      </c>
      <c r="I41" s="257">
        <f t="shared" si="1"/>
        <v>993.5834475</v>
      </c>
      <c r="J41" s="257">
        <v>2973.55565506</v>
      </c>
      <c r="K41" s="257">
        <f t="shared" si="12"/>
        <v>45.1427844535965</v>
      </c>
      <c r="L41" s="257">
        <f t="shared" si="2"/>
        <v>12347.9283905064</v>
      </c>
      <c r="M41" s="257">
        <v>5379.91459144</v>
      </c>
      <c r="N41" s="257">
        <f t="shared" si="3"/>
        <v>17727.8429819464</v>
      </c>
      <c r="P41" s="642">
        <v>44986</v>
      </c>
      <c r="Q41" s="260">
        <v>2269.45320700002</v>
      </c>
      <c r="R41" s="260">
        <v>42.5875325033929</v>
      </c>
      <c r="S41" s="260">
        <v>365.21191</v>
      </c>
      <c r="V41" s="257">
        <f t="shared" si="11"/>
        <v>2592.07758449663</v>
      </c>
      <c r="W41" s="260">
        <v>-140.709009</v>
      </c>
      <c r="X41" s="260"/>
      <c r="Y41" s="260"/>
      <c r="Z41" s="260">
        <f t="shared" si="4"/>
        <v>2451.36857549663</v>
      </c>
      <c r="AB41" s="642">
        <v>44986</v>
      </c>
      <c r="AC41" s="231">
        <f t="shared" si="5"/>
        <v>0.0287140665718539</v>
      </c>
      <c r="AD41" s="148">
        <f t="shared" si="6"/>
        <v>0.589841140245177</v>
      </c>
      <c r="AE41" s="231">
        <f t="shared" si="7"/>
        <v>0.0403683903820366</v>
      </c>
      <c r="AG41" s="642">
        <v>44986</v>
      </c>
      <c r="AH41" s="650">
        <f t="shared" si="8"/>
        <v>0.2225152392104</v>
      </c>
      <c r="AI41" s="650">
        <f t="shared" si="9"/>
        <v>-0.0277237764661386</v>
      </c>
      <c r="AJ41" s="650">
        <f t="shared" si="10"/>
        <v>0.146574554652397</v>
      </c>
      <c r="AK41" s="425"/>
      <c r="AL41" s="642">
        <v>44986</v>
      </c>
      <c r="AM41" s="130">
        <v>2030217.6100002</v>
      </c>
      <c r="AN41" s="130">
        <f t="shared" si="15"/>
        <v>2021937.31358773</v>
      </c>
      <c r="AO41" s="244">
        <f t="shared" si="16"/>
        <v>-232.717426</v>
      </c>
      <c r="AQ41" s="13"/>
      <c r="AR41" s="13"/>
    </row>
    <row r="42" spans="1:41">
      <c r="A42" s="642">
        <v>45017</v>
      </c>
      <c r="B42" s="257">
        <f>'GMV表-商品大类'!T45+B98</f>
        <v>562009.478344309</v>
      </c>
      <c r="C42" s="244">
        <v>11863.172752</v>
      </c>
      <c r="D42" s="257">
        <f t="shared" si="0"/>
        <v>573872.651096309</v>
      </c>
      <c r="F42" s="642">
        <v>45017</v>
      </c>
      <c r="G42" s="257">
        <f>'毛利-收入组成'!AP42</f>
        <v>12608.747482</v>
      </c>
      <c r="H42" s="130">
        <v>12671633.97</v>
      </c>
      <c r="I42" s="257">
        <f t="shared" si="1"/>
        <v>1343.19320082</v>
      </c>
      <c r="J42" s="257">
        <v>3381.6408503</v>
      </c>
      <c r="K42" s="257">
        <f t="shared" si="12"/>
        <v>39.3692006790701</v>
      </c>
      <c r="L42" s="257">
        <f t="shared" si="2"/>
        <v>14607.8259308009</v>
      </c>
      <c r="M42" s="257">
        <v>6902.0784827</v>
      </c>
      <c r="N42" s="257">
        <f t="shared" si="3"/>
        <v>21509.9044135009</v>
      </c>
      <c r="P42" s="642">
        <v>45017</v>
      </c>
      <c r="Q42" s="260">
        <f>24847709.2/10000</f>
        <v>2484.77092</v>
      </c>
      <c r="R42" s="260">
        <f>371407.553576133/10000</f>
        <v>37.1407553576133</v>
      </c>
      <c r="S42" s="260">
        <v>-115.895065</v>
      </c>
      <c r="V42" s="257">
        <f t="shared" si="11"/>
        <v>2331.73509964239</v>
      </c>
      <c r="W42" s="260">
        <v>-310.77087</v>
      </c>
      <c r="X42" s="260"/>
      <c r="Y42" s="260"/>
      <c r="Z42" s="260">
        <f t="shared" si="4"/>
        <v>2020.96422964239</v>
      </c>
      <c r="AB42" s="642">
        <v>45017</v>
      </c>
      <c r="AC42" s="231">
        <f t="shared" si="5"/>
        <v>0.0259921344633473</v>
      </c>
      <c r="AD42" s="148">
        <f t="shared" si="6"/>
        <v>0.581807129255231</v>
      </c>
      <c r="AE42" s="231">
        <f t="shared" si="7"/>
        <v>0.0374820169116076</v>
      </c>
      <c r="AG42" s="642">
        <v>45017</v>
      </c>
      <c r="AH42" s="650">
        <f t="shared" si="8"/>
        <v>0.169199661697051</v>
      </c>
      <c r="AI42" s="650">
        <f t="shared" si="9"/>
        <v>-0.0477272350677671</v>
      </c>
      <c r="AJ42" s="650">
        <f t="shared" si="10"/>
        <v>0.0995923571876191</v>
      </c>
      <c r="AK42" s="425"/>
      <c r="AL42" s="642">
        <v>45017</v>
      </c>
      <c r="AM42" s="130">
        <v>2153177.1299999</v>
      </c>
      <c r="AN42" s="130">
        <f t="shared" si="15"/>
        <v>-54467.771457796</v>
      </c>
      <c r="AO42" s="244">
        <f t="shared" si="16"/>
        <v>-481.106975</v>
      </c>
    </row>
    <row r="43" spans="1:41">
      <c r="A43" s="642">
        <v>45047</v>
      </c>
      <c r="B43" s="257">
        <f>'GMV表-商品大类'!T46+B99</f>
        <v>718524.900966309</v>
      </c>
      <c r="C43" s="244">
        <v>14129.50973536</v>
      </c>
      <c r="D43" s="257">
        <f t="shared" si="0"/>
        <v>732654.410701669</v>
      </c>
      <c r="F43" s="642">
        <v>45047</v>
      </c>
      <c r="G43" s="257">
        <f>'毛利-收入组成'!AP43</f>
        <v>16236.98625948</v>
      </c>
      <c r="H43" s="130">
        <v>16554204.63</v>
      </c>
      <c r="I43" s="257">
        <f t="shared" si="1"/>
        <v>1754.74569078</v>
      </c>
      <c r="J43" s="257">
        <v>3943.98779104</v>
      </c>
      <c r="K43" s="257">
        <f t="shared" si="12"/>
        <v>49.602631431591</v>
      </c>
      <c r="L43" s="257">
        <f t="shared" si="2"/>
        <v>18376.6257283084</v>
      </c>
      <c r="M43" s="257">
        <v>8310.21333937</v>
      </c>
      <c r="N43" s="257">
        <f t="shared" si="3"/>
        <v>26686.8390676784</v>
      </c>
      <c r="P43" s="642">
        <v>45047</v>
      </c>
      <c r="Q43" s="260">
        <f>33865340.38/10000</f>
        <v>3386.534038</v>
      </c>
      <c r="R43" s="260">
        <f>467949.353128217/10000</f>
        <v>46.7949353128217</v>
      </c>
      <c r="S43" s="260">
        <v>-480.000064</v>
      </c>
      <c r="V43" s="257">
        <f t="shared" si="11"/>
        <v>2859.73903868718</v>
      </c>
      <c r="W43" s="260">
        <v>-782.021931</v>
      </c>
      <c r="X43" s="260"/>
      <c r="Y43" s="260"/>
      <c r="Z43" s="260">
        <f t="shared" si="4"/>
        <v>2077.71710768718</v>
      </c>
      <c r="AB43" s="642">
        <v>45047</v>
      </c>
      <c r="AC43" s="231">
        <f t="shared" si="5"/>
        <v>0.0255754890381594</v>
      </c>
      <c r="AD43" s="148">
        <f t="shared" si="6"/>
        <v>0.588145908458038</v>
      </c>
      <c r="AE43" s="231">
        <f t="shared" si="7"/>
        <v>0.0364248664552776</v>
      </c>
      <c r="AG43" s="642">
        <v>45047</v>
      </c>
      <c r="AH43" s="650">
        <f t="shared" si="8"/>
        <v>0.164955385489447</v>
      </c>
      <c r="AI43" s="650">
        <f t="shared" si="9"/>
        <v>-0.0997499357727491</v>
      </c>
      <c r="AJ43" s="650">
        <f t="shared" si="10"/>
        <v>0.082526826371723</v>
      </c>
      <c r="AK43" s="425"/>
      <c r="AL43" s="642">
        <v>45047</v>
      </c>
      <c r="AM43" s="130">
        <v>9017631.17999948</v>
      </c>
      <c r="AN43" s="130">
        <f t="shared" si="15"/>
        <v>96541.799552084</v>
      </c>
      <c r="AO43" s="244">
        <f t="shared" si="16"/>
        <v>-364.104999</v>
      </c>
    </row>
    <row r="44" spans="1:42">
      <c r="A44" s="642">
        <v>45078</v>
      </c>
      <c r="B44" s="257">
        <f>'GMV表-商品大类'!T47+B100</f>
        <v>885719.333738409</v>
      </c>
      <c r="C44" s="244">
        <v>16876.62326292</v>
      </c>
      <c r="D44" s="257">
        <f t="shared" si="0"/>
        <v>902595.957001329</v>
      </c>
      <c r="F44" s="642">
        <v>45078</v>
      </c>
      <c r="G44" s="257">
        <f>'毛利-收入组成'!AP44</f>
        <v>21479.88015268</v>
      </c>
      <c r="H44" s="130">
        <v>22188118.01</v>
      </c>
      <c r="I44" s="257">
        <f t="shared" si="1"/>
        <v>2351.94050906</v>
      </c>
      <c r="J44" s="257">
        <v>4738.25328498</v>
      </c>
      <c r="K44" s="257">
        <f t="shared" si="12"/>
        <v>3.08844218448878</v>
      </c>
      <c r="L44" s="257">
        <f t="shared" si="2"/>
        <v>23863.1044864155</v>
      </c>
      <c r="M44" s="257">
        <v>9775.24810616</v>
      </c>
      <c r="N44" s="257">
        <f t="shared" si="3"/>
        <v>33638.3525925755</v>
      </c>
      <c r="P44" s="642">
        <v>45078</v>
      </c>
      <c r="Q44" s="260">
        <f>56339633.83/10000</f>
        <v>5633.963383</v>
      </c>
      <c r="R44" s="260">
        <f>29136.2470234791/10000</f>
        <v>2.91362470234791</v>
      </c>
      <c r="S44" s="260">
        <v>-606.535579</v>
      </c>
      <c r="V44" s="257">
        <f t="shared" si="11"/>
        <v>5024.51417929765</v>
      </c>
      <c r="W44" s="260">
        <v>-595.029043</v>
      </c>
      <c r="X44" s="260"/>
      <c r="Y44" s="260"/>
      <c r="Z44" s="260">
        <f t="shared" si="4"/>
        <v>4429.48513629765</v>
      </c>
      <c r="AB44" s="642">
        <v>45078</v>
      </c>
      <c r="AC44" s="231">
        <f t="shared" si="5"/>
        <v>0.0269420611896266</v>
      </c>
      <c r="AD44" s="148">
        <f t="shared" si="6"/>
        <v>0.579218244898398</v>
      </c>
      <c r="AE44" s="231">
        <f t="shared" si="7"/>
        <v>0.037268450331122</v>
      </c>
      <c r="AG44" s="642">
        <v>45078</v>
      </c>
      <c r="AH44" s="650">
        <f t="shared" si="8"/>
        <v>0.223189109073692</v>
      </c>
      <c r="AI44" s="650">
        <f t="shared" si="9"/>
        <v>-0.0645232508403073</v>
      </c>
      <c r="AJ44" s="650">
        <f t="shared" si="10"/>
        <v>0.139580386154577</v>
      </c>
      <c r="AK44" s="425"/>
      <c r="AL44" s="642">
        <v>45078</v>
      </c>
      <c r="AM44" s="130">
        <v>22474293.45</v>
      </c>
      <c r="AN44" s="130">
        <f t="shared" si="15"/>
        <v>-438813.106104738</v>
      </c>
      <c r="AO44" s="244">
        <f t="shared" si="16"/>
        <v>-126.535515</v>
      </c>
      <c r="AP44" s="13"/>
    </row>
    <row r="45" spans="1:42">
      <c r="A45" s="642">
        <v>45108</v>
      </c>
      <c r="B45" s="257">
        <f>'GMV表-商品大类'!T48+B101</f>
        <v>1031827.74739441</v>
      </c>
      <c r="C45" s="244">
        <v>19317.60663662</v>
      </c>
      <c r="D45" s="257">
        <f t="shared" si="0"/>
        <v>1051145.35403103</v>
      </c>
      <c r="F45" s="642">
        <v>45108</v>
      </c>
      <c r="G45" s="257">
        <f>'毛利-收入组成'!AP45</f>
        <v>24896.66765134</v>
      </c>
      <c r="H45" s="130">
        <v>25343927.79</v>
      </c>
      <c r="I45" s="257">
        <f t="shared" si="1"/>
        <v>2686.45634574</v>
      </c>
      <c r="J45" s="257">
        <v>5300.66350086</v>
      </c>
      <c r="K45" s="257">
        <f t="shared" si="12"/>
        <v>100.729321678845</v>
      </c>
      <c r="L45" s="257">
        <f t="shared" si="2"/>
        <v>27410.1454847812</v>
      </c>
      <c r="M45" s="257">
        <v>11006.20861114</v>
      </c>
      <c r="N45" s="257">
        <f t="shared" si="3"/>
        <v>38416.3540959212</v>
      </c>
      <c r="P45" s="642">
        <v>45108</v>
      </c>
      <c r="Q45" s="260">
        <f>64434719.82/10000</f>
        <v>6443.471982</v>
      </c>
      <c r="R45" s="260">
        <f>950276.619611746/10000</f>
        <v>95.0276619611746</v>
      </c>
      <c r="S45" s="260">
        <v>-889.852811</v>
      </c>
      <c r="V45" s="257">
        <f t="shared" si="11"/>
        <v>5458.59150903883</v>
      </c>
      <c r="W45" s="260">
        <v>-612.043189</v>
      </c>
      <c r="X45" s="260"/>
      <c r="Y45" s="260"/>
      <c r="Z45" s="260">
        <f t="shared" si="4"/>
        <v>4846.54832003883</v>
      </c>
      <c r="AB45" s="642">
        <v>45108</v>
      </c>
      <c r="AC45" s="231">
        <f t="shared" si="5"/>
        <v>0.0265646524373839</v>
      </c>
      <c r="AD45" s="148">
        <f t="shared" si="6"/>
        <v>0.569750115434888</v>
      </c>
      <c r="AE45" s="231">
        <f t="shared" si="7"/>
        <v>0.0365471377945958</v>
      </c>
      <c r="AG45" s="642">
        <v>45108</v>
      </c>
      <c r="AH45" s="650">
        <f t="shared" si="8"/>
        <v>0.211093626000408</v>
      </c>
      <c r="AI45" s="650">
        <f t="shared" si="9"/>
        <v>-0.0589454373673554</v>
      </c>
      <c r="AJ45" s="650">
        <f t="shared" si="10"/>
        <v>0.133727974456238</v>
      </c>
      <c r="AK45" s="425"/>
      <c r="AL45" s="642">
        <v>45108</v>
      </c>
      <c r="AM45" s="130">
        <v>8095085.99</v>
      </c>
      <c r="AN45" s="130">
        <f t="shared" si="15"/>
        <v>921140.372588267</v>
      </c>
      <c r="AO45" s="244">
        <f t="shared" si="16"/>
        <v>-283.317232</v>
      </c>
      <c r="AP45" s="13"/>
    </row>
    <row r="46" spans="1:41">
      <c r="A46" s="642">
        <v>45139</v>
      </c>
      <c r="B46" s="257">
        <f>'GMV表-商品大类'!T49+B102</f>
        <v>1194307.37326741</v>
      </c>
      <c r="C46" s="244">
        <v>22430.2952629</v>
      </c>
      <c r="D46" s="257">
        <f t="shared" si="0"/>
        <v>1216737.66853031</v>
      </c>
      <c r="F46" s="642">
        <v>45139</v>
      </c>
      <c r="G46" s="257">
        <f>'毛利-收入组成'!AP46</f>
        <v>29102.01093286</v>
      </c>
      <c r="H46" s="130">
        <v>29881459.15</v>
      </c>
      <c r="I46" s="257">
        <f t="shared" si="1"/>
        <v>3167.4346699</v>
      </c>
      <c r="J46" s="257">
        <v>6106.31846974</v>
      </c>
      <c r="K46" s="257">
        <f t="shared" si="12"/>
        <v>89.8921667714832</v>
      </c>
      <c r="L46" s="257">
        <f t="shared" si="2"/>
        <v>31951.0025659285</v>
      </c>
      <c r="M46" s="257">
        <v>12594.13329026</v>
      </c>
      <c r="N46" s="257">
        <f t="shared" si="3"/>
        <v>44545.1358561885</v>
      </c>
      <c r="P46" s="642">
        <v>45139</v>
      </c>
      <c r="Q46" s="641">
        <f>75519119.24/10000</f>
        <v>7551.911924</v>
      </c>
      <c r="R46" s="260">
        <f>848039.309164936/10000</f>
        <v>84.8039309164936</v>
      </c>
      <c r="S46" s="260">
        <v>-990.768691</v>
      </c>
      <c r="V46" s="257">
        <f t="shared" si="11"/>
        <v>6476.33930208351</v>
      </c>
      <c r="W46" s="260">
        <v>-592.286309</v>
      </c>
      <c r="X46" s="260"/>
      <c r="Y46" s="260"/>
      <c r="Z46" s="260">
        <f t="shared" si="4"/>
        <v>5884.05299308351</v>
      </c>
      <c r="AB46" s="642">
        <v>45139</v>
      </c>
      <c r="AC46" s="231">
        <f t="shared" si="5"/>
        <v>0.0267527466388458</v>
      </c>
      <c r="AD46" s="148">
        <f t="shared" si="6"/>
        <v>0.561478711833583</v>
      </c>
      <c r="AE46" s="231">
        <f t="shared" si="7"/>
        <v>0.0366103039367511</v>
      </c>
      <c r="AG46" s="642">
        <v>45139</v>
      </c>
      <c r="AH46" s="650">
        <f t="shared" si="8"/>
        <v>0.2148577230415</v>
      </c>
      <c r="AI46" s="650">
        <f t="shared" si="9"/>
        <v>-0.0498504718880134</v>
      </c>
      <c r="AJ46" s="650">
        <f t="shared" si="10"/>
        <v>0.140017446412211</v>
      </c>
      <c r="AK46" s="425"/>
      <c r="AL46" s="642">
        <v>45139</v>
      </c>
      <c r="AM46" s="130">
        <v>11084399.42</v>
      </c>
      <c r="AN46" s="130">
        <f t="shared" si="15"/>
        <v>-102237.31044681</v>
      </c>
      <c r="AO46" s="244">
        <f t="shared" si="16"/>
        <v>-100.91588</v>
      </c>
    </row>
    <row r="47" spans="1:41">
      <c r="A47" s="642">
        <v>45170</v>
      </c>
      <c r="B47" s="257">
        <f>'GMV表-商品大类'!T50+B103</f>
        <v>1339120.09949441</v>
      </c>
      <c r="C47" s="244">
        <v>25425.01396346</v>
      </c>
      <c r="D47" s="257">
        <f t="shared" si="0"/>
        <v>1364545.11345787</v>
      </c>
      <c r="F47" s="642">
        <v>45170</v>
      </c>
      <c r="G47" s="257">
        <f>'毛利-收入组成'!AP47</f>
        <v>31954.74835676</v>
      </c>
      <c r="H47" s="130">
        <v>32816668.12</v>
      </c>
      <c r="I47" s="257">
        <f t="shared" si="1"/>
        <v>3478.56682072</v>
      </c>
      <c r="J47" s="257">
        <v>7413.07615702</v>
      </c>
      <c r="K47" s="257">
        <f t="shared" si="12"/>
        <v>-155.33227174</v>
      </c>
      <c r="L47" s="257">
        <f t="shared" si="2"/>
        <v>36044.5899648</v>
      </c>
      <c r="M47" s="257">
        <v>14057.41198298</v>
      </c>
      <c r="N47" s="257">
        <f t="shared" si="3"/>
        <v>50102.00194778</v>
      </c>
      <c r="P47" s="642">
        <v>45170</v>
      </c>
      <c r="Q47" s="257">
        <f>83475621.39/10000</f>
        <v>8347.562139</v>
      </c>
      <c r="R47" s="257">
        <f>-1465398.79/10000</f>
        <v>-146.539879</v>
      </c>
      <c r="S47" s="257">
        <v>-698.136753</v>
      </c>
      <c r="V47" s="257">
        <f t="shared" si="11"/>
        <v>7795.965265</v>
      </c>
      <c r="W47" s="257">
        <v>-570.927247</v>
      </c>
      <c r="Z47" s="260">
        <f t="shared" si="4"/>
        <v>7225.038018</v>
      </c>
      <c r="AB47" s="642">
        <v>45170</v>
      </c>
      <c r="AC47" s="231">
        <f t="shared" si="5"/>
        <v>0.026916622324173</v>
      </c>
      <c r="AD47" s="148">
        <f t="shared" si="6"/>
        <v>0.552896922817146</v>
      </c>
      <c r="AE47" s="231">
        <f t="shared" si="7"/>
        <v>0.0367169992795748</v>
      </c>
      <c r="AG47" s="642">
        <v>45170</v>
      </c>
      <c r="AH47" s="650">
        <f t="shared" si="8"/>
        <v>0.229263897549399</v>
      </c>
      <c r="AI47" s="650">
        <f t="shared" si="9"/>
        <v>-0.0430508035584875</v>
      </c>
      <c r="AJ47" s="650">
        <f t="shared" si="10"/>
        <v>0.152858967732712</v>
      </c>
      <c r="AK47" s="425"/>
      <c r="AL47" s="642">
        <v>45170</v>
      </c>
      <c r="AM47" s="130">
        <v>7956502.15</v>
      </c>
      <c r="AN47" s="130">
        <f t="shared" si="15"/>
        <v>-2313438.09916494</v>
      </c>
      <c r="AO47" s="244">
        <f t="shared" si="16"/>
        <v>292.631938</v>
      </c>
    </row>
    <row r="48" spans="1:41">
      <c r="A48" s="642">
        <v>45200</v>
      </c>
      <c r="B48" s="257">
        <f>'GMV表-商品大类'!T51+B104</f>
        <v>1446744.99411341</v>
      </c>
      <c r="C48" s="244">
        <v>28365.19535696</v>
      </c>
      <c r="D48" s="257">
        <f t="shared" si="0"/>
        <v>1475110.18947037</v>
      </c>
      <c r="F48" s="642">
        <v>45200</v>
      </c>
      <c r="G48" s="257">
        <f>'毛利-收入组成'!AP48</f>
        <v>35384.21696206</v>
      </c>
      <c r="H48" s="130">
        <v>35555089.73</v>
      </c>
      <c r="I48" s="257">
        <f t="shared" si="1"/>
        <v>3768.83951138</v>
      </c>
      <c r="J48" s="257">
        <v>8333.3067081</v>
      </c>
      <c r="K48" s="257">
        <f t="shared" si="12"/>
        <v>50.9291158804987</v>
      </c>
      <c r="L48" s="257">
        <f t="shared" si="2"/>
        <v>39897.7550428995</v>
      </c>
      <c r="M48" s="257">
        <v>15607.0722929</v>
      </c>
      <c r="N48" s="257">
        <f t="shared" si="3"/>
        <v>55504.8273357995</v>
      </c>
      <c r="P48" s="642">
        <v>45200</v>
      </c>
      <c r="Q48" s="257">
        <f>89396323.84/10000</f>
        <v>8939.632384</v>
      </c>
      <c r="R48" s="257">
        <f>480463.357363195/10000</f>
        <v>48.0463357363195</v>
      </c>
      <c r="S48" s="257">
        <v>-747.087156</v>
      </c>
      <c r="V48" s="257">
        <f t="shared" si="11"/>
        <v>8144.49889226368</v>
      </c>
      <c r="W48" s="257">
        <v>-460.831844</v>
      </c>
      <c r="Z48" s="260">
        <f t="shared" si="4"/>
        <v>7683.66704826368</v>
      </c>
      <c r="AB48" s="642">
        <v>45200</v>
      </c>
      <c r="AC48" s="231">
        <f t="shared" si="5"/>
        <v>0.0275776002026878</v>
      </c>
      <c r="AD48" s="148">
        <f t="shared" si="6"/>
        <v>0.550219101137637</v>
      </c>
      <c r="AE48" s="231">
        <f t="shared" si="7"/>
        <v>0.0376275804560256</v>
      </c>
      <c r="AG48" s="642">
        <v>45200</v>
      </c>
      <c r="AH48" s="650">
        <f t="shared" si="8"/>
        <v>0.216382320672349</v>
      </c>
      <c r="AI48" s="650">
        <f t="shared" si="9"/>
        <v>-0.0312987436383069</v>
      </c>
      <c r="AJ48" s="650">
        <f t="shared" si="10"/>
        <v>0.146738355240434</v>
      </c>
      <c r="AK48" s="425"/>
      <c r="AL48" s="642">
        <v>45200</v>
      </c>
      <c r="AM48" s="130">
        <v>5920702.45</v>
      </c>
      <c r="AN48" s="130">
        <f t="shared" si="15"/>
        <v>1945862.14736319</v>
      </c>
      <c r="AO48" s="244">
        <f t="shared" si="16"/>
        <v>-48.9504030000001</v>
      </c>
    </row>
    <row r="49" spans="1:41">
      <c r="A49" s="642">
        <v>45231</v>
      </c>
      <c r="B49" s="257">
        <f>'GMV表-商品大类'!T52+B105</f>
        <v>1573930.73969541</v>
      </c>
      <c r="C49" s="244">
        <v>32045.49472628</v>
      </c>
      <c r="D49" s="257">
        <f t="shared" si="0"/>
        <v>1605976.23442169</v>
      </c>
      <c r="F49" s="642">
        <v>45231</v>
      </c>
      <c r="G49" s="257">
        <f>'毛利-收入组成'!AP49</f>
        <v>40497.76256342</v>
      </c>
      <c r="H49" s="130">
        <v>39818569.04</v>
      </c>
      <c r="I49" s="257">
        <f t="shared" si="1"/>
        <v>4220.76831824</v>
      </c>
      <c r="J49" s="257">
        <v>9122.31324458</v>
      </c>
      <c r="K49" s="257">
        <f t="shared" si="12"/>
        <v>-126.910945369862</v>
      </c>
      <c r="L49" s="257">
        <f t="shared" si="2"/>
        <v>45526.2184351299</v>
      </c>
      <c r="M49" s="257">
        <v>16855.04007242</v>
      </c>
      <c r="N49" s="257">
        <f t="shared" si="3"/>
        <v>62381.2585075499</v>
      </c>
      <c r="P49" s="642">
        <v>45231</v>
      </c>
      <c r="Q49" s="257">
        <f>105607329.35/10000</f>
        <v>10560.732935</v>
      </c>
      <c r="R49" s="257">
        <f>-1197273.069527/10000</f>
        <v>-119.7273069527</v>
      </c>
      <c r="S49" s="257">
        <v>-669.69008</v>
      </c>
      <c r="V49" s="257">
        <f t="shared" si="11"/>
        <v>10010.7701619527</v>
      </c>
      <c r="W49" s="257">
        <v>-555.38892</v>
      </c>
      <c r="Z49" s="260">
        <f t="shared" si="4"/>
        <v>9455.3812419527</v>
      </c>
      <c r="AB49" s="642">
        <v>45231</v>
      </c>
      <c r="AC49" s="231">
        <f t="shared" si="5"/>
        <v>0.0289251726819569</v>
      </c>
      <c r="AD49" s="148">
        <f t="shared" si="6"/>
        <v>0.52597222219189</v>
      </c>
      <c r="AE49" s="231">
        <f t="shared" si="7"/>
        <v>0.0388432015184915</v>
      </c>
      <c r="AG49" s="642">
        <v>45231</v>
      </c>
      <c r="AH49" s="650">
        <f t="shared" si="8"/>
        <v>0.233083632605902</v>
      </c>
      <c r="AI49" s="650">
        <f t="shared" si="9"/>
        <v>-0.0349279653249424</v>
      </c>
      <c r="AJ49" s="650">
        <f t="shared" si="10"/>
        <v>0.160668514170115</v>
      </c>
      <c r="AK49" s="425"/>
      <c r="AL49" s="642">
        <v>45231</v>
      </c>
      <c r="AM49" s="130">
        <v>16211005.510004</v>
      </c>
      <c r="AN49" s="130">
        <f t="shared" si="15"/>
        <v>-1677736.42689019</v>
      </c>
      <c r="AO49" s="244">
        <f t="shared" si="16"/>
        <v>77.3970760000001</v>
      </c>
    </row>
    <row r="50" spans="1:41">
      <c r="A50" s="642">
        <v>45261</v>
      </c>
      <c r="B50" s="257">
        <f>'GMV表-商品大类'!T53+B106</f>
        <v>1683893.28490741</v>
      </c>
      <c r="C50" s="244">
        <v>35301.10856646</v>
      </c>
      <c r="D50" s="257">
        <f t="shared" si="0"/>
        <v>1719194.39347387</v>
      </c>
      <c r="F50" s="642">
        <v>45261</v>
      </c>
      <c r="G50" s="257">
        <f>'毛利-收入组成'!AP50</f>
        <v>47538.617733</v>
      </c>
      <c r="H50" s="130">
        <v>42529215.12</v>
      </c>
      <c r="I50" s="257">
        <f t="shared" si="1"/>
        <v>4508.09680272</v>
      </c>
      <c r="J50" s="257">
        <v>10356.61089324</v>
      </c>
      <c r="K50" s="257">
        <f t="shared" si="12"/>
        <v>116.107738506865</v>
      </c>
      <c r="L50" s="257">
        <f t="shared" si="2"/>
        <v>53271.0240850131</v>
      </c>
      <c r="M50" s="257">
        <v>18153.92860676</v>
      </c>
      <c r="N50" s="257">
        <f t="shared" si="3"/>
        <v>71424.9526917731</v>
      </c>
      <c r="P50" s="642">
        <v>45261</v>
      </c>
      <c r="Q50" s="257">
        <f>130338051.49/10000</f>
        <v>13033.805149</v>
      </c>
      <c r="R50" s="257">
        <f>1095356.02364967/10000</f>
        <v>109.535602364967</v>
      </c>
      <c r="S50" s="257">
        <v>-1547.280056</v>
      </c>
      <c r="V50" s="257">
        <f t="shared" si="11"/>
        <v>11376.989490635</v>
      </c>
      <c r="W50" s="257">
        <v>-455.016944</v>
      </c>
      <c r="Z50" s="260">
        <f t="shared" si="4"/>
        <v>10921.972546635</v>
      </c>
      <c r="AB50" s="642">
        <v>45261</v>
      </c>
      <c r="AC50" s="231">
        <f t="shared" si="5"/>
        <v>0.0316356295036489</v>
      </c>
      <c r="AD50" s="148">
        <f t="shared" si="6"/>
        <v>0.514259448044877</v>
      </c>
      <c r="AE50" s="231">
        <f t="shared" si="7"/>
        <v>0.0415455942404798</v>
      </c>
      <c r="AG50" s="642">
        <v>45261</v>
      </c>
      <c r="AH50" s="650">
        <f t="shared" si="8"/>
        <v>0.226382148029061</v>
      </c>
      <c r="AI50" s="650">
        <f t="shared" si="9"/>
        <v>-0.0265682415684062</v>
      </c>
      <c r="AJ50" s="650">
        <f t="shared" si="10"/>
        <v>0.162090284461142</v>
      </c>
      <c r="AL50" s="642">
        <v>45261</v>
      </c>
      <c r="AM50" s="130">
        <v>24730722.1399987</v>
      </c>
      <c r="AN50" s="130">
        <f t="shared" si="15"/>
        <v>2292629.09317667</v>
      </c>
      <c r="AO50" s="244">
        <f t="shared" si="16"/>
        <v>-877.589976</v>
      </c>
    </row>
    <row r="51" s="172" customFormat="1" spans="1:41">
      <c r="A51" s="639">
        <v>45292</v>
      </c>
      <c r="B51" s="257">
        <f>'GMV表-商品大类'!T54+B107</f>
        <v>101433.387802576</v>
      </c>
      <c r="C51" s="643">
        <v>2264.32705332</v>
      </c>
      <c r="D51" s="257">
        <f t="shared" si="0"/>
        <v>103697.714855896</v>
      </c>
      <c r="E51" s="425"/>
      <c r="F51" s="639">
        <v>45292</v>
      </c>
      <c r="G51" s="257">
        <f>'毛利-收入组成'!AP51</f>
        <v>2786.25839992003</v>
      </c>
      <c r="H51" s="303">
        <v>2201641.67</v>
      </c>
      <c r="I51" s="257">
        <f t="shared" si="1"/>
        <v>233.37401702</v>
      </c>
      <c r="J51" s="257">
        <v>1992.77635938</v>
      </c>
      <c r="K51" s="257">
        <f t="shared" si="12"/>
        <v>-137.41391452202</v>
      </c>
      <c r="L51" s="257">
        <f t="shared" si="2"/>
        <v>4683.07465680205</v>
      </c>
      <c r="M51" s="645">
        <v>1641.75470322</v>
      </c>
      <c r="N51" s="257">
        <f t="shared" si="3"/>
        <v>6324.82936002205</v>
      </c>
      <c r="P51" s="639">
        <v>45292</v>
      </c>
      <c r="Q51" s="260">
        <f>3364142.28/10000</f>
        <v>336.414228</v>
      </c>
      <c r="R51" s="260">
        <f>-1296357.68417/10000</f>
        <v>-129.635768417</v>
      </c>
      <c r="S51" s="260">
        <v>701.999403</v>
      </c>
      <c r="T51" s="260"/>
      <c r="U51" s="260"/>
      <c r="V51" s="257">
        <f t="shared" si="11"/>
        <v>1168.049399417</v>
      </c>
      <c r="W51" s="645">
        <v>66.763345</v>
      </c>
      <c r="X51" s="645"/>
      <c r="Y51" s="645"/>
      <c r="Z51" s="260">
        <f t="shared" si="4"/>
        <v>1234.812744417</v>
      </c>
      <c r="AA51" s="257"/>
      <c r="AB51" s="639">
        <v>45292</v>
      </c>
      <c r="AC51" s="231">
        <f t="shared" si="5"/>
        <v>0.0461689662373983</v>
      </c>
      <c r="AD51" s="148">
        <f t="shared" si="6"/>
        <v>0.725051931351007</v>
      </c>
      <c r="AE51" s="231">
        <f t="shared" si="7"/>
        <v>0.0609929482902434</v>
      </c>
      <c r="AG51" s="639">
        <v>45292</v>
      </c>
      <c r="AH51" s="650">
        <f t="shared" si="8"/>
        <v>0.264384502515599</v>
      </c>
      <c r="AI51" s="650">
        <f t="shared" si="9"/>
        <v>0.0431057974502521</v>
      </c>
      <c r="AJ51" s="650">
        <f t="shared" si="10"/>
        <v>0.206946533191127</v>
      </c>
      <c r="AL51" s="639">
        <v>45292</v>
      </c>
      <c r="AM51" s="303">
        <v>3364142.27999995</v>
      </c>
      <c r="AN51" s="303">
        <f>R51*10000</f>
        <v>-1296357.68417</v>
      </c>
      <c r="AO51" s="643">
        <f>S51</f>
        <v>701.999403</v>
      </c>
    </row>
    <row r="52" s="172" customFormat="1" spans="1:41">
      <c r="A52" s="639">
        <v>45323</v>
      </c>
      <c r="B52" s="257">
        <f>'GMV表-商品大类'!T55+B108</f>
        <v>190089.478264575</v>
      </c>
      <c r="C52" s="643">
        <v>4490.929287</v>
      </c>
      <c r="D52" s="257">
        <f t="shared" si="0"/>
        <v>194580.407551575</v>
      </c>
      <c r="E52" s="425"/>
      <c r="F52" s="639">
        <v>45323</v>
      </c>
      <c r="G52" s="257">
        <f>'毛利-收入组成'!AP52</f>
        <v>5256.80723673997</v>
      </c>
      <c r="H52" s="303">
        <v>4535148.59</v>
      </c>
      <c r="I52" s="257">
        <f t="shared" si="1"/>
        <v>480.72575054</v>
      </c>
      <c r="J52" s="257">
        <v>2470.02606528</v>
      </c>
      <c r="K52" s="257">
        <f t="shared" si="12"/>
        <v>-236.357036616187</v>
      </c>
      <c r="L52" s="257">
        <f t="shared" si="2"/>
        <v>7482.46458809616</v>
      </c>
      <c r="M52" s="645">
        <v>3234.96868876</v>
      </c>
      <c r="N52" s="257">
        <f t="shared" si="3"/>
        <v>10717.4332768562</v>
      </c>
      <c r="P52" s="639">
        <v>45323</v>
      </c>
      <c r="Q52" s="260">
        <v>566.717446999972</v>
      </c>
      <c r="R52" s="260">
        <f>-2229783.36430365/10000</f>
        <v>-222.978336430365</v>
      </c>
      <c r="S52" s="260">
        <v>664.828579</v>
      </c>
      <c r="T52" s="260"/>
      <c r="U52" s="260"/>
      <c r="V52" s="257">
        <f t="shared" si="11"/>
        <v>1454.52436243034</v>
      </c>
      <c r="W52" s="645">
        <v>318.488097</v>
      </c>
      <c r="X52" s="645"/>
      <c r="Y52" s="645"/>
      <c r="Z52" s="260">
        <f t="shared" si="4"/>
        <v>1773.01245943034</v>
      </c>
      <c r="AA52" s="257"/>
      <c r="AB52" s="639">
        <v>45323</v>
      </c>
      <c r="AC52" s="231">
        <f t="shared" si="5"/>
        <v>0.0393628550954395</v>
      </c>
      <c r="AD52" s="148">
        <f t="shared" si="6"/>
        <v>0.72033391799874</v>
      </c>
      <c r="AE52" s="231">
        <f t="shared" si="7"/>
        <v>0.0550797144055494</v>
      </c>
      <c r="AG52" s="639">
        <v>45323</v>
      </c>
      <c r="AH52" s="650">
        <f t="shared" si="8"/>
        <v>0.206054543395902</v>
      </c>
      <c r="AI52" s="650">
        <f t="shared" si="9"/>
        <v>0.104358779110596</v>
      </c>
      <c r="AJ52" s="650">
        <f t="shared" si="10"/>
        <v>0.175358517141845</v>
      </c>
      <c r="AL52" s="639">
        <v>45323</v>
      </c>
      <c r="AM52" s="303">
        <v>2303032.18999975</v>
      </c>
      <c r="AN52" s="303">
        <f t="shared" ref="AN52:AN62" si="17">(R52-R51)*10000</f>
        <v>-933425.68013365</v>
      </c>
      <c r="AO52" s="643">
        <f t="shared" ref="AO52:AO62" si="18">S52-S51</f>
        <v>-37.170824</v>
      </c>
    </row>
    <row r="53" s="172" customFormat="1" spans="1:41">
      <c r="A53" s="639">
        <v>45352</v>
      </c>
      <c r="B53" s="257">
        <f>'GMV表-商品大类'!T56+B109</f>
        <v>268614.836868545</v>
      </c>
      <c r="C53" s="643">
        <v>6554.900142</v>
      </c>
      <c r="D53" s="257">
        <f t="shared" si="0"/>
        <v>275169.737010545</v>
      </c>
      <c r="E53" s="425"/>
      <c r="F53" s="639">
        <v>45352</v>
      </c>
      <c r="G53" s="257">
        <f>'毛利-收入组成'!AP53</f>
        <v>8421.34225815003</v>
      </c>
      <c r="H53" s="303">
        <v>6411571.26</v>
      </c>
      <c r="I53" s="257">
        <f t="shared" si="1"/>
        <v>679.62655356</v>
      </c>
      <c r="J53" s="257">
        <v>3319.78557576</v>
      </c>
      <c r="K53" s="257">
        <f t="shared" si="12"/>
        <v>-625.339479260226</v>
      </c>
      <c r="L53" s="257">
        <f t="shared" si="2"/>
        <v>11686.8407596103</v>
      </c>
      <c r="M53" s="645">
        <v>4047.31223566</v>
      </c>
      <c r="N53" s="257">
        <f t="shared" si="3"/>
        <v>15734.1529952703</v>
      </c>
      <c r="P53" s="639">
        <v>45352</v>
      </c>
      <c r="Q53" s="260">
        <f>19480246.9399998/10000</f>
        <v>1948.02469399998</v>
      </c>
      <c r="R53" s="260">
        <f>-5899429.04962477/10000</f>
        <v>-589.942904962477</v>
      </c>
      <c r="S53" s="260">
        <v>484.122276</v>
      </c>
      <c r="T53" s="260"/>
      <c r="U53" s="260"/>
      <c r="V53" s="257">
        <f t="shared" si="11"/>
        <v>3022.08987496246</v>
      </c>
      <c r="W53" s="645">
        <v>-142.421724</v>
      </c>
      <c r="X53" s="645"/>
      <c r="Y53" s="645"/>
      <c r="Z53" s="260">
        <f t="shared" si="4"/>
        <v>2879.66815096246</v>
      </c>
      <c r="AA53" s="257"/>
      <c r="AB53" s="639">
        <v>45352</v>
      </c>
      <c r="AC53" s="231">
        <f t="shared" si="5"/>
        <v>0.0435078005960243</v>
      </c>
      <c r="AD53" s="148">
        <f t="shared" si="6"/>
        <v>0.617448343679131</v>
      </c>
      <c r="AE53" s="231">
        <f t="shared" si="7"/>
        <v>0.0571798089652108</v>
      </c>
      <c r="AG53" s="639">
        <v>45352</v>
      </c>
      <c r="AH53" s="650">
        <f t="shared" si="8"/>
        <v>0.274104467867074</v>
      </c>
      <c r="AI53" s="650">
        <f t="shared" si="9"/>
        <v>-0.0373005635962212</v>
      </c>
      <c r="AJ53" s="650">
        <f t="shared" si="10"/>
        <v>0.194001433756096</v>
      </c>
      <c r="AL53" s="639">
        <v>45352</v>
      </c>
      <c r="AM53" s="303">
        <f t="shared" ref="AM53:AM62" si="19">(Q53-Q52)*10000</f>
        <v>13813072.4700001</v>
      </c>
      <c r="AN53" s="303">
        <f t="shared" si="17"/>
        <v>-3669645.68532112</v>
      </c>
      <c r="AO53" s="643">
        <f t="shared" si="18"/>
        <v>-180.706303</v>
      </c>
    </row>
    <row r="54" s="172" customFormat="1" spans="1:41">
      <c r="A54" s="639">
        <v>45383</v>
      </c>
      <c r="B54" s="257">
        <f>'GMV表-商品大类'!T57+B110</f>
        <v>329663.721740195</v>
      </c>
      <c r="C54" s="643">
        <v>7811.582488</v>
      </c>
      <c r="D54" s="257">
        <f t="shared" si="0"/>
        <v>337475.304228195</v>
      </c>
      <c r="E54" s="425"/>
      <c r="F54" s="639">
        <v>45383</v>
      </c>
      <c r="G54" s="257">
        <f>'毛利-收入组成'!AP54</f>
        <v>9720.54984241008</v>
      </c>
      <c r="H54" s="303">
        <v>8210403.33</v>
      </c>
      <c r="I54" s="257">
        <f t="shared" si="1"/>
        <v>870.30275298</v>
      </c>
      <c r="J54" s="257">
        <v>3986.50777644</v>
      </c>
      <c r="K54" s="257">
        <f t="shared" si="12"/>
        <v>-630.704409538778</v>
      </c>
      <c r="L54" s="257">
        <f t="shared" si="2"/>
        <v>13467.4592754089</v>
      </c>
      <c r="M54" s="645">
        <v>4692.47300356</v>
      </c>
      <c r="N54" s="257">
        <f t="shared" si="3"/>
        <v>18159.9322789689</v>
      </c>
      <c r="P54" s="639">
        <v>45383</v>
      </c>
      <c r="Q54" s="260">
        <f>17237592.6600001/10000</f>
        <v>1723.75926600001</v>
      </c>
      <c r="R54" s="260">
        <f>-5950041.59942243/10000</f>
        <v>-595.004159942243</v>
      </c>
      <c r="S54" s="260">
        <v>527.017285</v>
      </c>
      <c r="T54" s="260"/>
      <c r="U54" s="260"/>
      <c r="V54" s="257">
        <f t="shared" si="11"/>
        <v>2845.78071094225</v>
      </c>
      <c r="W54" s="645">
        <v>-364.304285</v>
      </c>
      <c r="X54" s="645"/>
      <c r="Y54" s="645"/>
      <c r="Z54" s="260">
        <f t="shared" si="4"/>
        <v>2481.47642594225</v>
      </c>
      <c r="AA54" s="257"/>
      <c r="AB54" s="639">
        <v>45383</v>
      </c>
      <c r="AC54" s="231">
        <f t="shared" si="5"/>
        <v>0.0408521119773757</v>
      </c>
      <c r="AD54" s="148">
        <f t="shared" si="6"/>
        <v>0.6007070924193</v>
      </c>
      <c r="AE54" s="231">
        <f t="shared" si="7"/>
        <v>0.0538111442569126</v>
      </c>
      <c r="AG54" s="639">
        <v>45383</v>
      </c>
      <c r="AH54" s="650">
        <f t="shared" si="8"/>
        <v>0.223986387625977</v>
      </c>
      <c r="AI54" s="650">
        <f t="shared" si="9"/>
        <v>-0.0822940359607894</v>
      </c>
      <c r="AJ54" s="650">
        <f t="shared" si="10"/>
        <v>0.144844428442337</v>
      </c>
      <c r="AL54" s="639">
        <v>45383</v>
      </c>
      <c r="AM54" s="303">
        <f t="shared" si="19"/>
        <v>-2242654.2799997</v>
      </c>
      <c r="AN54" s="303">
        <f t="shared" si="17"/>
        <v>-50612.5497976598</v>
      </c>
      <c r="AO54" s="643">
        <f t="shared" si="18"/>
        <v>42.895009</v>
      </c>
    </row>
    <row r="55" s="172" customFormat="1" spans="1:41">
      <c r="A55" s="639">
        <v>45413</v>
      </c>
      <c r="B55" s="257">
        <f>'GMV表-商品大类'!T58+B111</f>
        <v>411711.946101995</v>
      </c>
      <c r="C55" s="643">
        <v>48484.603022</v>
      </c>
      <c r="D55" s="257">
        <f t="shared" si="0"/>
        <v>460196.549123995</v>
      </c>
      <c r="E55" s="425"/>
      <c r="F55" s="639">
        <v>45413</v>
      </c>
      <c r="G55" s="257">
        <f>'毛利-收入组成'!AP55</f>
        <v>11948.9678637501</v>
      </c>
      <c r="H55" s="303">
        <v>10009914.44</v>
      </c>
      <c r="I55" s="257">
        <f t="shared" si="1"/>
        <v>1061.05093064</v>
      </c>
      <c r="J55" s="257">
        <v>4828.78357006</v>
      </c>
      <c r="K55" s="257">
        <f t="shared" si="12"/>
        <v>-643.365156971987</v>
      </c>
      <c r="L55" s="244">
        <f t="shared" si="2"/>
        <v>16360.0656601421</v>
      </c>
      <c r="M55" s="646">
        <v>5488.19571194</v>
      </c>
      <c r="N55" s="257">
        <f t="shared" si="3"/>
        <v>21848.2613720821</v>
      </c>
      <c r="P55" s="639">
        <v>45413</v>
      </c>
      <c r="Q55" s="260">
        <f>17363557.5599997/10000</f>
        <v>1736.35575599997</v>
      </c>
      <c r="R55" s="260">
        <f>-6069482.61294327/10000</f>
        <v>-606.948261294327</v>
      </c>
      <c r="S55" s="260">
        <v>469.472018</v>
      </c>
      <c r="T55" s="260"/>
      <c r="U55" s="260"/>
      <c r="V55" s="257">
        <f t="shared" si="11"/>
        <v>2812.7760352943</v>
      </c>
      <c r="W55" s="645">
        <v>-520.886018</v>
      </c>
      <c r="X55" s="645"/>
      <c r="Y55" s="645"/>
      <c r="Z55" s="260">
        <f t="shared" si="4"/>
        <v>2291.8900172943</v>
      </c>
      <c r="AA55" s="257"/>
      <c r="AB55" s="639">
        <v>45413</v>
      </c>
      <c r="AC55" s="231">
        <f t="shared" si="5"/>
        <v>0.0397366795280921</v>
      </c>
      <c r="AD55" s="148">
        <f t="shared" si="6"/>
        <v>0.113194609625858</v>
      </c>
      <c r="AE55" s="231">
        <f t="shared" si="7"/>
        <v>0.0474759348232212</v>
      </c>
      <c r="AG55" s="639">
        <v>45413</v>
      </c>
      <c r="AH55" s="650">
        <f t="shared" si="8"/>
        <v>0.182245148604499</v>
      </c>
      <c r="AI55" s="650">
        <f t="shared" si="9"/>
        <v>-0.100604863248367</v>
      </c>
      <c r="AJ55" s="650">
        <f t="shared" si="10"/>
        <v>0.111194358990792</v>
      </c>
      <c r="AL55" s="639">
        <v>45413</v>
      </c>
      <c r="AM55" s="303">
        <f t="shared" si="19"/>
        <v>125964.899999601</v>
      </c>
      <c r="AN55" s="303">
        <f t="shared" si="17"/>
        <v>-119441.013520841</v>
      </c>
      <c r="AO55" s="643">
        <f t="shared" si="18"/>
        <v>-57.545267</v>
      </c>
    </row>
    <row r="56" s="172" customFormat="1" spans="1:41">
      <c r="A56" s="639">
        <v>45444</v>
      </c>
      <c r="B56" s="257">
        <f>'GMV表-商品大类'!T59+B112</f>
        <v>509385.359714375</v>
      </c>
      <c r="C56" s="643">
        <v>57933.490216</v>
      </c>
      <c r="D56" s="257">
        <f t="shared" si="0"/>
        <v>567318.849930375</v>
      </c>
      <c r="E56" s="425"/>
      <c r="F56" s="639">
        <v>45444</v>
      </c>
      <c r="G56" s="257">
        <f>'毛利-收入组成'!AP56</f>
        <v>13920.3868771701</v>
      </c>
      <c r="H56" s="303">
        <v>13079264.52</v>
      </c>
      <c r="I56" s="257">
        <f t="shared" si="1"/>
        <v>1386.40203912</v>
      </c>
      <c r="J56" s="257">
        <v>5206.97539086</v>
      </c>
      <c r="K56" s="257">
        <f t="shared" si="12"/>
        <v>-648.292812046771</v>
      </c>
      <c r="L56" s="244">
        <f t="shared" si="2"/>
        <v>18389.2530409569</v>
      </c>
      <c r="M56" s="645">
        <v>6076.52398014</v>
      </c>
      <c r="N56" s="257">
        <f t="shared" si="3"/>
        <v>24465.7770210969</v>
      </c>
      <c r="P56" s="639">
        <v>45444</v>
      </c>
      <c r="Q56" s="260">
        <f>20545121.3099999/10000</f>
        <v>2054.51213099999</v>
      </c>
      <c r="R56" s="260">
        <f>-6115969.92496954/10000</f>
        <v>-611.596992496954</v>
      </c>
      <c r="S56" s="260">
        <v>407.138557</v>
      </c>
      <c r="T56" s="260"/>
      <c r="U56" s="260"/>
      <c r="V56" s="257">
        <f t="shared" si="11"/>
        <v>3073.24768049694</v>
      </c>
      <c r="W56" s="645">
        <v>-1234.855557</v>
      </c>
      <c r="X56" s="645"/>
      <c r="Y56" s="645"/>
      <c r="Z56" s="260">
        <f t="shared" si="4"/>
        <v>1838.39212349694</v>
      </c>
      <c r="AA56" s="257"/>
      <c r="AB56" s="639">
        <v>45444</v>
      </c>
      <c r="AC56" s="231">
        <f t="shared" si="5"/>
        <v>0.0361008668393379</v>
      </c>
      <c r="AD56" s="148">
        <f t="shared" si="6"/>
        <v>0.104887931962742</v>
      </c>
      <c r="AE56" s="231">
        <f t="shared" si="7"/>
        <v>0.0431252672533258</v>
      </c>
      <c r="AG56" s="639">
        <v>45444</v>
      </c>
      <c r="AH56" s="650">
        <f t="shared" si="8"/>
        <v>0.177149258540914</v>
      </c>
      <c r="AI56" s="650">
        <f t="shared" si="9"/>
        <v>-0.21541047064046</v>
      </c>
      <c r="AJ56" s="650">
        <f t="shared" si="10"/>
        <v>0.0796498573998446</v>
      </c>
      <c r="AL56" s="639">
        <v>45444</v>
      </c>
      <c r="AM56" s="303">
        <f t="shared" si="19"/>
        <v>3181563.7500002</v>
      </c>
      <c r="AN56" s="303">
        <f t="shared" si="17"/>
        <v>-46487.31202627</v>
      </c>
      <c r="AO56" s="643">
        <f t="shared" si="18"/>
        <v>-62.333461</v>
      </c>
    </row>
    <row r="57" s="172" customFormat="1" spans="1:41">
      <c r="A57" s="639">
        <v>45474</v>
      </c>
      <c r="B57" s="257">
        <f>'GMV表-商品大类'!T60+B113</f>
        <v>607746.803181114</v>
      </c>
      <c r="C57" s="643">
        <v>67786.586914</v>
      </c>
      <c r="D57" s="257">
        <f t="shared" si="0"/>
        <v>675533.390095114</v>
      </c>
      <c r="E57" s="425"/>
      <c r="F57" s="639">
        <v>45474</v>
      </c>
      <c r="G57" s="257">
        <f>'毛利-收入组成'!AP57</f>
        <v>16860.6072862501</v>
      </c>
      <c r="H57" s="303">
        <v>16583095.26</v>
      </c>
      <c r="I57" s="257">
        <f t="shared" si="1"/>
        <v>1757.80809756</v>
      </c>
      <c r="J57" s="257">
        <v>4830.44363518</v>
      </c>
      <c r="K57" s="257">
        <f t="shared" si="12"/>
        <v>216.828172297702</v>
      </c>
      <c r="L57" s="244">
        <f t="shared" si="2"/>
        <v>19716.4146515724</v>
      </c>
      <c r="M57" s="645">
        <v>7385.84691382</v>
      </c>
      <c r="N57" s="257">
        <f t="shared" si="3"/>
        <v>27102.2615653924</v>
      </c>
      <c r="P57" s="639">
        <v>45474</v>
      </c>
      <c r="Q57" s="260">
        <f>28247260.5499999/10000</f>
        <v>2824.72605499999</v>
      </c>
      <c r="R57" s="260">
        <f>2045548.79526134/10000</f>
        <v>204.554879526134</v>
      </c>
      <c r="S57" s="260">
        <v>345.709455</v>
      </c>
      <c r="T57" s="260"/>
      <c r="U57" s="260"/>
      <c r="V57" s="257">
        <f t="shared" si="11"/>
        <v>2965.88063047386</v>
      </c>
      <c r="W57" s="645">
        <v>-914.541455</v>
      </c>
      <c r="X57" s="645"/>
      <c r="Y57" s="645"/>
      <c r="Z57" s="260">
        <f t="shared" si="4"/>
        <v>2051.33917547386</v>
      </c>
      <c r="AA57" s="257"/>
      <c r="AB57" s="639">
        <v>45474</v>
      </c>
      <c r="AC57" s="231">
        <f t="shared" si="5"/>
        <v>0.0324418237140389</v>
      </c>
      <c r="AD57" s="148">
        <f t="shared" si="6"/>
        <v>0.10895735056244</v>
      </c>
      <c r="AE57" s="231">
        <f t="shared" si="7"/>
        <v>0.0401197956500366</v>
      </c>
      <c r="AG57" s="639">
        <v>45474</v>
      </c>
      <c r="AH57" s="650">
        <f t="shared" si="8"/>
        <v>0.159452594392032</v>
      </c>
      <c r="AI57" s="650">
        <f t="shared" si="9"/>
        <v>-0.131252915692862</v>
      </c>
      <c r="AJ57" s="650">
        <f t="shared" si="10"/>
        <v>0.0802301874607712</v>
      </c>
      <c r="AL57" s="639">
        <v>45474</v>
      </c>
      <c r="AM57" s="303">
        <f t="shared" si="19"/>
        <v>7702139.24</v>
      </c>
      <c r="AN57" s="303">
        <f t="shared" si="17"/>
        <v>8161518.72023088</v>
      </c>
      <c r="AO57" s="643">
        <f t="shared" si="18"/>
        <v>-61.4291019999999</v>
      </c>
    </row>
    <row r="58" s="172" customFormat="1" spans="1:41">
      <c r="A58" s="639">
        <v>45505</v>
      </c>
      <c r="B58" s="257">
        <f>'GMV表-商品大类'!T61+B114</f>
        <v>688414.047391074</v>
      </c>
      <c r="C58" s="643">
        <v>77960.769381</v>
      </c>
      <c r="D58" s="257">
        <f t="shared" si="0"/>
        <v>766374.816772074</v>
      </c>
      <c r="E58" s="425"/>
      <c r="F58" s="639">
        <v>45505</v>
      </c>
      <c r="G58" s="257">
        <f>'毛利-收入组成'!AP58</f>
        <v>19501.13466795</v>
      </c>
      <c r="H58" s="303">
        <v>17318462.73</v>
      </c>
      <c r="I58" s="257">
        <f t="shared" si="1"/>
        <v>1835.75704938</v>
      </c>
      <c r="J58" s="257">
        <v>6482.24998036</v>
      </c>
      <c r="K58" s="257">
        <f t="shared" si="12"/>
        <v>163.130704068596</v>
      </c>
      <c r="L58" s="257">
        <f t="shared" si="2"/>
        <v>23984.4968948614</v>
      </c>
      <c r="M58" s="645">
        <v>8433.58844264</v>
      </c>
      <c r="N58" s="257">
        <f t="shared" si="3"/>
        <v>32418.0853375014</v>
      </c>
      <c r="P58" s="639">
        <v>45505</v>
      </c>
      <c r="Q58" s="260">
        <f>31134501.7400001/10000</f>
        <v>3113.45017400001</v>
      </c>
      <c r="R58" s="260">
        <f>1538968.90630751/10000</f>
        <v>153.896890630751</v>
      </c>
      <c r="S58" s="260">
        <v>331.253709</v>
      </c>
      <c r="T58" s="260"/>
      <c r="U58" s="260"/>
      <c r="V58" s="257">
        <f t="shared" si="11"/>
        <v>3290.80699236926</v>
      </c>
      <c r="W58" s="645">
        <v>-916.408709</v>
      </c>
      <c r="X58" s="645"/>
      <c r="Y58" s="645"/>
      <c r="Z58" s="260">
        <f t="shared" si="4"/>
        <v>2374.39828336926</v>
      </c>
      <c r="AA58" s="257"/>
      <c r="AB58" s="639">
        <v>45505</v>
      </c>
      <c r="AC58" s="231">
        <f t="shared" si="5"/>
        <v>0.034840220047451</v>
      </c>
      <c r="AD58" s="148">
        <f t="shared" si="6"/>
        <v>0.108177337263367</v>
      </c>
      <c r="AE58" s="231">
        <f t="shared" si="7"/>
        <v>0.0423005618504591</v>
      </c>
      <c r="AG58" s="639">
        <v>45505</v>
      </c>
      <c r="AH58" s="650">
        <f t="shared" si="8"/>
        <v>0.145437922971766</v>
      </c>
      <c r="AI58" s="650">
        <f t="shared" si="9"/>
        <v>-0.115181483913616</v>
      </c>
      <c r="AJ58" s="650">
        <f t="shared" si="10"/>
        <v>0.0776375950081141</v>
      </c>
      <c r="AL58" s="639">
        <v>45505</v>
      </c>
      <c r="AM58" s="303">
        <f t="shared" si="19"/>
        <v>2887241.1900002</v>
      </c>
      <c r="AN58" s="303">
        <f t="shared" si="17"/>
        <v>-506579.88895383</v>
      </c>
      <c r="AO58" s="643">
        <f t="shared" si="18"/>
        <v>-14.455746</v>
      </c>
    </row>
    <row r="59" s="172" customFormat="1" spans="1:41">
      <c r="A59" s="639">
        <v>45536</v>
      </c>
      <c r="B59" s="257">
        <f>'GMV表-商品大类'!T62+B115</f>
        <v>748878.175024344</v>
      </c>
      <c r="C59" s="643">
        <v>88041.301361</v>
      </c>
      <c r="D59" s="257">
        <f t="shared" si="0"/>
        <v>836919.476385344</v>
      </c>
      <c r="E59" s="425"/>
      <c r="F59" s="639">
        <v>45536</v>
      </c>
      <c r="G59" s="257">
        <f>'毛利-收入组成'!AP59</f>
        <v>21218.05837137</v>
      </c>
      <c r="H59" s="303">
        <v>18819047.05</v>
      </c>
      <c r="I59" s="257">
        <f t="shared" si="1"/>
        <v>1994.8189873</v>
      </c>
      <c r="J59" s="257">
        <v>7755.02659404</v>
      </c>
      <c r="K59" s="257">
        <f t="shared" si="12"/>
        <v>163.323791592721</v>
      </c>
      <c r="L59" s="257">
        <f t="shared" si="2"/>
        <v>26814.9421865173</v>
      </c>
      <c r="M59" s="260">
        <v>9463.46993196</v>
      </c>
      <c r="N59" s="257">
        <f t="shared" si="3"/>
        <v>36278.4121184773</v>
      </c>
      <c r="P59" s="639">
        <v>45536</v>
      </c>
      <c r="Q59" s="260">
        <f>36119147.9499995/10000</f>
        <v>3611.91479499995</v>
      </c>
      <c r="R59" s="260">
        <f>1540790.48672378/10000</f>
        <v>154.079048672378</v>
      </c>
      <c r="S59" s="260">
        <v>741.044324</v>
      </c>
      <c r="T59" s="260"/>
      <c r="U59" s="260"/>
      <c r="V59" s="257">
        <f t="shared" si="11"/>
        <v>4198.88007032757</v>
      </c>
      <c r="W59" s="260">
        <v>-869.186324</v>
      </c>
      <c r="X59" s="260"/>
      <c r="Y59" s="260"/>
      <c r="Z59" s="260">
        <f t="shared" si="4"/>
        <v>3329.69374632757</v>
      </c>
      <c r="AA59" s="257"/>
      <c r="AB59" s="639">
        <v>45536</v>
      </c>
      <c r="AC59" s="231">
        <f t="shared" si="5"/>
        <v>0.035806814887676</v>
      </c>
      <c r="AD59" s="148">
        <f t="shared" si="6"/>
        <v>0.107488982848589</v>
      </c>
      <c r="AE59" s="231">
        <f t="shared" si="7"/>
        <v>0.0433475539070542</v>
      </c>
      <c r="AG59" s="639">
        <v>45536</v>
      </c>
      <c r="AH59" s="650">
        <f t="shared" si="8"/>
        <v>0.165982564630892</v>
      </c>
      <c r="AI59" s="650">
        <f t="shared" si="9"/>
        <v>-0.0973572600815756</v>
      </c>
      <c r="AJ59" s="650">
        <f t="shared" si="10"/>
        <v>0.0972885847258347</v>
      </c>
      <c r="AL59" s="639">
        <v>45536</v>
      </c>
      <c r="AM59" s="303">
        <f t="shared" si="19"/>
        <v>4984646.2099994</v>
      </c>
      <c r="AN59" s="303">
        <f t="shared" si="17"/>
        <v>1821.58041626963</v>
      </c>
      <c r="AO59" s="643">
        <f t="shared" si="18"/>
        <v>409.790615</v>
      </c>
    </row>
    <row r="60" s="172" customFormat="1" spans="1:41">
      <c r="A60" s="639">
        <v>45566</v>
      </c>
      <c r="B60" s="257">
        <f>'GMV表-商品大类'!T63+B116</f>
        <v>813677.801364618</v>
      </c>
      <c r="C60" s="643">
        <v>98052.554632</v>
      </c>
      <c r="D60" s="257">
        <f t="shared" si="0"/>
        <v>911730.355996618</v>
      </c>
      <c r="E60" s="425"/>
      <c r="F60" s="639">
        <v>45566</v>
      </c>
      <c r="G60" s="257">
        <f>'毛利-收入组成'!AP60</f>
        <v>23238.67200903</v>
      </c>
      <c r="H60" s="303">
        <v>20057337.23</v>
      </c>
      <c r="I60" s="257">
        <f t="shared" si="1"/>
        <v>2126.07774638</v>
      </c>
      <c r="J60" s="257">
        <v>8747.2110037</v>
      </c>
      <c r="K60" s="257">
        <f t="shared" si="12"/>
        <v>259.795160029978</v>
      </c>
      <c r="L60" s="257">
        <f t="shared" si="2"/>
        <v>29600.01010632</v>
      </c>
      <c r="M60" s="260">
        <v>10528.9131503</v>
      </c>
      <c r="N60" s="257">
        <f t="shared" si="3"/>
        <v>40128.92325662</v>
      </c>
      <c r="P60" s="639">
        <v>45566</v>
      </c>
      <c r="Q60" s="260">
        <f>37390549.6399998/10000</f>
        <v>3739.05496399998</v>
      </c>
      <c r="R60" s="260">
        <f>2450897.73613187/10000</f>
        <v>245.089773613187</v>
      </c>
      <c r="S60" s="260">
        <v>862.006982</v>
      </c>
      <c r="T60" s="260"/>
      <c r="U60" s="260"/>
      <c r="V60" s="257">
        <f t="shared" si="11"/>
        <v>4355.97217238679</v>
      </c>
      <c r="W60" s="260">
        <v>-708.530982</v>
      </c>
      <c r="X60" s="260"/>
      <c r="Y60" s="260"/>
      <c r="Z60" s="260">
        <f t="shared" si="4"/>
        <v>3647.44119038679</v>
      </c>
      <c r="AA60" s="257"/>
      <c r="AB60" s="639">
        <v>45566</v>
      </c>
      <c r="AC60" s="231">
        <f t="shared" si="5"/>
        <v>0.0363780479898528</v>
      </c>
      <c r="AD60" s="148">
        <f t="shared" si="6"/>
        <v>0.107380304264544</v>
      </c>
      <c r="AE60" s="231">
        <f t="shared" si="7"/>
        <v>0.044014025630149</v>
      </c>
      <c r="AG60" s="639">
        <v>45566</v>
      </c>
      <c r="AH60" s="650">
        <f t="shared" si="8"/>
        <v>0.155990842102589</v>
      </c>
      <c r="AI60" s="650">
        <f t="shared" si="9"/>
        <v>-0.0713314688989148</v>
      </c>
      <c r="AJ60" s="650">
        <f t="shared" si="10"/>
        <v>0.0963466584210476</v>
      </c>
      <c r="AL60" s="639">
        <v>45566</v>
      </c>
      <c r="AM60" s="303">
        <f t="shared" si="19"/>
        <v>1271401.6900003</v>
      </c>
      <c r="AN60" s="303">
        <f t="shared" si="17"/>
        <v>910107.24940809</v>
      </c>
      <c r="AO60" s="643">
        <f t="shared" si="18"/>
        <v>120.962658</v>
      </c>
    </row>
    <row r="61" s="172" customFormat="1" spans="1:41">
      <c r="A61" s="639">
        <v>45597</v>
      </c>
      <c r="B61" s="257">
        <f>'GMV表-商品大类'!T64+B117</f>
        <v>882563.819387638</v>
      </c>
      <c r="C61" s="643">
        <v>108422.021597</v>
      </c>
      <c r="D61" s="257">
        <f t="shared" si="0"/>
        <v>990985.840984638</v>
      </c>
      <c r="E61" s="425"/>
      <c r="F61" s="639">
        <v>45597</v>
      </c>
      <c r="G61" s="257">
        <f>'毛利-收入组成'!AP61</f>
        <v>25333.2584270667</v>
      </c>
      <c r="H61" s="303">
        <v>19330114.31</v>
      </c>
      <c r="I61" s="257">
        <f t="shared" si="1"/>
        <v>2048.99211686</v>
      </c>
      <c r="J61" s="257">
        <v>9819.68379916</v>
      </c>
      <c r="K61" s="257">
        <f t="shared" si="12"/>
        <v>46.7433279835537</v>
      </c>
      <c r="L61" s="257">
        <f t="shared" si="2"/>
        <v>33057.2067813831</v>
      </c>
      <c r="M61" s="260">
        <v>11601.37564184</v>
      </c>
      <c r="N61" s="257">
        <f t="shared" si="3"/>
        <v>44658.5824232231</v>
      </c>
      <c r="P61" s="639">
        <v>45597</v>
      </c>
      <c r="Q61" s="260">
        <f>39282359.86/10000</f>
        <v>3928.235986</v>
      </c>
      <c r="R61" s="260">
        <f>440974.792297676/10000</f>
        <v>44.0974792297676</v>
      </c>
      <c r="S61" s="260">
        <v>1143.845086</v>
      </c>
      <c r="T61" s="260"/>
      <c r="U61" s="260"/>
      <c r="V61" s="257">
        <f t="shared" si="11"/>
        <v>5027.98359277023</v>
      </c>
      <c r="W61" s="260">
        <v>-559.211086</v>
      </c>
      <c r="X61" s="260"/>
      <c r="Y61" s="260"/>
      <c r="Z61" s="260">
        <f t="shared" si="4"/>
        <v>4468.77250677023</v>
      </c>
      <c r="AA61" s="257"/>
      <c r="AB61" s="639">
        <v>45597</v>
      </c>
      <c r="AC61" s="231">
        <f t="shared" si="5"/>
        <v>0.0374558825721178</v>
      </c>
      <c r="AD61" s="148">
        <f t="shared" si="6"/>
        <v>0.107002022937386</v>
      </c>
      <c r="AE61" s="231">
        <f t="shared" si="7"/>
        <v>0.0450648037300418</v>
      </c>
      <c r="AG61" s="639">
        <v>45597</v>
      </c>
      <c r="AH61" s="650">
        <f t="shared" si="8"/>
        <v>0.161225436970009</v>
      </c>
      <c r="AI61" s="650">
        <f t="shared" si="9"/>
        <v>-0.0510942641165946</v>
      </c>
      <c r="AJ61" s="650">
        <f t="shared" si="10"/>
        <v>0.106069171929497</v>
      </c>
      <c r="AL61" s="639">
        <v>45597</v>
      </c>
      <c r="AM61" s="303">
        <f t="shared" si="19"/>
        <v>1891810.2200002</v>
      </c>
      <c r="AN61" s="303">
        <f t="shared" si="17"/>
        <v>-2009922.94383419</v>
      </c>
      <c r="AO61" s="643">
        <f t="shared" si="18"/>
        <v>281.838104</v>
      </c>
    </row>
    <row r="62" s="172" customFormat="1" spans="1:41">
      <c r="A62" s="639">
        <v>45627</v>
      </c>
      <c r="B62" s="257">
        <f>'GMV表-商品大类'!T65+B118</f>
        <v>950049.948389949</v>
      </c>
      <c r="C62" s="643">
        <v>120473.038071</v>
      </c>
      <c r="D62" s="257">
        <f t="shared" si="0"/>
        <v>1070522.98646095</v>
      </c>
      <c r="E62" s="425"/>
      <c r="F62" s="639">
        <v>45627</v>
      </c>
      <c r="G62" s="257">
        <f>'毛利-收入组成'!AP62</f>
        <v>28076.73833426</v>
      </c>
      <c r="H62" s="303">
        <v>20867964.24</v>
      </c>
      <c r="I62" s="257">
        <f t="shared" si="1"/>
        <v>2212.00420944</v>
      </c>
      <c r="J62" s="257">
        <v>10371.36524702</v>
      </c>
      <c r="K62" s="257">
        <f t="shared" si="12"/>
        <v>-5.94470390310582</v>
      </c>
      <c r="L62" s="257">
        <f t="shared" si="2"/>
        <v>36242.0440757431</v>
      </c>
      <c r="M62" s="260">
        <v>13216.35189298</v>
      </c>
      <c r="N62" s="257">
        <f t="shared" si="3"/>
        <v>49458.3959687231</v>
      </c>
      <c r="P62" s="639">
        <v>45627</v>
      </c>
      <c r="Q62" s="260">
        <f>40657623.89/10000</f>
        <v>4065.762389</v>
      </c>
      <c r="R62" s="260">
        <f>-56082.1122934511/10000</f>
        <v>-5.60821122934511</v>
      </c>
      <c r="S62" s="260">
        <v>799.440237</v>
      </c>
      <c r="T62" s="260"/>
      <c r="U62" s="260"/>
      <c r="V62" s="257">
        <f t="shared" si="11"/>
        <v>4870.81083722935</v>
      </c>
      <c r="W62" s="260">
        <v>-191.653237</v>
      </c>
      <c r="X62" s="260"/>
      <c r="Y62" s="260"/>
      <c r="Z62" s="260">
        <f t="shared" si="4"/>
        <v>4679.15760022935</v>
      </c>
      <c r="AA62" s="257"/>
      <c r="AB62" s="639">
        <v>45627</v>
      </c>
      <c r="AC62" s="231">
        <f t="shared" si="5"/>
        <v>0.0381475143882304</v>
      </c>
      <c r="AD62" s="148">
        <f t="shared" si="6"/>
        <v>0.109703815099201</v>
      </c>
      <c r="AE62" s="231">
        <f t="shared" si="7"/>
        <v>0.0462002185793581</v>
      </c>
      <c r="AG62" s="639">
        <v>45627</v>
      </c>
      <c r="AH62" s="650">
        <f t="shared" si="8"/>
        <v>0.142460493582335</v>
      </c>
      <c r="AI62" s="650">
        <f t="shared" si="9"/>
        <v>-0.0153712940503579</v>
      </c>
      <c r="AJ62" s="650">
        <f t="shared" si="10"/>
        <v>0.100284430157818</v>
      </c>
      <c r="AL62" s="639">
        <v>45627</v>
      </c>
      <c r="AM62" s="303">
        <f t="shared" si="19"/>
        <v>1375264.03</v>
      </c>
      <c r="AN62" s="303">
        <f t="shared" si="17"/>
        <v>-497056.904591127</v>
      </c>
      <c r="AO62" s="643">
        <f t="shared" si="18"/>
        <v>-344.404849</v>
      </c>
    </row>
    <row r="63" s="172" customFormat="1" spans="1:41">
      <c r="A63" s="640">
        <v>45658</v>
      </c>
      <c r="B63" s="257">
        <f>'GMV表-商品大类'!T66+B119</f>
        <v>81145.3129834806</v>
      </c>
      <c r="C63" s="643">
        <v>12379.049359</v>
      </c>
      <c r="D63" s="257">
        <f t="shared" si="0"/>
        <v>93524.3623424806</v>
      </c>
      <c r="E63" s="425"/>
      <c r="F63" s="640">
        <v>45658</v>
      </c>
      <c r="G63" s="257">
        <f>'毛利-收入组成'!AP63</f>
        <v>2075.3523323404</v>
      </c>
      <c r="H63" s="303">
        <v>1143231.88</v>
      </c>
      <c r="I63" s="257">
        <f t="shared" si="1"/>
        <v>121.18257928</v>
      </c>
      <c r="J63" s="257">
        <v>2206.16432262</v>
      </c>
      <c r="K63" s="257">
        <f t="shared" si="12"/>
        <v>-180.428511598015</v>
      </c>
      <c r="L63" s="257">
        <f t="shared" si="2"/>
        <v>4340.76258727841</v>
      </c>
      <c r="M63" s="645">
        <v>1241.35703182</v>
      </c>
      <c r="N63" s="257">
        <f t="shared" si="3"/>
        <v>5582.11961909841</v>
      </c>
      <c r="P63" s="640">
        <v>45658</v>
      </c>
      <c r="Q63" s="260">
        <f>2904342.15/10000</f>
        <v>290.434215</v>
      </c>
      <c r="R63" s="260">
        <f>-1702155.76979259/10000</f>
        <v>-170.215576979259</v>
      </c>
      <c r="S63" s="260">
        <v>744.552284</v>
      </c>
      <c r="T63" s="260"/>
      <c r="U63" s="260"/>
      <c r="V63" s="257">
        <f t="shared" si="11"/>
        <v>1205.20207597926</v>
      </c>
      <c r="W63" s="260">
        <v>36.057099</v>
      </c>
      <c r="X63" s="260"/>
      <c r="Y63" s="260"/>
      <c r="Z63" s="260">
        <f t="shared" si="4"/>
        <v>1241.25917497926</v>
      </c>
      <c r="AA63" s="257"/>
      <c r="AB63" s="640">
        <v>45658</v>
      </c>
      <c r="AC63" s="231">
        <f t="shared" si="5"/>
        <v>0.0534936945546331</v>
      </c>
      <c r="AD63" s="148">
        <f t="shared" si="6"/>
        <v>0.10027886599527</v>
      </c>
      <c r="AE63" s="231">
        <f t="shared" si="7"/>
        <v>0.0596862622666918</v>
      </c>
      <c r="AG63" s="640">
        <v>45658</v>
      </c>
      <c r="AH63" s="650">
        <f t="shared" si="8"/>
        <v>0.294306397747266</v>
      </c>
      <c r="AI63" s="650">
        <f t="shared" si="9"/>
        <v>0.0307893087647504</v>
      </c>
      <c r="AJ63" s="650">
        <f t="shared" si="10"/>
        <v>0.235705218672925</v>
      </c>
      <c r="AL63" s="640">
        <v>45658</v>
      </c>
      <c r="AM63" s="303">
        <f>Q63*10000</f>
        <v>2904342.15</v>
      </c>
      <c r="AN63" s="303">
        <f>R63*10000</f>
        <v>-1702155.76979259</v>
      </c>
      <c r="AO63" s="643">
        <f>S63</f>
        <v>744.552284</v>
      </c>
    </row>
    <row r="64" s="172" customFormat="1" spans="1:41">
      <c r="A64" s="640">
        <v>45689</v>
      </c>
      <c r="B64" s="257">
        <f>'GMV表-商品大类'!T67+B120</f>
        <v>143043.589247461</v>
      </c>
      <c r="C64" s="643">
        <v>15190.545145</v>
      </c>
      <c r="D64" s="257">
        <f t="shared" si="0"/>
        <v>158234.134392461</v>
      </c>
      <c r="E64" s="425"/>
      <c r="F64" s="640">
        <v>45689</v>
      </c>
      <c r="G64" s="257">
        <f>'毛利-收入组成'!AP64</f>
        <v>4860.19797620039</v>
      </c>
      <c r="H64" s="303">
        <v>2075803.18</v>
      </c>
      <c r="I64" s="257">
        <f t="shared" si="1"/>
        <v>220.03513708</v>
      </c>
      <c r="J64" s="257">
        <v>2816.31864208</v>
      </c>
      <c r="K64" s="257">
        <f t="shared" si="12"/>
        <v>-266.661272909805</v>
      </c>
      <c r="L64" s="257">
        <f t="shared" si="2"/>
        <v>7723.1427541102</v>
      </c>
      <c r="M64" s="645">
        <v>2372.36314016</v>
      </c>
      <c r="N64" s="257">
        <f t="shared" si="3"/>
        <v>10095.5058942702</v>
      </c>
      <c r="P64" s="640">
        <v>45689</v>
      </c>
      <c r="Q64" s="260">
        <f>14521013.01/10000</f>
        <v>1452.101301</v>
      </c>
      <c r="R64" s="260">
        <f>-2515672.38594156/10000</f>
        <v>-251.567238594156</v>
      </c>
      <c r="S64" s="260">
        <v>771.907528</v>
      </c>
      <c r="T64" s="260"/>
      <c r="U64" s="260"/>
      <c r="V64" s="257">
        <f t="shared" si="11"/>
        <v>2475.57606759416</v>
      </c>
      <c r="W64" s="260">
        <v>26.999682</v>
      </c>
      <c r="X64" s="260"/>
      <c r="Y64" s="260"/>
      <c r="Z64" s="260">
        <f t="shared" si="4"/>
        <v>2502.57574959416</v>
      </c>
      <c r="AA64" s="257"/>
      <c r="AB64" s="640">
        <v>45689</v>
      </c>
      <c r="AC64" s="231">
        <f t="shared" si="5"/>
        <v>0.0539915335929483</v>
      </c>
      <c r="AD64" s="148">
        <f t="shared" si="6"/>
        <v>0.156173667074803</v>
      </c>
      <c r="AE64" s="231">
        <f t="shared" si="7"/>
        <v>0.0638010624763856</v>
      </c>
      <c r="AG64" s="640">
        <v>45689</v>
      </c>
      <c r="AH64" s="650">
        <f t="shared" si="8"/>
        <v>0.339772384791577</v>
      </c>
      <c r="AI64" s="650">
        <f t="shared" si="9"/>
        <v>0.0120637782789315</v>
      </c>
      <c r="AJ64" s="650">
        <f t="shared" si="10"/>
        <v>0.262763483311459</v>
      </c>
      <c r="AL64" s="640">
        <v>45689</v>
      </c>
      <c r="AM64" s="303">
        <f t="shared" ref="AM64:AM69" si="20">(Q64-Q63)*10000</f>
        <v>11616670.86</v>
      </c>
      <c r="AN64" s="303">
        <f t="shared" ref="AN64:AN69" si="21">(R64-R63)*10000</f>
        <v>-813516.61614897</v>
      </c>
      <c r="AO64" s="643">
        <f t="shared" ref="AO64:AO69" si="22">(S64-S63)</f>
        <v>27.3552440000002</v>
      </c>
    </row>
    <row r="65" s="172" customFormat="1" spans="1:41">
      <c r="A65" s="640">
        <v>45717</v>
      </c>
      <c r="B65" s="257">
        <f>'GMV表-商品大类'!T68+B121</f>
        <v>210392.878571142</v>
      </c>
      <c r="C65" s="643">
        <v>27875.80365</v>
      </c>
      <c r="D65" s="257">
        <f t="shared" si="0"/>
        <v>238268.682221142</v>
      </c>
      <c r="E65" s="425"/>
      <c r="F65" s="640">
        <v>45717</v>
      </c>
      <c r="G65" s="257">
        <f>'毛利-收入组成'!AP65</f>
        <v>7154.89557580925</v>
      </c>
      <c r="H65" s="303">
        <v>3524084.47</v>
      </c>
      <c r="I65" s="257">
        <f t="shared" si="1"/>
        <v>373.55295382</v>
      </c>
      <c r="J65" s="257">
        <v>2586.560086836</v>
      </c>
      <c r="K65" s="257">
        <f t="shared" si="12"/>
        <v>-308.932953544234</v>
      </c>
      <c r="L65" s="257">
        <f t="shared" si="2"/>
        <v>9676.83566236948</v>
      </c>
      <c r="M65" s="645">
        <v>3928.112711164</v>
      </c>
      <c r="N65" s="257">
        <f t="shared" si="3"/>
        <v>13604.9483735335</v>
      </c>
      <c r="P65" s="640">
        <v>45717</v>
      </c>
      <c r="Q65" s="260">
        <f>20008987.28/10000</f>
        <v>2000.898728</v>
      </c>
      <c r="R65" s="260">
        <f>-2914461.825889/10000</f>
        <v>-291.4461825889</v>
      </c>
      <c r="S65" s="260">
        <v>362.7309156</v>
      </c>
      <c r="T65" s="260"/>
      <c r="U65" s="260"/>
      <c r="V65" s="257">
        <f t="shared" si="11"/>
        <v>2655.0758261889</v>
      </c>
      <c r="W65" s="260">
        <v>351.1867314</v>
      </c>
      <c r="X65" s="260"/>
      <c r="Y65" s="260"/>
      <c r="Z65" s="260">
        <f t="shared" si="4"/>
        <v>3006.2625575889</v>
      </c>
      <c r="AA65" s="257"/>
      <c r="AB65" s="640">
        <v>45717</v>
      </c>
      <c r="AC65" s="231">
        <f t="shared" si="5"/>
        <v>0.0459941217026382</v>
      </c>
      <c r="AD65" s="148">
        <f t="shared" si="6"/>
        <v>0.140914779013519</v>
      </c>
      <c r="AE65" s="231">
        <f t="shared" si="7"/>
        <v>0.0570991883897963</v>
      </c>
      <c r="AG65" s="640">
        <v>45717</v>
      </c>
      <c r="AH65" s="650">
        <f t="shared" si="8"/>
        <v>0.290836847287236</v>
      </c>
      <c r="AI65" s="650">
        <f t="shared" si="9"/>
        <v>0.094767630833508</v>
      </c>
      <c r="AJ65" s="650">
        <f t="shared" si="10"/>
        <v>0.234226417003051</v>
      </c>
      <c r="AL65" s="640">
        <v>45717</v>
      </c>
      <c r="AM65" s="303">
        <f t="shared" si="20"/>
        <v>5487974.27</v>
      </c>
      <c r="AN65" s="303">
        <f t="shared" si="21"/>
        <v>-398789.43994744</v>
      </c>
      <c r="AO65" s="643">
        <f t="shared" si="22"/>
        <v>-409.1766124</v>
      </c>
    </row>
    <row r="66" s="172" customFormat="1" spans="1:41">
      <c r="A66" s="640">
        <v>45748</v>
      </c>
      <c r="B66" s="257">
        <f>'GMV表-商品大类'!T69+B122</f>
        <v>278652.468456923</v>
      </c>
      <c r="C66" s="643">
        <v>42828.327235</v>
      </c>
      <c r="D66" s="257">
        <f t="shared" si="0"/>
        <v>321480.795691923</v>
      </c>
      <c r="E66" s="425"/>
      <c r="F66" s="640">
        <v>45748</v>
      </c>
      <c r="G66" s="257">
        <f>'毛利-收入组成'!AP66</f>
        <v>8940.11394936925</v>
      </c>
      <c r="H66" s="303">
        <v>5009720.78</v>
      </c>
      <c r="I66" s="257">
        <f t="shared" si="1"/>
        <v>531.03040268</v>
      </c>
      <c r="J66" s="257">
        <v>2814.781614616</v>
      </c>
      <c r="K66" s="257">
        <f t="shared" si="12"/>
        <v>-345.530853297554</v>
      </c>
      <c r="L66" s="257">
        <f t="shared" si="2"/>
        <v>11569.3960146028</v>
      </c>
      <c r="M66" s="645">
        <v>4813.516523404</v>
      </c>
      <c r="N66" s="257">
        <f t="shared" si="3"/>
        <v>16382.9125380068</v>
      </c>
      <c r="P66" s="640">
        <v>45748</v>
      </c>
      <c r="Q66" s="260">
        <f>19493947.13/10000</f>
        <v>1949.394713</v>
      </c>
      <c r="R66" s="260">
        <f>-3259725.031109/10000</f>
        <v>-325.9725031109</v>
      </c>
      <c r="S66" s="260">
        <v>387.8490746</v>
      </c>
      <c r="T66" s="260"/>
      <c r="U66" s="260"/>
      <c r="V66" s="257">
        <f t="shared" si="11"/>
        <v>2663.2162907109</v>
      </c>
      <c r="W66" s="260">
        <v>377.8072024</v>
      </c>
      <c r="X66" s="260"/>
      <c r="Y66" s="260"/>
      <c r="Z66" s="260">
        <f t="shared" si="4"/>
        <v>3041.0234931109</v>
      </c>
      <c r="AA66" s="257"/>
      <c r="AB66" s="640">
        <v>45748</v>
      </c>
      <c r="AC66" s="231">
        <f t="shared" si="5"/>
        <v>0.0415190867630563</v>
      </c>
      <c r="AD66" s="148">
        <f t="shared" si="6"/>
        <v>0.112390953235043</v>
      </c>
      <c r="AE66" s="231">
        <f t="shared" si="7"/>
        <v>0.0509607813516383</v>
      </c>
      <c r="AG66" s="640">
        <v>45748</v>
      </c>
      <c r="AH66" s="650">
        <f t="shared" si="8"/>
        <v>0.244006624424505</v>
      </c>
      <c r="AI66" s="650">
        <f t="shared" si="9"/>
        <v>0.0831981426877483</v>
      </c>
      <c r="AJ66" s="650">
        <f t="shared" si="10"/>
        <v>0.196758964269593</v>
      </c>
      <c r="AL66" s="640">
        <v>45748</v>
      </c>
      <c r="AM66" s="303">
        <f t="shared" si="20"/>
        <v>-515040.150000002</v>
      </c>
      <c r="AN66" s="303">
        <f t="shared" si="21"/>
        <v>-345263.20522</v>
      </c>
      <c r="AO66" s="643">
        <f t="shared" si="22"/>
        <v>25.118159</v>
      </c>
    </row>
    <row r="67" s="172" customFormat="1" spans="1:41">
      <c r="A67" s="640">
        <v>45778</v>
      </c>
      <c r="B67" s="257">
        <f>'GMV表-商品大类'!T70+B123</f>
        <v>356718.108641523</v>
      </c>
      <c r="C67" s="643">
        <v>54421.447414</v>
      </c>
      <c r="D67" s="257">
        <f>B67+C67</f>
        <v>411139.556055523</v>
      </c>
      <c r="E67" s="425"/>
      <c r="F67" s="640">
        <v>45778</v>
      </c>
      <c r="G67" s="257">
        <f>'毛利-收入组成'!AP67</f>
        <v>11192.8377001067</v>
      </c>
      <c r="H67" s="303">
        <v>6693457.85</v>
      </c>
      <c r="I67" s="257">
        <f>H67*1.06/10000</f>
        <v>709.5065321</v>
      </c>
      <c r="J67" s="257">
        <v>3386.130570936</v>
      </c>
      <c r="K67" s="257">
        <f t="shared" si="12"/>
        <v>-376.57449036778</v>
      </c>
      <c r="L67" s="257">
        <f>G67-I67+J67-K67</f>
        <v>14246.0362293105</v>
      </c>
      <c r="M67" s="645">
        <v>6008.306606164</v>
      </c>
      <c r="N67" s="257">
        <f>L67+M67</f>
        <v>20254.3428354745</v>
      </c>
      <c r="P67" s="640">
        <v>45778</v>
      </c>
      <c r="Q67" s="260">
        <f>25241507.62/10000</f>
        <v>2524.150762</v>
      </c>
      <c r="R67" s="260">
        <f>-3552589.53177151/10000</f>
        <v>-355.258953177151</v>
      </c>
      <c r="S67" s="260">
        <v>590.1728556</v>
      </c>
      <c r="T67" s="260"/>
      <c r="U67" s="260"/>
      <c r="V67" s="257">
        <f t="shared" si="11"/>
        <v>3469.58257077715</v>
      </c>
      <c r="W67" s="260">
        <v>527.5641324</v>
      </c>
      <c r="X67" s="260"/>
      <c r="Y67" s="260"/>
      <c r="Z67" s="260">
        <f>V67+W67</f>
        <v>3997.14670317715</v>
      </c>
      <c r="AA67" s="257"/>
      <c r="AB67" s="640">
        <v>45778</v>
      </c>
      <c r="AC67" s="231">
        <f>L67/B67</f>
        <v>0.0399363976321896</v>
      </c>
      <c r="AD67" s="148">
        <f>M67/C67</f>
        <v>0.110403285683621</v>
      </c>
      <c r="AE67" s="231">
        <f>N67/D67</f>
        <v>0.0492639118205868</v>
      </c>
      <c r="AG67" s="640">
        <v>45778</v>
      </c>
      <c r="AH67" s="650">
        <f>V67*1.06/L67</f>
        <v>0.258160057002872</v>
      </c>
      <c r="AI67" s="650">
        <f>W67*1.06/M67</f>
        <v>0.0930741416841629</v>
      </c>
      <c r="AJ67" s="650">
        <f>Z67*1.06/N67</f>
        <v>0.209188495513512</v>
      </c>
      <c r="AL67" s="640">
        <v>45778</v>
      </c>
      <c r="AM67" s="303">
        <f t="shared" si="20"/>
        <v>5747560.49</v>
      </c>
      <c r="AN67" s="303">
        <f t="shared" si="21"/>
        <v>-292864.50066251</v>
      </c>
      <c r="AO67" s="643">
        <f t="shared" si="22"/>
        <v>202.323781</v>
      </c>
    </row>
    <row r="68" s="172" customFormat="1" spans="1:41">
      <c r="A68" s="640">
        <v>45809</v>
      </c>
      <c r="B68" s="257">
        <f>'GMV表-商品大类'!T71+B124</f>
        <v>424209.964447624</v>
      </c>
      <c r="C68" s="643">
        <v>65823.460968</v>
      </c>
      <c r="D68" s="257">
        <f>B68+C68</f>
        <v>490033.425415624</v>
      </c>
      <c r="E68" s="425"/>
      <c r="F68" s="640">
        <v>45809</v>
      </c>
      <c r="G68" s="257">
        <f>'毛利-收入组成'!AP68</f>
        <v>14446.9065987866</v>
      </c>
      <c r="H68" s="303">
        <v>8861461.01</v>
      </c>
      <c r="I68" s="257">
        <f>H68*1.06/10000</f>
        <v>939.31486706</v>
      </c>
      <c r="J68" s="257">
        <v>3774.285944036</v>
      </c>
      <c r="K68" s="257">
        <f t="shared" si="12"/>
        <v>-389.71032266186</v>
      </c>
      <c r="L68" s="257">
        <f>G68-I68+J68-K68</f>
        <v>17671.5879984245</v>
      </c>
      <c r="M68" s="645">
        <v>7247.297932684</v>
      </c>
      <c r="N68" s="257">
        <f>L68+M68</f>
        <v>24918.8859311085</v>
      </c>
      <c r="P68" s="640">
        <v>45809</v>
      </c>
      <c r="Q68" s="260">
        <f>39303761.41/10000</f>
        <v>3930.376141</v>
      </c>
      <c r="R68" s="260">
        <f>-3676512.47794208/10000</f>
        <v>-367.651247794208</v>
      </c>
      <c r="S68" s="260">
        <v>438.6613286</v>
      </c>
      <c r="T68" s="643">
        <v>889.03</v>
      </c>
      <c r="U68" s="643">
        <v>220.17</v>
      </c>
      <c r="V68" s="257">
        <f>Q68-R68+S68-T68-U68</f>
        <v>3627.48871739421</v>
      </c>
      <c r="W68" s="260">
        <v>652.5624524</v>
      </c>
      <c r="X68" s="260">
        <v>137.23</v>
      </c>
      <c r="Y68" s="260">
        <v>34.31</v>
      </c>
      <c r="Z68" s="260">
        <f>V68+(W68-X68-Y68)</f>
        <v>4108.51116979421</v>
      </c>
      <c r="AA68" s="257"/>
      <c r="AB68" s="640">
        <v>45809</v>
      </c>
      <c r="AC68" s="231">
        <f>L68/B68</f>
        <v>0.0416576447501301</v>
      </c>
      <c r="AD68" s="148">
        <f>M68/C68</f>
        <v>0.110102049119041</v>
      </c>
      <c r="AE68" s="231">
        <f>N68/D68</f>
        <v>0.0508514004120707</v>
      </c>
      <c r="AG68" s="640">
        <v>45809</v>
      </c>
      <c r="AH68" s="650">
        <f>V68*1.06/L68</f>
        <v>0.21758871023819</v>
      </c>
      <c r="AI68" s="650">
        <f>(W68-X68-Y68)*1.06/M68</f>
        <v>0.0703550211789302</v>
      </c>
      <c r="AJ68" s="650">
        <f>Z68*1.06/N68</f>
        <v>0.174767919080407</v>
      </c>
      <c r="AL68" s="640">
        <v>45809</v>
      </c>
      <c r="AM68" s="303">
        <f t="shared" si="20"/>
        <v>14062253.79</v>
      </c>
      <c r="AN68" s="303">
        <f t="shared" si="21"/>
        <v>-123922.94617057</v>
      </c>
      <c r="AO68" s="643">
        <f t="shared" si="22"/>
        <v>-151.511527</v>
      </c>
    </row>
    <row r="69" s="172" customFormat="1" spans="1:41">
      <c r="A69" s="640">
        <v>45839</v>
      </c>
      <c r="B69" s="257">
        <f>'GMV表-商品大类'!T72+B125</f>
        <v>493155.856687354</v>
      </c>
      <c r="C69" s="315">
        <v>77849.085332</v>
      </c>
      <c r="D69" s="257">
        <f>B69+C69</f>
        <v>571004.942019354</v>
      </c>
      <c r="E69" s="218"/>
      <c r="F69" s="640">
        <v>45839</v>
      </c>
      <c r="G69" s="257">
        <f>'毛利-收入组成'!AP69</f>
        <v>16609.0658629222</v>
      </c>
      <c r="H69" s="303">
        <v>10138584.51</v>
      </c>
      <c r="I69" s="257">
        <f>H69*1.06/10000</f>
        <v>1074.68995806</v>
      </c>
      <c r="J69" s="257">
        <v>4049.773493156</v>
      </c>
      <c r="K69" s="257">
        <f t="shared" si="12"/>
        <v>-414.431032943144</v>
      </c>
      <c r="L69" s="257">
        <f>G69-I69+J69-K69</f>
        <v>19998.5804309613</v>
      </c>
      <c r="M69" s="645">
        <v>8402.716283404</v>
      </c>
      <c r="N69" s="257">
        <f>L69+M69</f>
        <v>28401.2967143653</v>
      </c>
      <c r="P69" s="640">
        <v>45839</v>
      </c>
      <c r="Q69" s="260">
        <f>43474589.87/10000</f>
        <v>4347.458987</v>
      </c>
      <c r="R69" s="260">
        <f>-3909726.72587872/10000</f>
        <v>-390.972672587872</v>
      </c>
      <c r="S69" s="260">
        <v>289.9876456</v>
      </c>
      <c r="T69" s="260"/>
      <c r="U69" s="260"/>
      <c r="V69" s="257">
        <f>Q69-R69+S69-T69-U69</f>
        <v>5028.41930518787</v>
      </c>
      <c r="W69" s="260">
        <v>881.5064004</v>
      </c>
      <c r="X69" s="260"/>
      <c r="Y69" s="260"/>
      <c r="Z69" s="260">
        <f>V69+W69</f>
        <v>5909.92570558787</v>
      </c>
      <c r="AA69" s="257"/>
      <c r="AB69" s="640">
        <v>45839</v>
      </c>
      <c r="AC69" s="231">
        <f>L69/B69</f>
        <v>0.0405522517065834</v>
      </c>
      <c r="AD69" s="148">
        <f>M69/C69</f>
        <v>0.107935966717775</v>
      </c>
      <c r="AE69" s="231">
        <f>N69/D69</f>
        <v>0.0497391434370505</v>
      </c>
      <c r="AG69" s="640">
        <v>45839</v>
      </c>
      <c r="AH69" s="650">
        <f>V69*1.06/L69</f>
        <v>0.266525140716846</v>
      </c>
      <c r="AI69" s="300">
        <f>W69*1.06/M69</f>
        <v>0.111201753446026</v>
      </c>
      <c r="AJ69" s="300">
        <f>Z69*1.06/N69</f>
        <v>0.220571663009829</v>
      </c>
      <c r="AL69" s="640">
        <v>45839</v>
      </c>
      <c r="AM69" s="303">
        <f t="shared" si="20"/>
        <v>4170828.46</v>
      </c>
      <c r="AN69" s="303">
        <f t="shared" si="21"/>
        <v>-233214.24793664</v>
      </c>
      <c r="AO69" s="643">
        <f t="shared" si="22"/>
        <v>-148.673683</v>
      </c>
    </row>
    <row r="70" s="172" customFormat="1" spans="1:41">
      <c r="A70" s="640">
        <v>45870</v>
      </c>
      <c r="B70" s="218"/>
      <c r="C70" s="218"/>
      <c r="D70" s="218"/>
      <c r="E70" s="218"/>
      <c r="F70" s="640">
        <v>45870</v>
      </c>
      <c r="G70" s="645"/>
      <c r="H70" s="303"/>
      <c r="I70" s="260"/>
      <c r="J70" s="260"/>
      <c r="K70" s="260"/>
      <c r="L70" s="260"/>
      <c r="M70" s="645"/>
      <c r="N70" s="260"/>
      <c r="P70" s="640">
        <v>45870</v>
      </c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57"/>
      <c r="AB70" s="640">
        <v>45870</v>
      </c>
      <c r="AC70" s="359"/>
      <c r="AD70" s="361"/>
      <c r="AE70" s="359"/>
      <c r="AG70" s="640">
        <v>45870</v>
      </c>
      <c r="AH70" s="300"/>
      <c r="AI70" s="706"/>
      <c r="AJ70" s="300"/>
      <c r="AL70" s="640">
        <v>45870</v>
      </c>
      <c r="AM70" s="303"/>
      <c r="AN70" s="303"/>
      <c r="AO70" s="643"/>
    </row>
    <row r="71" s="172" customFormat="1" spans="1:41">
      <c r="A71" s="640">
        <v>45901</v>
      </c>
      <c r="B71" s="218"/>
      <c r="C71" s="218"/>
      <c r="D71" s="218"/>
      <c r="E71" s="218"/>
      <c r="F71" s="640">
        <v>45901</v>
      </c>
      <c r="G71" s="645"/>
      <c r="H71" s="303"/>
      <c r="I71" s="260"/>
      <c r="J71" s="260"/>
      <c r="K71" s="260"/>
      <c r="L71" s="260"/>
      <c r="M71" s="645"/>
      <c r="N71" s="260"/>
      <c r="P71" s="640">
        <v>45901</v>
      </c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57"/>
      <c r="AB71" s="640">
        <v>45901</v>
      </c>
      <c r="AC71" s="359"/>
      <c r="AD71" s="361"/>
      <c r="AE71" s="359"/>
      <c r="AG71" s="640">
        <v>45901</v>
      </c>
      <c r="AH71" s="300"/>
      <c r="AI71" s="706"/>
      <c r="AJ71" s="300"/>
      <c r="AL71" s="640">
        <v>45901</v>
      </c>
      <c r="AM71" s="303"/>
      <c r="AN71" s="303"/>
      <c r="AO71" s="643"/>
    </row>
    <row r="72" s="172" customFormat="1" spans="1:41">
      <c r="A72" s="640">
        <v>45931</v>
      </c>
      <c r="B72" s="218"/>
      <c r="C72" s="218"/>
      <c r="D72" s="218"/>
      <c r="E72" s="218"/>
      <c r="F72" s="640">
        <v>45931</v>
      </c>
      <c r="G72" s="645"/>
      <c r="H72" s="303"/>
      <c r="I72" s="260"/>
      <c r="J72" s="260"/>
      <c r="K72" s="260"/>
      <c r="L72" s="260"/>
      <c r="M72" s="645"/>
      <c r="N72" s="260"/>
      <c r="P72" s="640">
        <v>45931</v>
      </c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57"/>
      <c r="AB72" s="640">
        <v>45931</v>
      </c>
      <c r="AC72" s="359"/>
      <c r="AD72" s="361"/>
      <c r="AE72" s="359"/>
      <c r="AG72" s="640">
        <v>45931</v>
      </c>
      <c r="AH72" s="300"/>
      <c r="AI72" s="706"/>
      <c r="AJ72" s="300"/>
      <c r="AL72" s="640">
        <v>45931</v>
      </c>
      <c r="AM72" s="303"/>
      <c r="AN72" s="303"/>
      <c r="AO72" s="643"/>
    </row>
    <row r="73" s="172" customFormat="1" spans="1:41">
      <c r="A73" s="640">
        <v>45962</v>
      </c>
      <c r="B73" s="218"/>
      <c r="C73" s="218"/>
      <c r="D73" s="218"/>
      <c r="E73" s="218"/>
      <c r="F73" s="640">
        <v>45962</v>
      </c>
      <c r="G73" s="645"/>
      <c r="H73" s="303"/>
      <c r="I73" s="260"/>
      <c r="J73" s="260"/>
      <c r="K73" s="260"/>
      <c r="L73" s="260"/>
      <c r="M73" s="645"/>
      <c r="N73" s="260"/>
      <c r="P73" s="640">
        <v>45962</v>
      </c>
      <c r="Q73" s="260"/>
      <c r="R73" s="260"/>
      <c r="S73" s="260"/>
      <c r="T73" s="260"/>
      <c r="U73" s="260"/>
      <c r="V73" s="260"/>
      <c r="W73" s="260"/>
      <c r="X73" s="260"/>
      <c r="Y73" s="260"/>
      <c r="Z73" s="260"/>
      <c r="AA73" s="257"/>
      <c r="AB73" s="640">
        <v>45962</v>
      </c>
      <c r="AC73" s="359"/>
      <c r="AD73" s="361"/>
      <c r="AE73" s="359"/>
      <c r="AG73" s="640">
        <v>45962</v>
      </c>
      <c r="AH73" s="300"/>
      <c r="AI73" s="706"/>
      <c r="AJ73" s="300"/>
      <c r="AL73" s="640">
        <v>45962</v>
      </c>
      <c r="AM73" s="303"/>
      <c r="AN73" s="303"/>
      <c r="AO73" s="643"/>
    </row>
    <row r="74" s="172" customFormat="1" spans="1:41">
      <c r="A74" s="640">
        <v>45992</v>
      </c>
      <c r="B74" s="218"/>
      <c r="C74" s="218"/>
      <c r="D74" s="218"/>
      <c r="E74" s="218"/>
      <c r="F74" s="640">
        <v>45992</v>
      </c>
      <c r="G74" s="645"/>
      <c r="H74" s="303"/>
      <c r="I74" s="260"/>
      <c r="J74" s="260"/>
      <c r="K74" s="260"/>
      <c r="L74" s="260"/>
      <c r="M74" s="645"/>
      <c r="N74" s="260"/>
      <c r="P74" s="640">
        <v>45992</v>
      </c>
      <c r="Q74" s="260"/>
      <c r="R74" s="260"/>
      <c r="S74" s="260"/>
      <c r="T74" s="260"/>
      <c r="U74" s="260"/>
      <c r="V74" s="260"/>
      <c r="W74" s="260"/>
      <c r="X74" s="260"/>
      <c r="Y74" s="260"/>
      <c r="Z74" s="260"/>
      <c r="AA74" s="257"/>
      <c r="AB74" s="640">
        <v>45992</v>
      </c>
      <c r="AC74" s="359"/>
      <c r="AD74" s="361"/>
      <c r="AE74" s="359"/>
      <c r="AG74" s="640">
        <v>45992</v>
      </c>
      <c r="AH74" s="300"/>
      <c r="AI74" s="706"/>
      <c r="AJ74" s="300"/>
      <c r="AL74" s="640">
        <v>45992</v>
      </c>
      <c r="AM74" s="303"/>
      <c r="AN74" s="303"/>
      <c r="AO74" s="643"/>
    </row>
    <row r="75" s="172" customFormat="1" spans="1:41">
      <c r="A75" s="653"/>
      <c r="B75" s="260"/>
      <c r="C75" s="260"/>
      <c r="D75" s="260"/>
      <c r="E75" s="654"/>
      <c r="F75" s="653"/>
      <c r="G75" s="645"/>
      <c r="H75" s="303"/>
      <c r="I75" s="260"/>
      <c r="J75" s="260"/>
      <c r="K75" s="260"/>
      <c r="L75" s="260"/>
      <c r="M75" s="645"/>
      <c r="N75" s="260"/>
      <c r="P75" s="653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653"/>
      <c r="AC75" s="359"/>
      <c r="AD75" s="361"/>
      <c r="AE75" s="359"/>
      <c r="AG75" s="653"/>
      <c r="AH75" s="300"/>
      <c r="AI75" s="706"/>
      <c r="AJ75" s="300"/>
      <c r="AL75" s="653"/>
      <c r="AM75" s="303"/>
      <c r="AN75" s="303"/>
      <c r="AO75" s="643"/>
    </row>
    <row r="76" spans="1:41">
      <c r="A76" s="217" t="s">
        <v>88</v>
      </c>
      <c r="B76" s="648">
        <f>B69/D69</f>
        <v>0.863663027054219</v>
      </c>
      <c r="C76" s="648">
        <f>C69/D69</f>
        <v>0.136336972945781</v>
      </c>
      <c r="D76" s="148"/>
      <c r="F76" s="217"/>
      <c r="G76" s="130"/>
      <c r="H76" s="244">
        <f>G77-I77</f>
        <v>431.576716172103</v>
      </c>
      <c r="I76" s="244">
        <f>G77-I77-K77+J77</f>
        <v>282.165779388949</v>
      </c>
      <c r="J76" s="648"/>
      <c r="K76" s="130"/>
      <c r="L76" s="648">
        <f>L69/N69</f>
        <v>0.704143216842845</v>
      </c>
      <c r="M76" s="648">
        <f>M69/N69</f>
        <v>0.295856783157155</v>
      </c>
      <c r="P76" s="217"/>
      <c r="V76" s="648">
        <f>V69/Z69</f>
        <v>0.850843065663832</v>
      </c>
      <c r="W76" s="648"/>
      <c r="X76" s="648"/>
      <c r="Y76" s="648"/>
      <c r="AB76" s="217"/>
      <c r="AE76" s="1"/>
      <c r="AG76" s="217"/>
      <c r="AJ76" s="650"/>
      <c r="AM76" s="257">
        <f>SUM(AM63:AM74)</f>
        <v>43474589.87</v>
      </c>
      <c r="AN76" s="257">
        <f>SUM(AN63:AN74)</f>
        <v>-3909726.72587872</v>
      </c>
      <c r="AO76" s="257">
        <f>SUM(AO63:AO74)</f>
        <v>289.9876456</v>
      </c>
    </row>
    <row r="77" spans="1:41">
      <c r="A77" s="655" t="s">
        <v>89</v>
      </c>
      <c r="B77" s="257">
        <f>B69-B57</f>
        <v>-114590.94649376</v>
      </c>
      <c r="C77" s="257">
        <f>C69-C57</f>
        <v>10062.498418</v>
      </c>
      <c r="D77" s="257">
        <f>D69-D57</f>
        <v>-104528.44807576</v>
      </c>
      <c r="E77" s="284"/>
      <c r="F77" s="257"/>
      <c r="G77" s="257">
        <f t="shared" ref="G77:N77" si="23">G69-G57</f>
        <v>-251.541423327897</v>
      </c>
      <c r="H77" s="257">
        <f t="shared" si="23"/>
        <v>-6444510.75</v>
      </c>
      <c r="I77" s="257">
        <f t="shared" si="23"/>
        <v>-683.1181395</v>
      </c>
      <c r="J77" s="257">
        <f t="shared" si="23"/>
        <v>-780.670142024001</v>
      </c>
      <c r="K77" s="257">
        <f t="shared" si="23"/>
        <v>-631.259205240846</v>
      </c>
      <c r="L77" s="257">
        <f t="shared" si="23"/>
        <v>282.165779388946</v>
      </c>
      <c r="M77" s="257">
        <f t="shared" si="23"/>
        <v>1016.869369584</v>
      </c>
      <c r="N77" s="257">
        <f t="shared" si="23"/>
        <v>1299.03514897294</v>
      </c>
      <c r="O77" s="257"/>
      <c r="Q77" s="257">
        <f t="shared" ref="Q77:Z77" si="24">Q69-Q57</f>
        <v>1522.73293200001</v>
      </c>
      <c r="R77" s="257">
        <f t="shared" si="24"/>
        <v>-595.527552114006</v>
      </c>
      <c r="S77" s="257">
        <f t="shared" si="24"/>
        <v>-55.7218094</v>
      </c>
      <c r="T77" s="257">
        <f t="shared" si="24"/>
        <v>0</v>
      </c>
      <c r="U77" s="257">
        <f t="shared" si="24"/>
        <v>0</v>
      </c>
      <c r="V77" s="257">
        <f t="shared" si="24"/>
        <v>2062.53867471402</v>
      </c>
      <c r="W77" s="257">
        <f t="shared" si="24"/>
        <v>1796.0478554</v>
      </c>
      <c r="X77" s="257">
        <f t="shared" si="24"/>
        <v>0</v>
      </c>
      <c r="Y77" s="257">
        <f t="shared" si="24"/>
        <v>0</v>
      </c>
      <c r="Z77" s="257">
        <f t="shared" si="24"/>
        <v>3858.58653011402</v>
      </c>
      <c r="AE77" s="148"/>
      <c r="AJ77" s="650"/>
      <c r="AM77" s="257"/>
      <c r="AN77" s="257"/>
      <c r="AO77" s="257">
        <f>AO76-S69</f>
        <v>0</v>
      </c>
    </row>
    <row r="78" spans="1:36">
      <c r="A78" s="655" t="s">
        <v>90</v>
      </c>
      <c r="B78" s="648">
        <f>B77/B57</f>
        <v>-0.188550471831295</v>
      </c>
      <c r="C78" s="148">
        <f>C77/C57</f>
        <v>0.148443798044681</v>
      </c>
      <c r="D78" s="148">
        <f>D77/D57</f>
        <v>-0.154734687594114</v>
      </c>
      <c r="G78" s="648">
        <f t="shared" ref="G78:N78" si="25">G77/G57</f>
        <v>-0.0149188827577421</v>
      </c>
      <c r="H78" s="648">
        <f t="shared" si="25"/>
        <v>-0.388619292656708</v>
      </c>
      <c r="I78" s="648">
        <f t="shared" si="25"/>
        <v>-0.388619292656708</v>
      </c>
      <c r="J78" s="648">
        <f t="shared" si="25"/>
        <v>-0.161614584701579</v>
      </c>
      <c r="K78" s="648">
        <f t="shared" si="25"/>
        <v>-2.91133388503656</v>
      </c>
      <c r="L78" s="148">
        <f t="shared" si="25"/>
        <v>0.0143112114639181</v>
      </c>
      <c r="M78" s="648">
        <f t="shared" si="25"/>
        <v>0.137678099945626</v>
      </c>
      <c r="N78" s="148">
        <f t="shared" si="25"/>
        <v>0.0479308763897296</v>
      </c>
      <c r="O78" s="648"/>
      <c r="R78" s="257">
        <f>Q77-R77</f>
        <v>2118.26048411402</v>
      </c>
      <c r="S78" s="257">
        <f>Q77-R77+S77</f>
        <v>2062.53867471402</v>
      </c>
      <c r="V78" s="648">
        <f>V77/V57</f>
        <v>0.695422011770071</v>
      </c>
      <c r="W78" s="648"/>
      <c r="X78" s="648"/>
      <c r="Y78" s="648"/>
      <c r="Z78" s="648">
        <f>Z77/Z57</f>
        <v>1.88100855102262</v>
      </c>
      <c r="AA78" s="648"/>
      <c r="AE78" s="148"/>
      <c r="AJ78" s="650"/>
    </row>
    <row r="79" spans="1:41">
      <c r="A79" s="655"/>
      <c r="K79" s="257">
        <f>G77-I77-K77</f>
        <v>1062.83592141295</v>
      </c>
      <c r="L79" s="257">
        <f>L77-J77</f>
        <v>1062.83592141295</v>
      </c>
      <c r="N79" s="244"/>
      <c r="V79" s="362"/>
      <c r="W79" s="231"/>
      <c r="X79" s="231"/>
      <c r="Y79" s="231"/>
      <c r="Z79" s="231"/>
      <c r="AA79" s="231"/>
      <c r="AH79" s="707"/>
      <c r="AI79" s="708"/>
      <c r="AJ79" s="707"/>
      <c r="AK79" s="708"/>
      <c r="AL79" s="709"/>
      <c r="AM79" s="710"/>
      <c r="AN79" s="710"/>
      <c r="AO79" s="710"/>
    </row>
    <row r="80" spans="1:41">
      <c r="A80" s="656" t="s">
        <v>91</v>
      </c>
      <c r="B80" s="657" t="s">
        <v>63</v>
      </c>
      <c r="C80" s="658" t="s">
        <v>92</v>
      </c>
      <c r="D80" s="659" t="s">
        <v>93</v>
      </c>
      <c r="E80" s="660" t="s">
        <v>94</v>
      </c>
      <c r="G80" s="661" t="s">
        <v>95</v>
      </c>
      <c r="H80" s="662" t="s">
        <v>63</v>
      </c>
      <c r="I80" s="691" t="s">
        <v>92</v>
      </c>
      <c r="J80" s="692" t="s">
        <v>93</v>
      </c>
      <c r="K80" s="693" t="s">
        <v>94</v>
      </c>
      <c r="L80" s="231"/>
      <c r="N80" s="235"/>
      <c r="AH80" s="707"/>
      <c r="AI80" s="711"/>
      <c r="AJ80" s="712"/>
      <c r="AK80" s="711"/>
      <c r="AL80" s="713"/>
      <c r="AM80" s="714"/>
      <c r="AN80" s="714"/>
      <c r="AO80" s="714"/>
    </row>
    <row r="81" hidden="1" spans="1:41">
      <c r="A81" s="663">
        <v>44530</v>
      </c>
      <c r="B81" s="664">
        <v>199.78865584</v>
      </c>
      <c r="C81" s="664">
        <v>51.8858817</v>
      </c>
      <c r="D81" s="665">
        <v>48.948945</v>
      </c>
      <c r="E81" s="665">
        <v>38.006484</v>
      </c>
      <c r="F81" s="186"/>
      <c r="G81" s="666">
        <v>44530</v>
      </c>
      <c r="H81" s="667">
        <v>0</v>
      </c>
      <c r="I81" s="667">
        <v>0</v>
      </c>
      <c r="J81" s="694">
        <v>0</v>
      </c>
      <c r="K81" s="694">
        <v>0</v>
      </c>
      <c r="L81" s="362"/>
      <c r="M81" s="430"/>
      <c r="N81" s="235"/>
      <c r="Z81" s="219"/>
      <c r="AA81" s="219"/>
      <c r="AH81" s="707"/>
      <c r="AI81" s="711"/>
      <c r="AJ81" s="712"/>
      <c r="AK81" s="711"/>
      <c r="AL81" s="713"/>
      <c r="AM81" s="714"/>
      <c r="AN81" s="714"/>
      <c r="AO81" s="714"/>
    </row>
    <row r="82" hidden="1" spans="1:41">
      <c r="A82" s="663">
        <v>44561</v>
      </c>
      <c r="B82" s="664">
        <v>336.975351</v>
      </c>
      <c r="C82" s="664">
        <v>99.150341</v>
      </c>
      <c r="D82" s="665">
        <v>93.5380575471698</v>
      </c>
      <c r="E82" s="665">
        <v>70.25</v>
      </c>
      <c r="F82" s="186"/>
      <c r="G82" s="666">
        <v>44561</v>
      </c>
      <c r="H82" s="667">
        <v>0</v>
      </c>
      <c r="I82" s="667">
        <v>0</v>
      </c>
      <c r="J82" s="694">
        <v>0</v>
      </c>
      <c r="K82" s="694">
        <v>0</v>
      </c>
      <c r="L82" s="231"/>
      <c r="M82" s="430"/>
      <c r="N82" s="235"/>
      <c r="Q82" s="257">
        <f>G77-Q77</f>
        <v>-1774.27435532791</v>
      </c>
      <c r="S82" s="257">
        <f>Q77-R77+S77</f>
        <v>2062.53867471402</v>
      </c>
      <c r="AH82" s="707"/>
      <c r="AI82" s="711"/>
      <c r="AJ82" s="712"/>
      <c r="AK82" s="711"/>
      <c r="AL82" s="713"/>
      <c r="AM82" s="714"/>
      <c r="AN82" s="714"/>
      <c r="AO82" s="714"/>
    </row>
    <row r="83" hidden="1" spans="1:41">
      <c r="A83" s="663">
        <v>44562</v>
      </c>
      <c r="B83" s="664">
        <v>1374.1752824</v>
      </c>
      <c r="C83" s="664">
        <v>708.69540815</v>
      </c>
      <c r="D83" s="665">
        <v>668.580573726415</v>
      </c>
      <c r="E83" s="668">
        <v>187.757613</v>
      </c>
      <c r="F83" s="186"/>
      <c r="G83" s="666">
        <v>44562</v>
      </c>
      <c r="H83" s="667">
        <v>1193.189317</v>
      </c>
      <c r="I83" s="667">
        <v>655.10540815</v>
      </c>
      <c r="J83" s="694">
        <v>618.02396995283</v>
      </c>
      <c r="K83" s="695">
        <v>160.39838015</v>
      </c>
      <c r="L83" s="362"/>
      <c r="M83" s="267"/>
      <c r="N83" s="362"/>
      <c r="O83" s="229"/>
      <c r="P83" s="696"/>
      <c r="W83" s="704"/>
      <c r="X83" s="704"/>
      <c r="Y83" s="704"/>
      <c r="AH83" s="707"/>
      <c r="AI83" s="711"/>
      <c r="AJ83" s="712"/>
      <c r="AK83" s="711"/>
      <c r="AL83" s="713"/>
      <c r="AM83" s="714"/>
      <c r="AN83" s="714"/>
      <c r="AO83" s="714"/>
    </row>
    <row r="84" hidden="1" spans="1:41">
      <c r="A84" s="663">
        <v>44593</v>
      </c>
      <c r="B84" s="664">
        <v>1994.7</v>
      </c>
      <c r="C84" s="664">
        <v>948.85</v>
      </c>
      <c r="D84" s="665">
        <v>895.141509433962</v>
      </c>
      <c r="E84" s="668">
        <v>102.11</v>
      </c>
      <c r="F84" s="186"/>
      <c r="G84" s="666">
        <v>44593</v>
      </c>
      <c r="H84" s="667">
        <v>1670.5</v>
      </c>
      <c r="I84" s="667">
        <v>895.37</v>
      </c>
      <c r="J84" s="694">
        <v>844.688679245283</v>
      </c>
      <c r="K84" s="695">
        <v>103.02</v>
      </c>
      <c r="L84" s="362"/>
      <c r="M84" s="430"/>
      <c r="N84" s="362"/>
      <c r="O84" s="229"/>
      <c r="P84" s="696"/>
      <c r="AH84" s="707"/>
      <c r="AI84" s="711"/>
      <c r="AJ84" s="712"/>
      <c r="AK84" s="711"/>
      <c r="AL84" s="713"/>
      <c r="AM84" s="714"/>
      <c r="AN84" s="714"/>
      <c r="AO84" s="714"/>
    </row>
    <row r="85" hidden="1" spans="1:41">
      <c r="A85" s="663">
        <v>44621</v>
      </c>
      <c r="B85" s="669">
        <v>2843.8</v>
      </c>
      <c r="C85" s="669">
        <v>1330.59</v>
      </c>
      <c r="D85" s="670">
        <v>1255.27358490566</v>
      </c>
      <c r="E85" s="668">
        <v>44.96</v>
      </c>
      <c r="F85" s="186"/>
      <c r="G85" s="666">
        <v>44621</v>
      </c>
      <c r="H85" s="671">
        <v>2432.89</v>
      </c>
      <c r="I85" s="671">
        <v>1265.12</v>
      </c>
      <c r="J85" s="697">
        <v>1193.50943396226</v>
      </c>
      <c r="K85" s="695">
        <v>57.23</v>
      </c>
      <c r="M85" s="267"/>
      <c r="N85" s="362"/>
      <c r="O85" s="229"/>
      <c r="P85" s="696"/>
      <c r="W85" s="235"/>
      <c r="X85" s="235"/>
      <c r="Y85" s="235"/>
      <c r="Z85" s="235"/>
      <c r="AA85" s="235"/>
      <c r="AH85" s="707"/>
      <c r="AI85" s="711"/>
      <c r="AJ85" s="712"/>
      <c r="AK85" s="711"/>
      <c r="AL85" s="713"/>
      <c r="AM85" s="714"/>
      <c r="AN85" s="714"/>
      <c r="AO85" s="714"/>
    </row>
    <row r="86" hidden="1" spans="1:41">
      <c r="A86" s="663">
        <v>44652</v>
      </c>
      <c r="B86" s="672">
        <v>4082.2350394</v>
      </c>
      <c r="C86" s="672">
        <v>1618.11638181</v>
      </c>
      <c r="D86" s="672">
        <v>1527.99</v>
      </c>
      <c r="E86" s="673">
        <v>-150.020259</v>
      </c>
      <c r="F86" s="186"/>
      <c r="G86" s="666">
        <v>44652</v>
      </c>
      <c r="H86" s="674">
        <v>3308.722048</v>
      </c>
      <c r="I86" s="674">
        <v>1531.86418181</v>
      </c>
      <c r="J86" s="674">
        <v>1446.62</v>
      </c>
      <c r="K86" s="698">
        <v>-130.2</v>
      </c>
      <c r="L86" s="362"/>
      <c r="M86" s="267"/>
      <c r="N86" s="362"/>
      <c r="O86" s="229"/>
      <c r="P86" s="696"/>
      <c r="AH86" s="707"/>
      <c r="AI86" s="711"/>
      <c r="AJ86" s="712"/>
      <c r="AK86" s="711"/>
      <c r="AL86" s="713"/>
      <c r="AM86" s="714"/>
      <c r="AN86" s="714"/>
      <c r="AO86" s="714"/>
    </row>
    <row r="87" hidden="1" spans="1:41">
      <c r="A87" s="663">
        <v>44682</v>
      </c>
      <c r="B87" s="672">
        <v>6922.95774569</v>
      </c>
      <c r="C87" s="672">
        <v>1960.55669422</v>
      </c>
      <c r="D87" s="672">
        <v>1849.581787</v>
      </c>
      <c r="E87" s="673">
        <v>-321.363500999999</v>
      </c>
      <c r="F87" s="186"/>
      <c r="G87" s="666">
        <v>44682</v>
      </c>
      <c r="H87" s="674">
        <v>5697.67543429</v>
      </c>
      <c r="I87" s="674">
        <v>1849.54393938</v>
      </c>
      <c r="J87" s="674">
        <v>1744.852773</v>
      </c>
      <c r="K87" s="698">
        <v>-297.746167999999</v>
      </c>
      <c r="M87" s="267"/>
      <c r="N87" s="362"/>
      <c r="O87" s="229"/>
      <c r="P87" s="696"/>
      <c r="Z87" s="219"/>
      <c r="AA87" s="219"/>
      <c r="AH87" s="707"/>
      <c r="AI87" s="715"/>
      <c r="AJ87" s="716"/>
      <c r="AK87" s="715"/>
      <c r="AL87" s="714"/>
      <c r="AM87" s="714"/>
      <c r="AN87" s="714"/>
      <c r="AO87" s="714"/>
    </row>
    <row r="88" hidden="1" spans="1:41">
      <c r="A88" s="663">
        <v>44713</v>
      </c>
      <c r="B88" s="672">
        <v>6843.5655184</v>
      </c>
      <c r="C88" s="672">
        <v>2399.58801998</v>
      </c>
      <c r="D88" s="672">
        <v>2263.762283</v>
      </c>
      <c r="E88" s="673">
        <v>-515.08559</v>
      </c>
      <c r="F88" s="186"/>
      <c r="G88" s="666">
        <v>44713</v>
      </c>
      <c r="H88" s="674">
        <v>5265.621165</v>
      </c>
      <c r="I88" s="674">
        <v>2173.82725368</v>
      </c>
      <c r="J88" s="674">
        <v>2050.780428</v>
      </c>
      <c r="K88" s="698">
        <v>-582.312478</v>
      </c>
      <c r="M88" s="267"/>
      <c r="N88" s="362"/>
      <c r="O88" s="229"/>
      <c r="P88" s="696"/>
      <c r="Z88" s="219"/>
      <c r="AA88" s="219"/>
      <c r="AH88" s="707"/>
      <c r="AI88" s="715"/>
      <c r="AJ88" s="716"/>
      <c r="AK88" s="715"/>
      <c r="AL88" s="714"/>
      <c r="AM88" s="714"/>
      <c r="AN88" s="714"/>
      <c r="AO88" s="714"/>
    </row>
    <row r="89" hidden="1" spans="1:41">
      <c r="A89" s="663">
        <v>44743</v>
      </c>
      <c r="B89" s="672">
        <v>10499.7911474</v>
      </c>
      <c r="C89" s="672">
        <v>2807.8764</v>
      </c>
      <c r="D89" s="672">
        <v>2648.94</v>
      </c>
      <c r="E89" s="673">
        <v>-805.11</v>
      </c>
      <c r="F89" s="186"/>
      <c r="G89" s="666">
        <v>44743</v>
      </c>
      <c r="H89" s="674">
        <v>8122.857084</v>
      </c>
      <c r="I89" s="674">
        <v>2432.4562</v>
      </c>
      <c r="J89" s="674">
        <v>2294.77</v>
      </c>
      <c r="K89" s="698">
        <v>-898.18</v>
      </c>
      <c r="M89" s="267"/>
      <c r="N89" s="362"/>
      <c r="O89" s="229"/>
      <c r="P89" s="696"/>
      <c r="AH89" s="707"/>
      <c r="AI89" s="715"/>
      <c r="AJ89" s="716"/>
      <c r="AK89" s="714"/>
      <c r="AL89" s="714"/>
      <c r="AM89" s="714"/>
      <c r="AN89" s="714"/>
      <c r="AO89" s="714"/>
    </row>
    <row r="90" hidden="1" spans="1:41">
      <c r="A90" s="663">
        <v>44774</v>
      </c>
      <c r="B90" s="672">
        <v>12096.444339</v>
      </c>
      <c r="C90" s="672">
        <v>3477.86</v>
      </c>
      <c r="D90" s="672">
        <v>3281</v>
      </c>
      <c r="E90" s="673">
        <v>-869.63</v>
      </c>
      <c r="F90" s="186"/>
      <c r="G90" s="666">
        <v>44774</v>
      </c>
      <c r="H90" s="674">
        <v>9476.444339</v>
      </c>
      <c r="I90" s="674">
        <v>3031.335</v>
      </c>
      <c r="J90" s="674">
        <v>2859.75</v>
      </c>
      <c r="K90" s="698">
        <v>-986.99</v>
      </c>
      <c r="M90" s="267"/>
      <c r="N90" s="362"/>
      <c r="O90" s="229"/>
      <c r="P90" s="696"/>
      <c r="AH90" s="707"/>
      <c r="AI90" s="715"/>
      <c r="AJ90" s="716"/>
      <c r="AK90" s="715"/>
      <c r="AL90" s="715"/>
      <c r="AM90" s="714"/>
      <c r="AN90" s="713"/>
      <c r="AO90" s="714"/>
    </row>
    <row r="91" hidden="1" spans="1:41">
      <c r="A91" s="663">
        <v>44805</v>
      </c>
      <c r="B91" s="675">
        <v>13434.8955924</v>
      </c>
      <c r="C91" s="672">
        <v>4614.0846</v>
      </c>
      <c r="D91" s="672">
        <v>4352.91</v>
      </c>
      <c r="E91" s="673">
        <v>-850.89</v>
      </c>
      <c r="F91" s="186"/>
      <c r="G91" s="666">
        <v>44805</v>
      </c>
      <c r="H91" s="676">
        <v>10172.274974</v>
      </c>
      <c r="I91" s="674">
        <v>4014.432</v>
      </c>
      <c r="J91" s="674">
        <v>3787.2</v>
      </c>
      <c r="K91" s="698">
        <v>-1070.2</v>
      </c>
      <c r="M91" s="267"/>
      <c r="N91" s="362"/>
      <c r="O91" s="229"/>
      <c r="P91" s="696"/>
      <c r="AH91" s="707"/>
      <c r="AI91" s="715"/>
      <c r="AJ91" s="716"/>
      <c r="AK91" s="715"/>
      <c r="AL91" s="715"/>
      <c r="AM91" s="715"/>
      <c r="AN91" s="714"/>
      <c r="AO91" s="714"/>
    </row>
    <row r="92" hidden="1" spans="1:41">
      <c r="A92" s="663">
        <v>44835</v>
      </c>
      <c r="B92" s="675">
        <v>18333.83482548</v>
      </c>
      <c r="C92" s="672">
        <v>5260.2818</v>
      </c>
      <c r="D92" s="672">
        <v>4962.53</v>
      </c>
      <c r="E92" s="673">
        <v>-799.27</v>
      </c>
      <c r="F92" s="186"/>
      <c r="G92" s="666">
        <v>44835</v>
      </c>
      <c r="H92" s="676">
        <v>14682.52758508</v>
      </c>
      <c r="I92" s="674">
        <v>4527.9066</v>
      </c>
      <c r="J92" s="674">
        <v>4271.61</v>
      </c>
      <c r="K92" s="698">
        <v>-1115.61</v>
      </c>
      <c r="M92" s="267"/>
      <c r="N92" s="362"/>
      <c r="O92" s="229"/>
      <c r="P92" s="696"/>
      <c r="AH92" s="707"/>
      <c r="AI92" s="714"/>
      <c r="AJ92" s="716"/>
      <c r="AK92" s="714"/>
      <c r="AL92" s="714"/>
      <c r="AM92" s="714"/>
      <c r="AN92" s="714"/>
      <c r="AO92" s="714"/>
    </row>
    <row r="93" hidden="1" spans="1:41">
      <c r="A93" s="663">
        <v>44866</v>
      </c>
      <c r="B93" s="672">
        <v>19300.48924921</v>
      </c>
      <c r="C93" s="672">
        <v>5829.152</v>
      </c>
      <c r="D93" s="672">
        <v>5499.2</v>
      </c>
      <c r="E93" s="673">
        <v>-888.83</v>
      </c>
      <c r="F93" s="186"/>
      <c r="G93" s="666">
        <v>44866</v>
      </c>
      <c r="H93" s="674">
        <v>15235.02078508</v>
      </c>
      <c r="I93" s="674">
        <v>5080.3998</v>
      </c>
      <c r="J93" s="674">
        <v>4792.83</v>
      </c>
      <c r="K93" s="698">
        <v>-1091.85</v>
      </c>
      <c r="M93" s="267"/>
      <c r="N93" s="362"/>
      <c r="O93" s="229"/>
      <c r="P93" s="696"/>
      <c r="AH93" s="707"/>
      <c r="AI93" s="714"/>
      <c r="AJ93" s="716"/>
      <c r="AK93" s="714"/>
      <c r="AL93" s="714"/>
      <c r="AM93" s="714"/>
      <c r="AN93" s="714"/>
      <c r="AO93" s="714"/>
    </row>
    <row r="94" hidden="1" spans="1:41">
      <c r="A94" s="663">
        <v>44896</v>
      </c>
      <c r="B94" s="672">
        <v>20765.91</v>
      </c>
      <c r="C94" s="672">
        <v>7004.9464</v>
      </c>
      <c r="D94" s="672">
        <v>6608.44</v>
      </c>
      <c r="E94" s="673">
        <v>-1160.91</v>
      </c>
      <c r="F94" s="186"/>
      <c r="G94" s="666">
        <v>44896</v>
      </c>
      <c r="H94" s="674">
        <v>16220.83</v>
      </c>
      <c r="I94" s="674">
        <v>6011.9066</v>
      </c>
      <c r="J94" s="674">
        <v>5671.61</v>
      </c>
      <c r="K94" s="698">
        <v>-1413.81</v>
      </c>
      <c r="M94" s="267"/>
      <c r="N94" s="362"/>
      <c r="O94" s="229"/>
      <c r="P94" s="696"/>
      <c r="AH94" s="707"/>
      <c r="AI94" s="714"/>
      <c r="AJ94" s="716"/>
      <c r="AK94" s="714"/>
      <c r="AL94" s="714"/>
      <c r="AM94" s="714"/>
      <c r="AN94" s="714"/>
      <c r="AO94" s="714"/>
    </row>
    <row r="95" spans="1:41">
      <c r="A95" s="677">
        <v>44927</v>
      </c>
      <c r="B95" s="678">
        <v>5317.53689102</v>
      </c>
      <c r="C95" s="678">
        <v>1931.32878064</v>
      </c>
      <c r="D95" s="678">
        <v>1819.238944</v>
      </c>
      <c r="E95" s="679">
        <v>785.577999</v>
      </c>
      <c r="F95" s="186"/>
      <c r="G95" s="666">
        <v>44927</v>
      </c>
      <c r="H95" s="674">
        <v>5028.270293</v>
      </c>
      <c r="I95" s="674">
        <v>1805.6358</v>
      </c>
      <c r="J95" s="674">
        <v>1703.43</v>
      </c>
      <c r="K95" s="698">
        <v>714.48</v>
      </c>
      <c r="M95" s="267"/>
      <c r="N95" s="362"/>
      <c r="O95" s="229"/>
      <c r="P95" s="696"/>
      <c r="Q95" s="704"/>
      <c r="AH95" s="707"/>
      <c r="AI95" s="709"/>
      <c r="AJ95" s="717"/>
      <c r="AK95" s="709"/>
      <c r="AL95" s="709"/>
      <c r="AM95" s="710"/>
      <c r="AN95" s="710"/>
      <c r="AO95" s="710"/>
    </row>
    <row r="96" spans="1:41">
      <c r="A96" s="677">
        <v>44958</v>
      </c>
      <c r="B96" s="678">
        <v>7275.800615</v>
      </c>
      <c r="C96" s="678">
        <v>2249.6399443</v>
      </c>
      <c r="D96" s="678">
        <v>2118.836155</v>
      </c>
      <c r="E96" s="679">
        <v>597.929336</v>
      </c>
      <c r="F96" s="186"/>
      <c r="G96" s="666">
        <v>44958</v>
      </c>
      <c r="H96" s="674">
        <v>6461.870293</v>
      </c>
      <c r="I96" s="674">
        <v>2106.8454</v>
      </c>
      <c r="J96" s="674">
        <v>1987.59</v>
      </c>
      <c r="K96" s="698">
        <v>565.364</v>
      </c>
      <c r="M96" s="269"/>
      <c r="N96" s="362"/>
      <c r="O96" s="229"/>
      <c r="P96" s="696"/>
      <c r="AH96" s="707"/>
      <c r="AI96" s="709"/>
      <c r="AJ96" s="717"/>
      <c r="AK96" s="709"/>
      <c r="AL96" s="709"/>
      <c r="AM96" s="710"/>
      <c r="AN96" s="710"/>
      <c r="AO96" s="710"/>
    </row>
    <row r="97" spans="1:41">
      <c r="A97" s="677">
        <v>44986</v>
      </c>
      <c r="B97" s="678">
        <v>10239.66063492</v>
      </c>
      <c r="C97" s="678">
        <v>2973.55565506</v>
      </c>
      <c r="D97" s="678">
        <v>2799.680951</v>
      </c>
      <c r="E97" s="679">
        <v>365.21191</v>
      </c>
      <c r="F97" s="186"/>
      <c r="G97" s="666">
        <v>44986</v>
      </c>
      <c r="H97" s="674">
        <v>8178.55824292</v>
      </c>
      <c r="I97" s="674">
        <v>2753.9542</v>
      </c>
      <c r="J97" s="674">
        <v>2598.07</v>
      </c>
      <c r="K97" s="698">
        <f>-428.92+(452+300)</f>
        <v>323.08</v>
      </c>
      <c r="M97" s="269"/>
      <c r="N97" s="362"/>
      <c r="O97" s="229"/>
      <c r="P97" s="696"/>
      <c r="AH97" s="707"/>
      <c r="AI97" s="708"/>
      <c r="AJ97" s="707"/>
      <c r="AK97" s="708"/>
      <c r="AL97" s="709"/>
      <c r="AM97" s="710"/>
      <c r="AN97" s="710"/>
      <c r="AO97" s="710"/>
    </row>
    <row r="98" spans="1:41">
      <c r="A98" s="677">
        <v>45017</v>
      </c>
      <c r="B98" s="678">
        <v>16965.20611792</v>
      </c>
      <c r="C98" s="678">
        <v>3381.6408503</v>
      </c>
      <c r="D98" s="678">
        <v>3180.215205</v>
      </c>
      <c r="E98" s="679">
        <v>-115.895065</v>
      </c>
      <c r="F98" s="186"/>
      <c r="G98" s="666">
        <v>45017</v>
      </c>
      <c r="H98" s="674">
        <v>11021.43272592</v>
      </c>
      <c r="I98" s="674">
        <v>3302.0378</v>
      </c>
      <c r="J98" s="674">
        <v>3115.13</v>
      </c>
      <c r="K98" s="698">
        <f>-413.51+(452+300-300)</f>
        <v>38.49</v>
      </c>
      <c r="M98" s="267"/>
      <c r="N98" s="362"/>
      <c r="O98" s="229"/>
      <c r="P98" s="696"/>
      <c r="AH98" s="707"/>
      <c r="AI98" s="708"/>
      <c r="AJ98" s="707"/>
      <c r="AK98" s="708"/>
      <c r="AL98" s="709"/>
      <c r="AM98" s="710"/>
      <c r="AN98" s="710"/>
      <c r="AO98" s="710"/>
    </row>
    <row r="99" spans="1:41">
      <c r="A99" s="677">
        <v>45047</v>
      </c>
      <c r="B99" s="678">
        <v>25609.19599092</v>
      </c>
      <c r="C99" s="678">
        <v>3943.98779104</v>
      </c>
      <c r="D99" s="678">
        <v>3699.790284</v>
      </c>
      <c r="E99" s="679">
        <v>-480.000064</v>
      </c>
      <c r="F99" s="186"/>
      <c r="G99" s="666">
        <v>45047</v>
      </c>
      <c r="H99" s="674">
        <v>14392.66551492</v>
      </c>
      <c r="I99" s="674">
        <v>3915.6718</v>
      </c>
      <c r="J99" s="674">
        <v>3694.03</v>
      </c>
      <c r="K99" s="698">
        <f>-644.695+(452+300-300)-561.668+561.668</f>
        <v>-192.695</v>
      </c>
      <c r="M99" s="267"/>
      <c r="N99" s="362"/>
      <c r="O99" s="229"/>
      <c r="P99" s="696"/>
      <c r="AH99" s="707"/>
      <c r="AI99" s="708"/>
      <c r="AJ99" s="707"/>
      <c r="AK99" s="708"/>
      <c r="AL99" s="709"/>
      <c r="AM99" s="710"/>
      <c r="AN99" s="710"/>
      <c r="AO99" s="710"/>
    </row>
    <row r="100" spans="1:41">
      <c r="A100" s="677">
        <v>45078</v>
      </c>
      <c r="B100" s="678">
        <v>35436.72744292</v>
      </c>
      <c r="C100" s="678">
        <v>4738.25328498</v>
      </c>
      <c r="D100" s="678">
        <v>4416.829333</v>
      </c>
      <c r="E100" s="679">
        <v>-606.535579</v>
      </c>
      <c r="F100" s="186"/>
      <c r="G100" s="666">
        <v>45078</v>
      </c>
      <c r="H100" s="674">
        <v>18109.60606792</v>
      </c>
      <c r="I100" s="674">
        <v>4828.5438</v>
      </c>
      <c r="J100" s="674">
        <v>4555.23</v>
      </c>
      <c r="K100" s="698">
        <f>-164.62-651.81/10000</f>
        <v>-164.685181</v>
      </c>
      <c r="M100" s="267"/>
      <c r="N100" s="362"/>
      <c r="O100" s="229"/>
      <c r="P100" s="696"/>
      <c r="AH100" s="707"/>
      <c r="AI100" s="708"/>
      <c r="AJ100" s="707"/>
      <c r="AK100" s="708"/>
      <c r="AL100" s="709"/>
      <c r="AM100" s="710"/>
      <c r="AN100" s="710"/>
      <c r="AO100" s="710"/>
    </row>
    <row r="101" spans="1:16">
      <c r="A101" s="677">
        <v>45108</v>
      </c>
      <c r="B101" s="678">
        <v>50131.62671392</v>
      </c>
      <c r="C101" s="678">
        <v>5300.66350086</v>
      </c>
      <c r="D101" s="678">
        <v>4925.312631</v>
      </c>
      <c r="E101" s="679">
        <v>-889.852811</v>
      </c>
      <c r="F101" s="186"/>
      <c r="G101" s="666">
        <v>45108</v>
      </c>
      <c r="H101" s="674">
        <v>20832.63646992</v>
      </c>
      <c r="I101" s="674">
        <v>5450.6578</v>
      </c>
      <c r="J101" s="674">
        <v>5142.13</v>
      </c>
      <c r="K101" s="698">
        <f>-295.471-131806.45/10000</f>
        <v>-308.651645</v>
      </c>
      <c r="M101" s="267"/>
      <c r="N101" s="362"/>
      <c r="O101" s="229"/>
      <c r="P101" s="696"/>
    </row>
    <row r="102" spans="1:16">
      <c r="A102" s="677">
        <v>45139</v>
      </c>
      <c r="B102" s="678">
        <v>65399.17122492</v>
      </c>
      <c r="C102" s="678">
        <v>6106.31846974</v>
      </c>
      <c r="D102" s="678">
        <v>5488.182179</v>
      </c>
      <c r="E102" s="679">
        <v>-990.768691</v>
      </c>
      <c r="F102" s="186"/>
      <c r="G102" s="666">
        <v>45139</v>
      </c>
      <c r="H102" s="674">
        <v>23055.48234892</v>
      </c>
      <c r="I102" s="674">
        <v>6072.4432</v>
      </c>
      <c r="J102" s="674">
        <v>5728.72</v>
      </c>
      <c r="K102" s="698">
        <f>-545.53-162938.67/10000</f>
        <v>-561.823867</v>
      </c>
      <c r="M102" s="267"/>
      <c r="N102" s="362"/>
      <c r="O102" s="229"/>
      <c r="P102" s="696"/>
    </row>
    <row r="103" spans="1:16">
      <c r="A103" s="677">
        <v>45170</v>
      </c>
      <c r="B103" s="678">
        <v>84234.51986292</v>
      </c>
      <c r="C103" s="678">
        <v>7413.07615702</v>
      </c>
      <c r="D103" s="678">
        <v>6929.504167</v>
      </c>
      <c r="E103" s="680">
        <v>-698.136753</v>
      </c>
      <c r="F103" s="681">
        <v>-563.684153</v>
      </c>
      <c r="G103" s="666">
        <v>45170</v>
      </c>
      <c r="H103" s="674">
        <v>28510.75867092</v>
      </c>
      <c r="I103" s="674">
        <v>7729.9546</v>
      </c>
      <c r="J103" s="674">
        <v>7292.41</v>
      </c>
      <c r="K103" s="699">
        <f>-61.02-562448.17/10000</f>
        <v>-117.264817</v>
      </c>
      <c r="M103" s="267"/>
      <c r="N103" s="362"/>
      <c r="O103" s="229"/>
      <c r="P103" s="696"/>
    </row>
    <row r="104" spans="1:16">
      <c r="A104" s="677">
        <v>45200</v>
      </c>
      <c r="B104" s="678">
        <v>95536.80421692</v>
      </c>
      <c r="C104" s="678">
        <v>8333.3067081</v>
      </c>
      <c r="D104" s="678">
        <v>7627.584535</v>
      </c>
      <c r="E104" s="680">
        <v>-747.087156</v>
      </c>
      <c r="F104" s="682"/>
      <c r="G104" s="666">
        <v>45200</v>
      </c>
      <c r="H104" s="674">
        <v>32274.62098992</v>
      </c>
      <c r="I104" s="674">
        <v>8500.6488</v>
      </c>
      <c r="J104" s="674">
        <v>8019.48</v>
      </c>
      <c r="K104" s="699">
        <f>-226.779-778927.73/10000</f>
        <v>-304.671773</v>
      </c>
      <c r="M104" s="431"/>
      <c r="N104" s="362"/>
      <c r="O104" s="229"/>
      <c r="P104" s="696"/>
    </row>
    <row r="105" spans="1:16">
      <c r="A105" s="677">
        <v>45231</v>
      </c>
      <c r="B105" s="434">
        <v>108204.80842692</v>
      </c>
      <c r="C105" s="434">
        <v>9122.31324458</v>
      </c>
      <c r="D105" s="434">
        <v>8435.674743</v>
      </c>
      <c r="E105" s="679">
        <v>-669.69008</v>
      </c>
      <c r="F105" s="683"/>
      <c r="G105" s="666">
        <v>45231</v>
      </c>
      <c r="H105" s="674">
        <v>35994.81599192</v>
      </c>
      <c r="I105" s="674">
        <v>9364.2414</v>
      </c>
      <c r="J105" s="674">
        <v>8834.19</v>
      </c>
      <c r="K105" s="699">
        <f>-247.53-808652.59/10000</f>
        <v>-328.395259</v>
      </c>
      <c r="M105" s="430"/>
      <c r="N105" s="362"/>
      <c r="O105" s="229"/>
      <c r="P105" s="696"/>
    </row>
    <row r="106" spans="1:12">
      <c r="A106" s="677">
        <v>45261</v>
      </c>
      <c r="B106" s="434">
        <v>123439.70756892</v>
      </c>
      <c r="C106" s="434">
        <v>10356.61089324</v>
      </c>
      <c r="D106" s="434">
        <v>9663.050654</v>
      </c>
      <c r="E106" s="679">
        <v>-1547.280056</v>
      </c>
      <c r="F106" s="683"/>
      <c r="G106" s="666">
        <v>45261</v>
      </c>
      <c r="H106" s="674">
        <v>38717.04609092</v>
      </c>
      <c r="I106" s="674">
        <v>10655.1942</v>
      </c>
      <c r="J106" s="674">
        <v>10052.07</v>
      </c>
      <c r="K106" s="699">
        <f>-1124.09-901681/10000</f>
        <v>-1214.2581</v>
      </c>
      <c r="L106" s="700"/>
    </row>
    <row r="107" spans="1:12">
      <c r="A107" s="684">
        <v>45292</v>
      </c>
      <c r="B107" s="433">
        <v>17591.725336576</v>
      </c>
      <c r="C107" s="433">
        <v>1992.77635938</v>
      </c>
      <c r="D107" s="433">
        <v>1790.250673</v>
      </c>
      <c r="E107" s="685">
        <v>701.999403</v>
      </c>
      <c r="G107" s="666">
        <v>45292</v>
      </c>
      <c r="H107" s="686">
        <v>6119.094329</v>
      </c>
      <c r="I107" s="701">
        <v>1749.795</v>
      </c>
      <c r="J107" s="701">
        <v>1650.75</v>
      </c>
      <c r="K107" s="702">
        <f>587.07-53478.02/10000</f>
        <v>581.722198</v>
      </c>
      <c r="L107" s="244"/>
    </row>
    <row r="108" spans="1:12">
      <c r="A108" s="684">
        <v>45323</v>
      </c>
      <c r="B108" s="433">
        <v>30029.766310576</v>
      </c>
      <c r="C108" s="433">
        <v>2470.02606528</v>
      </c>
      <c r="D108" s="433">
        <v>2222.526288</v>
      </c>
      <c r="E108" s="685">
        <v>664.828579</v>
      </c>
      <c r="G108" s="666">
        <v>45323</v>
      </c>
      <c r="H108" s="686">
        <v>7757.314731</v>
      </c>
      <c r="I108" s="701">
        <v>2259.6338</v>
      </c>
      <c r="J108" s="701">
        <v>2131.73</v>
      </c>
      <c r="K108" s="686">
        <f>636.41-74972.27/10000</f>
        <v>628.912773</v>
      </c>
      <c r="L108" s="244"/>
    </row>
    <row r="109" spans="1:12">
      <c r="A109" s="684">
        <v>45352</v>
      </c>
      <c r="B109" s="433">
        <v>41722.235728576</v>
      </c>
      <c r="C109" s="433">
        <v>3319.78557576</v>
      </c>
      <c r="D109" s="433">
        <v>2822.024696</v>
      </c>
      <c r="E109" s="685">
        <v>484.122276</v>
      </c>
      <c r="G109" s="666">
        <v>45352</v>
      </c>
      <c r="H109" s="686">
        <v>9387.029938</v>
      </c>
      <c r="I109" s="701">
        <v>2830</v>
      </c>
      <c r="J109" s="701">
        <v>2670</v>
      </c>
      <c r="K109" s="701">
        <f>185.42+1158988.92/10000</f>
        <v>301.318892</v>
      </c>
      <c r="L109" s="244"/>
    </row>
    <row r="110" spans="1:12">
      <c r="A110" s="684">
        <v>45383</v>
      </c>
      <c r="B110" s="433">
        <v>52425.823688576</v>
      </c>
      <c r="C110" s="433">
        <v>3986.50777644</v>
      </c>
      <c r="D110" s="433">
        <v>3659.445374</v>
      </c>
      <c r="E110" s="685">
        <v>527.017285</v>
      </c>
      <c r="G110" s="666">
        <v>45383</v>
      </c>
      <c r="H110" s="686">
        <v>10569.801087</v>
      </c>
      <c r="I110" s="701">
        <v>3494.7034</v>
      </c>
      <c r="J110" s="701">
        <v>3296.89</v>
      </c>
      <c r="K110" s="701">
        <f>225.91+1149507.03/10000</f>
        <v>340.860703</v>
      </c>
      <c r="L110" s="244"/>
    </row>
    <row r="111" spans="1:12">
      <c r="A111" s="684">
        <v>45413</v>
      </c>
      <c r="B111" s="433">
        <v>63921.082203576</v>
      </c>
      <c r="C111" s="433">
        <v>4828.78357006</v>
      </c>
      <c r="D111" s="433">
        <v>4446.378951</v>
      </c>
      <c r="E111" s="685">
        <v>469.472018</v>
      </c>
      <c r="G111" s="666">
        <v>45413</v>
      </c>
      <c r="H111" s="686">
        <v>12393.439264</v>
      </c>
      <c r="I111" s="701">
        <v>4092.1512</v>
      </c>
      <c r="J111" s="701">
        <v>3860.52</v>
      </c>
      <c r="K111" s="701">
        <f>53.478+1131044.23/10000</f>
        <v>166.582423</v>
      </c>
      <c r="L111" s="244"/>
    </row>
    <row r="112" spans="1:18">
      <c r="A112" s="684">
        <v>45444</v>
      </c>
      <c r="B112" s="433">
        <v>77791.748164576</v>
      </c>
      <c r="C112" s="433">
        <v>5206.97539086</v>
      </c>
      <c r="D112" s="433">
        <v>4822.248981</v>
      </c>
      <c r="E112" s="685">
        <v>407.138557</v>
      </c>
      <c r="G112" s="666">
        <v>45444</v>
      </c>
      <c r="H112" s="686">
        <v>14281.992365</v>
      </c>
      <c r="I112" s="701">
        <v>4836.3984</v>
      </c>
      <c r="J112" s="701">
        <v>4562.64</v>
      </c>
      <c r="K112" s="701">
        <f>38.783+1127728.67/10000</f>
        <v>151.555867</v>
      </c>
      <c r="L112" s="244"/>
      <c r="R112" s="705"/>
    </row>
    <row r="113" spans="1:22">
      <c r="A113" s="684">
        <v>45474</v>
      </c>
      <c r="B113" s="433">
        <v>94148.214113576</v>
      </c>
      <c r="C113" s="433">
        <v>4830.44363518</v>
      </c>
      <c r="D113" s="433">
        <v>4554.275553</v>
      </c>
      <c r="E113" s="685">
        <v>345.709455</v>
      </c>
      <c r="G113" s="666">
        <v>45474</v>
      </c>
      <c r="H113" s="686">
        <v>15371.4989</v>
      </c>
      <c r="I113" s="701">
        <v>4370.221</v>
      </c>
      <c r="J113" s="701">
        <v>4122.85</v>
      </c>
      <c r="K113" s="701">
        <f>-102.157+1082675.95/10000</f>
        <v>6.110595</v>
      </c>
      <c r="L113" s="244"/>
      <c r="V113" s="130"/>
    </row>
    <row r="114" spans="1:12">
      <c r="A114" s="684">
        <v>45505</v>
      </c>
      <c r="B114" s="433">
        <v>99649.687670576</v>
      </c>
      <c r="C114" s="433">
        <v>6482.24998036</v>
      </c>
      <c r="D114" s="433">
        <v>6106.848356</v>
      </c>
      <c r="E114" s="685">
        <v>331.253709</v>
      </c>
      <c r="G114" s="666">
        <v>45505</v>
      </c>
      <c r="H114" s="686">
        <v>16818.693456</v>
      </c>
      <c r="I114" s="701">
        <v>5829.205</v>
      </c>
      <c r="J114" s="701">
        <v>5499.25</v>
      </c>
      <c r="K114" s="701">
        <f>-181.01+1075034.03/10000</f>
        <v>-73.506597</v>
      </c>
      <c r="L114" s="244"/>
    </row>
    <row r="115" spans="1:12">
      <c r="A115" s="684">
        <v>45536</v>
      </c>
      <c r="B115" s="433">
        <v>107495.710961576</v>
      </c>
      <c r="C115" s="433">
        <v>7755.02659404</v>
      </c>
      <c r="D115" s="433">
        <v>7264.522234</v>
      </c>
      <c r="E115" s="685">
        <v>741.044324</v>
      </c>
      <c r="G115" s="666">
        <v>45536</v>
      </c>
      <c r="H115" s="686">
        <v>20832.568499</v>
      </c>
      <c r="I115" s="701">
        <v>7038.8134</v>
      </c>
      <c r="J115" s="701">
        <v>6640.39</v>
      </c>
      <c r="K115" s="701">
        <f>275.371+1061696.35/10000</f>
        <v>381.540635</v>
      </c>
      <c r="L115" s="244"/>
    </row>
    <row r="116" spans="1:12">
      <c r="A116" s="684">
        <v>45566</v>
      </c>
      <c r="B116" s="433">
        <v>113283.966908648</v>
      </c>
      <c r="C116" s="433">
        <v>8747.2110037</v>
      </c>
      <c r="D116" s="433">
        <v>8191.601745</v>
      </c>
      <c r="E116" s="685">
        <v>862.006982</v>
      </c>
      <c r="G116" s="666">
        <v>45566</v>
      </c>
      <c r="H116" s="686">
        <v>23559.372416</v>
      </c>
      <c r="I116" s="701">
        <v>7863.8432</v>
      </c>
      <c r="J116" s="701">
        <v>7418.72</v>
      </c>
      <c r="K116" s="701">
        <f>370.443+1054486.93/10000</f>
        <v>475.891693</v>
      </c>
      <c r="L116" s="244"/>
    </row>
    <row r="117" spans="1:12">
      <c r="A117" s="684">
        <v>45597</v>
      </c>
      <c r="B117" s="433">
        <v>120357.022976648</v>
      </c>
      <c r="C117" s="433">
        <v>9819.68379916</v>
      </c>
      <c r="D117" s="433">
        <v>9221.872036</v>
      </c>
      <c r="E117" s="685">
        <v>1143.845086</v>
      </c>
      <c r="G117" s="666">
        <v>45597</v>
      </c>
      <c r="H117" s="686">
        <v>26357.074564</v>
      </c>
      <c r="I117" s="701">
        <v>8731.1246</v>
      </c>
      <c r="J117" s="701">
        <v>8236.91</v>
      </c>
      <c r="K117" s="701">
        <f>458.996+1054211.93/10000</f>
        <v>564.417193</v>
      </c>
      <c r="L117" s="244"/>
    </row>
    <row r="118" spans="1:12">
      <c r="A118" s="684">
        <v>45627</v>
      </c>
      <c r="B118" s="433">
        <v>127643.888299648</v>
      </c>
      <c r="C118" s="433">
        <v>10371.36524702</v>
      </c>
      <c r="D118" s="433">
        <v>9741.095667</v>
      </c>
      <c r="E118" s="685">
        <v>799.440237</v>
      </c>
      <c r="G118" s="666">
        <v>45627</v>
      </c>
      <c r="H118" s="686">
        <v>28247.0559</v>
      </c>
      <c r="I118" s="701">
        <v>9442.8298</v>
      </c>
      <c r="J118" s="701">
        <v>8908.33</v>
      </c>
      <c r="K118" s="701">
        <f>367.206+1046253.74/10000</f>
        <v>471.831374</v>
      </c>
      <c r="L118" s="244"/>
    </row>
    <row r="119" spans="1:12">
      <c r="A119" s="687">
        <v>45658</v>
      </c>
      <c r="B119" s="688">
        <v>11252.837229</v>
      </c>
      <c r="C119" s="688">
        <v>2206.16432262</v>
      </c>
      <c r="D119" s="688">
        <v>2011.925727</v>
      </c>
      <c r="E119" s="689">
        <v>744.552284</v>
      </c>
      <c r="G119" s="666">
        <v>45658</v>
      </c>
      <c r="H119" s="686">
        <v>5181.829458</v>
      </c>
      <c r="I119" s="701">
        <v>2033.769</v>
      </c>
      <c r="J119" s="701">
        <v>1918.65</v>
      </c>
      <c r="K119" s="701">
        <f>703.084+16376.1/10000</f>
        <v>704.72161</v>
      </c>
      <c r="L119" s="244"/>
    </row>
    <row r="120" spans="1:15">
      <c r="A120" s="687">
        <v>45689</v>
      </c>
      <c r="B120" s="688">
        <v>17944.174114</v>
      </c>
      <c r="C120" s="688">
        <v>2816.31864208</v>
      </c>
      <c r="D120" s="688">
        <v>2587.677218</v>
      </c>
      <c r="E120" s="689">
        <v>771.907528</v>
      </c>
      <c r="G120" s="666">
        <v>45689</v>
      </c>
      <c r="H120" s="686">
        <v>6945.789451</v>
      </c>
      <c r="I120" s="701">
        <v>2504.3242</v>
      </c>
      <c r="J120" s="701">
        <v>2362.57</v>
      </c>
      <c r="K120" s="701">
        <f>644.51+36360.86/10000</f>
        <v>648.146086</v>
      </c>
      <c r="L120" s="244"/>
      <c r="O120" s="703"/>
    </row>
    <row r="121" spans="1:15">
      <c r="A121" s="687">
        <v>45717</v>
      </c>
      <c r="B121" s="688">
        <v>18695.075518</v>
      </c>
      <c r="C121" s="688">
        <v>2586.560086836</v>
      </c>
      <c r="D121" s="688">
        <v>2317.4051706</v>
      </c>
      <c r="E121" s="689">
        <v>362.7309156</v>
      </c>
      <c r="G121" s="666">
        <v>45717</v>
      </c>
      <c r="H121" s="686">
        <v>9108.593659</v>
      </c>
      <c r="I121" s="686">
        <v>2115.9932</v>
      </c>
      <c r="J121" s="686">
        <v>1996.22</v>
      </c>
      <c r="K121" s="686">
        <f>166.906+36338.9/10000</f>
        <v>170.53989</v>
      </c>
      <c r="L121" s="244"/>
      <c r="O121" s="159"/>
    </row>
    <row r="122" spans="1:12">
      <c r="A122" s="687">
        <v>45748</v>
      </c>
      <c r="B122" s="688">
        <v>26608.660401</v>
      </c>
      <c r="C122" s="688">
        <v>2814.781614616</v>
      </c>
      <c r="D122" s="688">
        <v>2588.7377336</v>
      </c>
      <c r="E122" s="689">
        <v>387.8490746</v>
      </c>
      <c r="G122" s="666">
        <v>45748</v>
      </c>
      <c r="H122" s="686">
        <v>11319.95728</v>
      </c>
      <c r="I122" s="701">
        <v>2161.0326</v>
      </c>
      <c r="J122" s="701">
        <v>2038.71</v>
      </c>
      <c r="K122" s="701">
        <f>24.767+237424.76/10000</f>
        <v>48.509476</v>
      </c>
      <c r="L122" s="244"/>
    </row>
    <row r="123" spans="1:12">
      <c r="A123" s="687">
        <v>45778</v>
      </c>
      <c r="B123" s="688">
        <v>44202.471872</v>
      </c>
      <c r="C123" s="688">
        <v>3386.130570936</v>
      </c>
      <c r="D123" s="688">
        <v>3134.3614556</v>
      </c>
      <c r="E123" s="689">
        <v>590.1728556</v>
      </c>
      <c r="G123" s="666">
        <v>45778</v>
      </c>
      <c r="H123" s="686">
        <v>14406.211093</v>
      </c>
      <c r="I123" s="686">
        <v>2513.6734</v>
      </c>
      <c r="J123" s="686">
        <v>2371.39</v>
      </c>
      <c r="K123" s="686">
        <f>95.681+450599.3/10000</f>
        <v>140.74093</v>
      </c>
      <c r="L123" s="244"/>
    </row>
    <row r="124" spans="1:12">
      <c r="A124" s="687">
        <v>45809</v>
      </c>
      <c r="B124" s="688">
        <v>54780.342926</v>
      </c>
      <c r="C124" s="688">
        <v>3774.285944036</v>
      </c>
      <c r="D124" s="688">
        <v>3496.9234406</v>
      </c>
      <c r="E124" s="689">
        <v>438.6613286</v>
      </c>
      <c r="G124" s="666">
        <v>45809</v>
      </c>
      <c r="H124" s="686">
        <v>17154.392699</v>
      </c>
      <c r="I124" s="686">
        <v>2642.0076</v>
      </c>
      <c r="J124" s="686">
        <v>2492.46</v>
      </c>
      <c r="K124" s="686">
        <v>-208.197</v>
      </c>
      <c r="L124" s="244"/>
    </row>
    <row r="125" spans="1:12">
      <c r="A125" s="687">
        <v>45839</v>
      </c>
      <c r="B125" s="688">
        <v>60693.980647</v>
      </c>
      <c r="C125" s="688">
        <v>4049.773493156</v>
      </c>
      <c r="D125" s="688">
        <v>3756.0364926</v>
      </c>
      <c r="E125" s="689">
        <v>289.9876456</v>
      </c>
      <c r="G125" s="666">
        <v>45839</v>
      </c>
      <c r="H125" s="690"/>
      <c r="I125" s="701"/>
      <c r="J125" s="701"/>
      <c r="K125" s="701"/>
      <c r="L125" s="244"/>
    </row>
    <row r="126" spans="1:12">
      <c r="A126" s="687">
        <v>45870</v>
      </c>
      <c r="B126" s="688"/>
      <c r="C126" s="688"/>
      <c r="D126" s="688"/>
      <c r="E126" s="689"/>
      <c r="G126" s="666">
        <v>45870</v>
      </c>
      <c r="H126" s="690"/>
      <c r="I126" s="701"/>
      <c r="J126" s="701"/>
      <c r="K126" s="701"/>
      <c r="L126" s="244"/>
    </row>
    <row r="127" spans="1:12">
      <c r="A127" s="687">
        <v>45901</v>
      </c>
      <c r="B127" s="688"/>
      <c r="C127" s="688"/>
      <c r="D127" s="688"/>
      <c r="E127" s="689"/>
      <c r="G127" s="666">
        <v>45901</v>
      </c>
      <c r="H127" s="690"/>
      <c r="I127" s="701"/>
      <c r="J127" s="701"/>
      <c r="K127" s="701"/>
      <c r="L127" s="244"/>
    </row>
    <row r="128" spans="1:12">
      <c r="A128" s="687">
        <v>45931</v>
      </c>
      <c r="B128" s="688"/>
      <c r="C128" s="688"/>
      <c r="D128" s="688"/>
      <c r="E128" s="689"/>
      <c r="G128" s="666">
        <v>45931</v>
      </c>
      <c r="H128" s="690"/>
      <c r="I128" s="701"/>
      <c r="J128" s="701"/>
      <c r="K128" s="701"/>
      <c r="L128" s="244"/>
    </row>
    <row r="129" spans="1:12">
      <c r="A129" s="687">
        <v>45962</v>
      </c>
      <c r="B129" s="688"/>
      <c r="C129" s="688"/>
      <c r="D129" s="688"/>
      <c r="E129" s="689"/>
      <c r="G129" s="666">
        <v>45962</v>
      </c>
      <c r="H129" s="690"/>
      <c r="I129" s="701"/>
      <c r="J129" s="701"/>
      <c r="K129" s="701"/>
      <c r="L129" s="244"/>
    </row>
    <row r="130" spans="1:12">
      <c r="A130" s="687">
        <v>45992</v>
      </c>
      <c r="B130" s="688"/>
      <c r="C130" s="688"/>
      <c r="D130" s="688"/>
      <c r="E130" s="689"/>
      <c r="G130" s="666">
        <v>45992</v>
      </c>
      <c r="H130" s="690"/>
      <c r="I130" s="701"/>
      <c r="J130" s="701"/>
      <c r="K130" s="701"/>
      <c r="L130" s="244"/>
    </row>
    <row r="131" spans="1:13">
      <c r="A131" s="718"/>
      <c r="B131" s="260"/>
      <c r="C131" s="260"/>
      <c r="D131" s="260"/>
      <c r="E131" s="654"/>
      <c r="G131" s="666">
        <v>45658</v>
      </c>
      <c r="H131" s="686">
        <v>11252.837229</v>
      </c>
      <c r="I131" s="686">
        <v>2034.660142</v>
      </c>
      <c r="J131" s="686">
        <v>1919.4907</v>
      </c>
      <c r="K131" s="686">
        <v>715.971</v>
      </c>
      <c r="L131" s="244"/>
      <c r="M131" s="244"/>
    </row>
    <row r="132" spans="1:13">
      <c r="A132" s="718"/>
      <c r="B132" s="260"/>
      <c r="C132" s="260"/>
      <c r="D132" s="260"/>
      <c r="E132" s="654"/>
      <c r="G132" s="666">
        <v>45689</v>
      </c>
      <c r="H132" s="686">
        <v>17944.174114</v>
      </c>
      <c r="I132" s="686">
        <v>2501.774052</v>
      </c>
      <c r="J132" s="686">
        <v>2360.1642</v>
      </c>
      <c r="K132" s="686">
        <v>655.5492</v>
      </c>
      <c r="L132" s="130"/>
      <c r="M132" s="130"/>
    </row>
    <row r="133" spans="1:11">
      <c r="A133" s="718"/>
      <c r="B133" s="260"/>
      <c r="C133" s="260"/>
      <c r="D133" s="260"/>
      <c r="E133" s="654"/>
      <c r="G133" s="666">
        <v>45717</v>
      </c>
      <c r="H133" s="686">
        <v>18695.075518</v>
      </c>
      <c r="I133" s="686">
        <v>2150.396136</v>
      </c>
      <c r="J133" s="686">
        <v>2028.6756</v>
      </c>
      <c r="K133" s="686">
        <v>212.0492</v>
      </c>
    </row>
    <row r="134" spans="1:11">
      <c r="A134" s="718"/>
      <c r="B134" s="260"/>
      <c r="C134" s="260"/>
      <c r="D134" s="260"/>
      <c r="E134" s="654"/>
      <c r="G134" s="666">
        <v>45748</v>
      </c>
      <c r="H134" s="686">
        <v>26608.660401</v>
      </c>
      <c r="I134" s="686">
        <v>2320.276294</v>
      </c>
      <c r="J134" s="686">
        <v>2188.9399</v>
      </c>
      <c r="K134" s="686">
        <v>128.4537</v>
      </c>
    </row>
    <row r="135" spans="1:11">
      <c r="A135" s="718"/>
      <c r="B135" s="260"/>
      <c r="C135" s="260"/>
      <c r="D135" s="260"/>
      <c r="E135" s="654"/>
      <c r="G135" s="666">
        <v>45778</v>
      </c>
      <c r="H135" s="686">
        <v>44202.471872</v>
      </c>
      <c r="I135" s="686">
        <v>2792.0294</v>
      </c>
      <c r="J135" s="686">
        <v>2633.99</v>
      </c>
      <c r="K135" s="686">
        <v>263.538</v>
      </c>
    </row>
    <row r="136" spans="1:11">
      <c r="A136" s="718"/>
      <c r="B136" s="260"/>
      <c r="C136" s="260"/>
      <c r="D136" s="260"/>
      <c r="E136" s="654"/>
      <c r="G136" s="666">
        <v>45809</v>
      </c>
      <c r="H136" s="686">
        <v>54780.342926</v>
      </c>
      <c r="I136" s="686">
        <v>2825.165</v>
      </c>
      <c r="J136" s="686">
        <v>2665.25</v>
      </c>
      <c r="K136" s="686">
        <v>-190.003</v>
      </c>
    </row>
    <row r="137" spans="1:11">
      <c r="A137" s="718"/>
      <c r="B137" s="260"/>
      <c r="C137" s="260"/>
      <c r="D137" s="260"/>
      <c r="E137" s="654"/>
      <c r="G137" s="666">
        <v>45839</v>
      </c>
      <c r="H137" s="686"/>
      <c r="I137" s="686"/>
      <c r="J137" s="686"/>
      <c r="K137" s="686"/>
    </row>
    <row r="138" spans="1:11">
      <c r="A138" s="718"/>
      <c r="B138" s="260"/>
      <c r="C138" s="260"/>
      <c r="D138" s="260"/>
      <c r="E138" s="654"/>
      <c r="G138" s="666">
        <v>45870</v>
      </c>
      <c r="H138" s="686"/>
      <c r="I138" s="686"/>
      <c r="J138" s="686"/>
      <c r="K138" s="686"/>
    </row>
    <row r="139" spans="1:11">
      <c r="A139" s="718"/>
      <c r="B139" s="260"/>
      <c r="C139" s="260"/>
      <c r="D139" s="260"/>
      <c r="E139" s="654"/>
      <c r="G139" s="666">
        <v>45901</v>
      </c>
      <c r="H139" s="686"/>
      <c r="I139" s="686"/>
      <c r="J139" s="686"/>
      <c r="K139" s="686"/>
    </row>
    <row r="140" spans="1:11">
      <c r="A140" s="718"/>
      <c r="B140" s="260"/>
      <c r="C140" s="260"/>
      <c r="D140" s="260"/>
      <c r="E140" s="654"/>
      <c r="G140" s="666">
        <v>45931</v>
      </c>
      <c r="H140" s="686"/>
      <c r="I140" s="686"/>
      <c r="J140" s="686"/>
      <c r="K140" s="686"/>
    </row>
    <row r="141" spans="1:11">
      <c r="A141" s="718"/>
      <c r="B141" s="260"/>
      <c r="C141" s="260"/>
      <c r="D141" s="260"/>
      <c r="E141" s="654"/>
      <c r="G141" s="666">
        <v>45962</v>
      </c>
      <c r="H141" s="686"/>
      <c r="I141" s="686"/>
      <c r="J141" s="686"/>
      <c r="K141" s="686"/>
    </row>
    <row r="142" spans="1:11">
      <c r="A142" s="718"/>
      <c r="B142" s="260"/>
      <c r="C142" s="260"/>
      <c r="D142" s="260"/>
      <c r="E142" s="654"/>
      <c r="G142" s="666">
        <v>45992</v>
      </c>
      <c r="H142" s="686"/>
      <c r="I142" s="686"/>
      <c r="J142" s="686"/>
      <c r="K142" s="686"/>
    </row>
  </sheetData>
  <autoFilter xmlns:etc="http://www.wps.cn/officeDocument/2017/etCustomData" ref="A2:AJ142" etc:filterBottomFollowUsedRange="0">
    <extLst/>
  </autoFilter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1"/>
  <sheetViews>
    <sheetView workbookViewId="0">
      <pane ySplit="13" topLeftCell="A3" activePane="bottomLeft" state="frozen"/>
      <selection/>
      <selection pane="bottomLeft" activeCell="C11" sqref="C11"/>
    </sheetView>
  </sheetViews>
  <sheetFormatPr defaultColWidth="9" defaultRowHeight="12"/>
  <cols>
    <col min="1" max="1" width="13.6333333333333" style="3" customWidth="1"/>
    <col min="2" max="2" width="15.875" style="3" customWidth="1"/>
    <col min="3" max="4" width="15" style="157"/>
    <col min="5" max="5" width="12.6333333333333" style="157"/>
    <col min="6" max="6" width="15" style="157"/>
    <col min="7" max="7" width="12.1333333333333" style="157"/>
    <col min="8" max="8" width="11.1333333333333" style="157"/>
    <col min="9" max="9" width="10.5" style="157" customWidth="1"/>
    <col min="10" max="10" width="10.6333333333333" style="157" customWidth="1"/>
    <col min="11" max="13" width="12.1333333333333" style="157"/>
    <col min="14" max="14" width="11.1333333333333" style="420"/>
    <col min="15" max="15" width="10.1333333333333" style="157"/>
    <col min="16" max="16" width="11.725" style="4"/>
    <col min="17" max="17" width="10.125" style="4"/>
    <col min="18" max="18" width="12" style="3"/>
    <col min="19" max="19" width="9.25" style="3"/>
    <col min="20" max="16384" width="9" style="3"/>
  </cols>
  <sheetData>
    <row r="1" s="3" customFormat="1" spans="1:17">
      <c r="A1" s="258" t="s">
        <v>96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420"/>
      <c r="O1" s="157"/>
      <c r="P1" s="4"/>
      <c r="Q1" s="4"/>
    </row>
    <row r="2" s="594" customFormat="1" ht="34" customHeight="1" spans="1:17">
      <c r="A2" s="596" t="s">
        <v>97</v>
      </c>
      <c r="B2" s="597" t="s">
        <v>98</v>
      </c>
      <c r="C2" s="598" t="s">
        <v>99</v>
      </c>
      <c r="D2" s="599" t="s">
        <v>100</v>
      </c>
      <c r="E2" s="599" t="s">
        <v>101</v>
      </c>
      <c r="F2" s="599" t="s">
        <v>102</v>
      </c>
      <c r="G2" s="599" t="s">
        <v>103</v>
      </c>
      <c r="H2" s="599" t="s">
        <v>104</v>
      </c>
      <c r="I2" s="599" t="s">
        <v>105</v>
      </c>
      <c r="J2" s="599" t="s">
        <v>106</v>
      </c>
      <c r="K2" s="599" t="s">
        <v>107</v>
      </c>
      <c r="L2" s="599" t="s">
        <v>108</v>
      </c>
      <c r="M2" s="599" t="s">
        <v>109</v>
      </c>
      <c r="N2" s="618" t="s">
        <v>110</v>
      </c>
      <c r="O2" s="599" t="s">
        <v>111</v>
      </c>
      <c r="P2" s="619"/>
      <c r="Q2" s="619"/>
    </row>
    <row r="3" s="3" customFormat="1" ht="18" customHeight="1" spans="1:17">
      <c r="A3" s="600" t="s">
        <v>112</v>
      </c>
      <c r="B3" s="601"/>
      <c r="C3" s="602">
        <f>SUM(D3:O3)</f>
        <v>-27.65</v>
      </c>
      <c r="D3" s="603"/>
      <c r="E3" s="603"/>
      <c r="F3" s="604"/>
      <c r="G3" s="604"/>
      <c r="H3" s="604"/>
      <c r="I3" s="604">
        <v>7.059</v>
      </c>
      <c r="J3" s="604">
        <f>-27.65-I3</f>
        <v>-34.709</v>
      </c>
      <c r="K3" s="604"/>
      <c r="L3" s="604"/>
      <c r="M3" s="604"/>
      <c r="N3" s="620"/>
      <c r="O3" s="604"/>
      <c r="P3" s="157">
        <v>-27.65</v>
      </c>
      <c r="Q3" s="4"/>
    </row>
    <row r="4" s="3" customFormat="1" ht="18" customHeight="1" spans="1:17">
      <c r="A4" s="600" t="s">
        <v>113</v>
      </c>
      <c r="B4" s="601"/>
      <c r="C4" s="602">
        <f>SUM(D4:O4)</f>
        <v>0</v>
      </c>
      <c r="D4" s="603"/>
      <c r="E4" s="603"/>
      <c r="F4" s="604"/>
      <c r="G4" s="604"/>
      <c r="H4" s="604"/>
      <c r="I4" s="604"/>
      <c r="J4" s="604"/>
      <c r="K4" s="604"/>
      <c r="L4" s="604"/>
      <c r="M4" s="604"/>
      <c r="N4" s="620"/>
      <c r="O4" s="604"/>
      <c r="P4" s="157"/>
      <c r="Q4" s="4"/>
    </row>
    <row r="5" s="3" customFormat="1" ht="18" customHeight="1" spans="1:17">
      <c r="A5" s="605" t="s">
        <v>114</v>
      </c>
      <c r="B5" s="601"/>
      <c r="C5" s="602">
        <f>SUM(D5:O5)</f>
        <v>0</v>
      </c>
      <c r="D5" s="603"/>
      <c r="E5" s="603"/>
      <c r="F5" s="604"/>
      <c r="G5" s="604"/>
      <c r="H5" s="604"/>
      <c r="I5" s="604"/>
      <c r="J5" s="604"/>
      <c r="K5" s="604"/>
      <c r="L5" s="604"/>
      <c r="M5" s="604"/>
      <c r="N5" s="620"/>
      <c r="O5" s="604"/>
      <c r="P5" s="157"/>
      <c r="Q5" s="4"/>
    </row>
    <row r="6" s="3" customFormat="1" ht="18" customHeight="1" spans="1:16">
      <c r="A6" s="606" t="s">
        <v>115</v>
      </c>
      <c r="B6" s="607"/>
      <c r="C6" s="602">
        <f>SUM(D6:O6)</f>
        <v>232.934</v>
      </c>
      <c r="D6" s="604">
        <v>77.701</v>
      </c>
      <c r="E6" s="604">
        <v>6.228</v>
      </c>
      <c r="F6" s="604">
        <v>106.762</v>
      </c>
      <c r="G6" s="604">
        <v>78.746</v>
      </c>
      <c r="H6" s="604">
        <v>76.203</v>
      </c>
      <c r="I6" s="604">
        <f>281.088987-7.059-(38.674+377.647)</f>
        <v>-142.291013</v>
      </c>
      <c r="J6" s="604">
        <f>232.934-SUM(D6:I6)</f>
        <v>29.585013</v>
      </c>
      <c r="K6" s="157"/>
      <c r="L6" s="604"/>
      <c r="M6" s="604"/>
      <c r="N6" s="621"/>
      <c r="O6" s="604"/>
      <c r="P6" s="622">
        <v>232.934</v>
      </c>
    </row>
    <row r="7" s="3" customFormat="1" ht="18" customHeight="1" spans="1:16">
      <c r="A7" s="605" t="s">
        <v>116</v>
      </c>
      <c r="B7" s="601"/>
      <c r="C7" s="602">
        <f>SUM(D7:O7)</f>
        <v>461.05</v>
      </c>
      <c r="D7" s="604"/>
      <c r="E7" s="604"/>
      <c r="F7" s="604"/>
      <c r="G7" s="604"/>
      <c r="H7" s="604"/>
      <c r="I7" s="604">
        <f>38.674+377.647</f>
        <v>416.321</v>
      </c>
      <c r="J7" s="604">
        <f>461.05-I7</f>
        <v>44.729</v>
      </c>
      <c r="K7" s="604"/>
      <c r="L7" s="604"/>
      <c r="M7" s="604"/>
      <c r="N7" s="620"/>
      <c r="O7" s="604"/>
      <c r="P7" s="157">
        <v>461.05</v>
      </c>
    </row>
    <row r="8" s="3" customFormat="1" ht="18" customHeight="1" spans="1:20">
      <c r="A8" s="608" t="s">
        <v>15</v>
      </c>
      <c r="B8" s="609">
        <f t="shared" ref="B8:O8" si="0">SUM(B3:B7)</f>
        <v>0</v>
      </c>
      <c r="C8" s="610">
        <f t="shared" si="0"/>
        <v>666.334</v>
      </c>
      <c r="D8" s="611">
        <f t="shared" si="0"/>
        <v>77.701</v>
      </c>
      <c r="E8" s="611">
        <f t="shared" si="0"/>
        <v>6.228</v>
      </c>
      <c r="F8" s="611">
        <f t="shared" si="0"/>
        <v>106.762</v>
      </c>
      <c r="G8" s="611">
        <f t="shared" si="0"/>
        <v>78.746</v>
      </c>
      <c r="H8" s="611">
        <f t="shared" si="0"/>
        <v>76.203</v>
      </c>
      <c r="I8" s="611">
        <f t="shared" si="0"/>
        <v>281.088987</v>
      </c>
      <c r="J8" s="611">
        <f t="shared" si="0"/>
        <v>39.605013</v>
      </c>
      <c r="K8" s="611">
        <f t="shared" si="0"/>
        <v>0</v>
      </c>
      <c r="L8" s="611">
        <f t="shared" si="0"/>
        <v>0</v>
      </c>
      <c r="M8" s="611">
        <f t="shared" si="0"/>
        <v>0</v>
      </c>
      <c r="N8" s="623">
        <f t="shared" si="0"/>
        <v>0</v>
      </c>
      <c r="O8" s="611">
        <f t="shared" si="0"/>
        <v>0</v>
      </c>
      <c r="P8" s="157">
        <f>'[37]简表底稿 (万元)'!$L$2</f>
        <v>666.334</v>
      </c>
      <c r="Q8" s="4">
        <f>P8-C8</f>
        <v>0</v>
      </c>
      <c r="R8" s="215"/>
      <c r="S8" s="215"/>
      <c r="T8" s="215"/>
    </row>
    <row r="9" s="3" customFormat="1" ht="18" customHeight="1" spans="3:20"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624"/>
      <c r="O9" s="157"/>
      <c r="P9" s="157"/>
      <c r="R9" s="215"/>
      <c r="S9" s="215"/>
      <c r="T9" s="215"/>
    </row>
    <row r="10" s="595" customFormat="1" ht="19" customHeight="1" spans="1:20">
      <c r="A10" s="595" t="s">
        <v>117</v>
      </c>
      <c r="B10" s="612"/>
      <c r="C10" s="613">
        <f t="shared" ref="C10:O10" si="1">C8*1.06</f>
        <v>706.31404</v>
      </c>
      <c r="D10" s="613">
        <f t="shared" si="1"/>
        <v>82.36306</v>
      </c>
      <c r="E10" s="613">
        <f t="shared" si="1"/>
        <v>6.60168</v>
      </c>
      <c r="F10" s="613">
        <f t="shared" si="1"/>
        <v>113.16772</v>
      </c>
      <c r="G10" s="613">
        <f t="shared" si="1"/>
        <v>83.47076</v>
      </c>
      <c r="H10" s="613">
        <f t="shared" si="1"/>
        <v>80.77518</v>
      </c>
      <c r="I10" s="613">
        <f t="shared" si="1"/>
        <v>297.95432622</v>
      </c>
      <c r="J10" s="613">
        <f t="shared" si="1"/>
        <v>41.98131378</v>
      </c>
      <c r="K10" s="613">
        <f t="shared" si="1"/>
        <v>0</v>
      </c>
      <c r="L10" s="613">
        <f t="shared" si="1"/>
        <v>0</v>
      </c>
      <c r="M10" s="613">
        <f t="shared" si="1"/>
        <v>0</v>
      </c>
      <c r="N10" s="625">
        <f t="shared" si="1"/>
        <v>0</v>
      </c>
      <c r="O10" s="613">
        <f t="shared" si="1"/>
        <v>0</v>
      </c>
      <c r="P10" s="612"/>
      <c r="R10" s="627"/>
      <c r="S10" s="627"/>
      <c r="T10" s="627"/>
    </row>
    <row r="11" ht="15" customHeight="1" spans="18:20">
      <c r="R11" s="215"/>
      <c r="S11" s="215"/>
      <c r="T11" s="215"/>
    </row>
    <row r="12" ht="15" customHeight="1" spans="1:1">
      <c r="A12" s="258" t="s">
        <v>118</v>
      </c>
    </row>
    <row r="13" s="594" customFormat="1" ht="34" customHeight="1" spans="1:16">
      <c r="A13" s="596" t="s">
        <v>97</v>
      </c>
      <c r="B13" s="597" t="s">
        <v>98</v>
      </c>
      <c r="C13" s="598" t="s">
        <v>99</v>
      </c>
      <c r="D13" s="599" t="s">
        <v>100</v>
      </c>
      <c r="E13" s="599" t="s">
        <v>101</v>
      </c>
      <c r="F13" s="599" t="s">
        <v>102</v>
      </c>
      <c r="G13" s="599" t="s">
        <v>103</v>
      </c>
      <c r="H13" s="599" t="s">
        <v>104</v>
      </c>
      <c r="I13" s="599" t="s">
        <v>105</v>
      </c>
      <c r="J13" s="599" t="s">
        <v>106</v>
      </c>
      <c r="K13" s="599" t="s">
        <v>107</v>
      </c>
      <c r="L13" s="599" t="s">
        <v>108</v>
      </c>
      <c r="M13" s="599" t="s">
        <v>109</v>
      </c>
      <c r="N13" s="618" t="s">
        <v>110</v>
      </c>
      <c r="O13" s="599" t="s">
        <v>111</v>
      </c>
      <c r="P13" s="619"/>
    </row>
    <row r="14" ht="18" customHeight="1" spans="1:15">
      <c r="A14" s="600" t="s">
        <v>112</v>
      </c>
      <c r="B14" s="601"/>
      <c r="C14" s="603"/>
      <c r="D14" s="603"/>
      <c r="E14" s="603"/>
      <c r="F14" s="604"/>
      <c r="G14" s="604"/>
      <c r="H14" s="604"/>
      <c r="I14" s="604"/>
      <c r="J14" s="604"/>
      <c r="K14" s="604"/>
      <c r="L14" s="604"/>
      <c r="M14" s="604"/>
      <c r="N14" s="620"/>
      <c r="O14" s="604"/>
    </row>
    <row r="15" ht="18" customHeight="1" spans="1:15">
      <c r="A15" s="600" t="s">
        <v>113</v>
      </c>
      <c r="B15" s="601"/>
      <c r="C15" s="603"/>
      <c r="D15" s="603"/>
      <c r="E15" s="603"/>
      <c r="F15" s="604"/>
      <c r="G15" s="604"/>
      <c r="H15" s="604"/>
      <c r="I15" s="604"/>
      <c r="J15" s="604"/>
      <c r="K15" s="604"/>
      <c r="L15" s="604"/>
      <c r="M15" s="604"/>
      <c r="N15" s="620"/>
      <c r="O15" s="604"/>
    </row>
    <row r="16" ht="18" customHeight="1" spans="1:15">
      <c r="A16" s="605" t="s">
        <v>114</v>
      </c>
      <c r="B16" s="601"/>
      <c r="C16" s="603"/>
      <c r="D16" s="603"/>
      <c r="E16" s="603"/>
      <c r="F16" s="604"/>
      <c r="G16" s="604"/>
      <c r="H16" s="604"/>
      <c r="I16" s="604"/>
      <c r="J16" s="604"/>
      <c r="K16" s="604"/>
      <c r="L16" s="604"/>
      <c r="M16" s="604"/>
      <c r="N16" s="620"/>
      <c r="O16" s="604"/>
    </row>
    <row r="17" ht="18" customHeight="1" spans="1:15">
      <c r="A17" s="606" t="s">
        <v>115</v>
      </c>
      <c r="B17" s="607"/>
      <c r="C17" s="602">
        <f>SUM(D17:O17)</f>
        <v>366.107</v>
      </c>
      <c r="D17" s="604">
        <f>377.983-2659414.53/10000</f>
        <v>112.041547</v>
      </c>
      <c r="E17" s="604">
        <f>191.57-3869946.72/10000</f>
        <v>-195.424672</v>
      </c>
      <c r="F17" s="604">
        <f>-429.26--5370695.59/10000</f>
        <v>107.809559</v>
      </c>
      <c r="G17" s="604">
        <f>-29.559-2165911.16/10000</f>
        <v>-246.150116</v>
      </c>
      <c r="H17" s="604">
        <v>96.61</v>
      </c>
      <c r="I17" s="604">
        <v>-3.44</v>
      </c>
      <c r="J17" s="604">
        <v>191.09</v>
      </c>
      <c r="K17" s="157">
        <v>71.15</v>
      </c>
      <c r="L17" s="604">
        <v>20.14</v>
      </c>
      <c r="M17" s="604">
        <v>57.43</v>
      </c>
      <c r="N17" s="621">
        <v>209.288682</v>
      </c>
      <c r="O17" s="604">
        <v>-54.438</v>
      </c>
    </row>
    <row r="18" ht="18" customHeight="1" spans="1:15">
      <c r="A18" s="605" t="s">
        <v>116</v>
      </c>
      <c r="B18" s="601"/>
      <c r="C18" s="603"/>
      <c r="D18" s="604"/>
      <c r="E18" s="604"/>
      <c r="F18" s="604"/>
      <c r="G18" s="604"/>
      <c r="H18" s="604"/>
      <c r="I18" s="604"/>
      <c r="J18" s="604"/>
      <c r="K18" s="604"/>
      <c r="L18" s="604"/>
      <c r="M18" s="604"/>
      <c r="N18" s="620"/>
      <c r="O18" s="604"/>
    </row>
    <row r="19" ht="18" customHeight="1" spans="1:15">
      <c r="A19" s="608" t="s">
        <v>15</v>
      </c>
      <c r="B19" s="609">
        <f t="shared" ref="B19:O19" si="2">SUM(B14:B18)</f>
        <v>0</v>
      </c>
      <c r="C19" s="610">
        <f t="shared" si="2"/>
        <v>366.107</v>
      </c>
      <c r="D19" s="611">
        <f t="shared" si="2"/>
        <v>112.041547</v>
      </c>
      <c r="E19" s="611">
        <f t="shared" si="2"/>
        <v>-195.424672</v>
      </c>
      <c r="F19" s="611">
        <f t="shared" si="2"/>
        <v>107.809559</v>
      </c>
      <c r="G19" s="611">
        <f t="shared" si="2"/>
        <v>-246.150116</v>
      </c>
      <c r="H19" s="611">
        <f t="shared" si="2"/>
        <v>96.61</v>
      </c>
      <c r="I19" s="611">
        <f t="shared" si="2"/>
        <v>-3.44</v>
      </c>
      <c r="J19" s="611">
        <f t="shared" si="2"/>
        <v>191.09</v>
      </c>
      <c r="K19" s="611">
        <f t="shared" si="2"/>
        <v>71.15</v>
      </c>
      <c r="L19" s="611">
        <f t="shared" si="2"/>
        <v>20.14</v>
      </c>
      <c r="M19" s="611">
        <f t="shared" si="2"/>
        <v>57.43</v>
      </c>
      <c r="N19" s="623">
        <f t="shared" si="2"/>
        <v>209.288682</v>
      </c>
      <c r="O19" s="611">
        <f t="shared" si="2"/>
        <v>-54.438</v>
      </c>
    </row>
    <row r="20" ht="18" customHeight="1" spans="14:14">
      <c r="N20" s="624"/>
    </row>
    <row r="21" s="595" customFormat="1" ht="19" customHeight="1" spans="1:16">
      <c r="A21" s="595" t="s">
        <v>117</v>
      </c>
      <c r="B21" s="612"/>
      <c r="C21" s="613">
        <f t="shared" ref="C21:O21" si="3">C19*1.06</f>
        <v>388.07342</v>
      </c>
      <c r="D21" s="613">
        <f t="shared" si="3"/>
        <v>118.76403982</v>
      </c>
      <c r="E21" s="613">
        <f t="shared" si="3"/>
        <v>-207.15015232</v>
      </c>
      <c r="F21" s="613">
        <f t="shared" si="3"/>
        <v>114.27813254</v>
      </c>
      <c r="G21" s="613">
        <f t="shared" si="3"/>
        <v>-260.91912296</v>
      </c>
      <c r="H21" s="613">
        <f t="shared" si="3"/>
        <v>102.4066</v>
      </c>
      <c r="I21" s="613">
        <f t="shared" si="3"/>
        <v>-3.6464</v>
      </c>
      <c r="J21" s="613">
        <f t="shared" si="3"/>
        <v>202.5554</v>
      </c>
      <c r="K21" s="613">
        <f t="shared" si="3"/>
        <v>75.419</v>
      </c>
      <c r="L21" s="613">
        <f t="shared" si="3"/>
        <v>21.3484</v>
      </c>
      <c r="M21" s="613">
        <f t="shared" si="3"/>
        <v>60.8758</v>
      </c>
      <c r="N21" s="625">
        <f t="shared" si="3"/>
        <v>221.84600292</v>
      </c>
      <c r="O21" s="613">
        <f t="shared" si="3"/>
        <v>-57.70428</v>
      </c>
      <c r="P21" s="612"/>
    </row>
    <row r="22" spans="2:2">
      <c r="B22" s="4"/>
    </row>
    <row r="23" spans="1:15">
      <c r="A23" s="614" t="s">
        <v>119</v>
      </c>
      <c r="N23" s="14"/>
      <c r="O23" s="3"/>
    </row>
    <row r="24" s="594" customFormat="1" ht="34" customHeight="1" spans="1:16">
      <c r="A24" s="596" t="s">
        <v>97</v>
      </c>
      <c r="B24" s="597" t="s">
        <v>98</v>
      </c>
      <c r="C24" s="598" t="s">
        <v>99</v>
      </c>
      <c r="D24" s="599" t="s">
        <v>100</v>
      </c>
      <c r="E24" s="599" t="s">
        <v>101</v>
      </c>
      <c r="F24" s="599" t="s">
        <v>102</v>
      </c>
      <c r="G24" s="599" t="s">
        <v>103</v>
      </c>
      <c r="H24" s="599" t="s">
        <v>104</v>
      </c>
      <c r="I24" s="599" t="s">
        <v>105</v>
      </c>
      <c r="J24" s="599" t="s">
        <v>106</v>
      </c>
      <c r="K24" s="599" t="s">
        <v>107</v>
      </c>
      <c r="L24" s="599" t="s">
        <v>108</v>
      </c>
      <c r="M24" s="599" t="s">
        <v>109</v>
      </c>
      <c r="N24" s="618" t="s">
        <v>110</v>
      </c>
      <c r="O24" s="599" t="s">
        <v>111</v>
      </c>
      <c r="P24" s="619"/>
    </row>
    <row r="25" s="3" customFormat="1" ht="18" customHeight="1" spans="1:16">
      <c r="A25" s="600" t="s">
        <v>112</v>
      </c>
      <c r="B25" s="601"/>
      <c r="C25" s="603"/>
      <c r="D25" s="603"/>
      <c r="E25" s="603"/>
      <c r="F25" s="604"/>
      <c r="G25" s="604"/>
      <c r="H25" s="604"/>
      <c r="I25" s="604"/>
      <c r="J25" s="604"/>
      <c r="K25" s="604"/>
      <c r="L25" s="604"/>
      <c r="M25" s="604"/>
      <c r="N25" s="620"/>
      <c r="O25" s="604"/>
      <c r="P25" s="4"/>
    </row>
    <row r="26" s="3" customFormat="1" ht="18" customHeight="1" spans="1:16">
      <c r="A26" s="600" t="s">
        <v>113</v>
      </c>
      <c r="B26" s="601"/>
      <c r="C26" s="603"/>
      <c r="D26" s="603"/>
      <c r="E26" s="603"/>
      <c r="F26" s="604"/>
      <c r="G26" s="604"/>
      <c r="H26" s="604"/>
      <c r="I26" s="604"/>
      <c r="J26" s="604"/>
      <c r="K26" s="604"/>
      <c r="L26" s="604"/>
      <c r="M26" s="604"/>
      <c r="N26" s="620"/>
      <c r="O26" s="604"/>
      <c r="P26" s="4"/>
    </row>
    <row r="27" s="3" customFormat="1" ht="18" customHeight="1" spans="1:16">
      <c r="A27" s="605" t="s">
        <v>114</v>
      </c>
      <c r="B27" s="601"/>
      <c r="C27" s="603"/>
      <c r="D27" s="603"/>
      <c r="E27" s="603"/>
      <c r="F27" s="604"/>
      <c r="G27" s="604"/>
      <c r="H27" s="604"/>
      <c r="I27" s="604"/>
      <c r="J27" s="604"/>
      <c r="K27" s="604"/>
      <c r="L27" s="604"/>
      <c r="M27" s="604"/>
      <c r="N27" s="620"/>
      <c r="O27" s="604"/>
      <c r="P27" s="4"/>
    </row>
    <row r="28" s="3" customFormat="1" ht="18" customHeight="1" spans="1:16">
      <c r="A28" s="606" t="s">
        <v>115</v>
      </c>
      <c r="B28" s="607"/>
      <c r="C28" s="602">
        <f>SUM(D28:O28)</f>
        <v>219.71</v>
      </c>
      <c r="D28" s="604">
        <v>98.863</v>
      </c>
      <c r="E28" s="604">
        <v>88.266</v>
      </c>
      <c r="F28" s="604">
        <v>112.98</v>
      </c>
      <c r="G28" s="604">
        <v>-111.401</v>
      </c>
      <c r="H28" s="604">
        <v>-41.707</v>
      </c>
      <c r="I28" s="604">
        <v>-100.897</v>
      </c>
      <c r="J28" s="604">
        <v>160.729</v>
      </c>
      <c r="K28" s="157">
        <v>125.174</v>
      </c>
      <c r="L28" s="604">
        <v>-208.57</v>
      </c>
      <c r="M28" s="604">
        <v>179.757</v>
      </c>
      <c r="N28" s="620">
        <v>53.9819999999999</v>
      </c>
      <c r="O28" s="604">
        <v>-137.466</v>
      </c>
      <c r="P28" s="4"/>
    </row>
    <row r="29" s="3" customFormat="1" ht="18" customHeight="1" spans="1:16">
      <c r="A29" s="605" t="s">
        <v>116</v>
      </c>
      <c r="B29" s="601"/>
      <c r="C29" s="603"/>
      <c r="D29" s="604"/>
      <c r="E29" s="604"/>
      <c r="F29" s="604"/>
      <c r="G29" s="604"/>
      <c r="H29" s="604"/>
      <c r="I29" s="604"/>
      <c r="J29" s="604"/>
      <c r="K29" s="604"/>
      <c r="L29" s="604"/>
      <c r="M29" s="604"/>
      <c r="N29" s="620"/>
      <c r="O29" s="604"/>
      <c r="P29" s="4"/>
    </row>
    <row r="30" s="3" customFormat="1" ht="18" customHeight="1" spans="1:16">
      <c r="A30" s="608" t="s">
        <v>15</v>
      </c>
      <c r="B30" s="609">
        <f>SUM(B25:B29)</f>
        <v>0</v>
      </c>
      <c r="C30" s="610">
        <f>SUM(C25:C29)</f>
        <v>219.71</v>
      </c>
      <c r="D30" s="611"/>
      <c r="E30" s="611"/>
      <c r="F30" s="611">
        <f t="shared" ref="F30:O30" si="4">SUM(F25:F29)</f>
        <v>112.98</v>
      </c>
      <c r="G30" s="611">
        <f t="shared" si="4"/>
        <v>-111.401</v>
      </c>
      <c r="H30" s="611">
        <f t="shared" si="4"/>
        <v>-41.707</v>
      </c>
      <c r="I30" s="611">
        <f t="shared" si="4"/>
        <v>-100.897</v>
      </c>
      <c r="J30" s="611">
        <f t="shared" si="4"/>
        <v>160.729</v>
      </c>
      <c r="K30" s="611">
        <f t="shared" si="4"/>
        <v>125.174</v>
      </c>
      <c r="L30" s="611">
        <f t="shared" si="4"/>
        <v>-208.57</v>
      </c>
      <c r="M30" s="611">
        <f t="shared" si="4"/>
        <v>179.757</v>
      </c>
      <c r="N30" s="626">
        <f t="shared" si="4"/>
        <v>53.9819999999999</v>
      </c>
      <c r="O30" s="611">
        <f t="shared" si="4"/>
        <v>-137.466</v>
      </c>
      <c r="P30" s="4"/>
    </row>
    <row r="31" s="3" customFormat="1" ht="18" customHeight="1" spans="3:16"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420"/>
      <c r="O31" s="157"/>
      <c r="P31" s="4"/>
    </row>
    <row r="32" s="595" customFormat="1" ht="19" customHeight="1" spans="1:16">
      <c r="A32" s="595" t="s">
        <v>117</v>
      </c>
      <c r="B32" s="612"/>
      <c r="C32" s="613">
        <f t="shared" ref="C32:O32" si="5">C30*1.06</f>
        <v>232.8926</v>
      </c>
      <c r="D32" s="613">
        <f t="shared" si="5"/>
        <v>0</v>
      </c>
      <c r="E32" s="613">
        <f t="shared" si="5"/>
        <v>0</v>
      </c>
      <c r="F32" s="613">
        <f t="shared" si="5"/>
        <v>119.7588</v>
      </c>
      <c r="G32" s="613">
        <f t="shared" si="5"/>
        <v>-118.08506</v>
      </c>
      <c r="H32" s="613">
        <f t="shared" si="5"/>
        <v>-44.20942</v>
      </c>
      <c r="I32" s="613">
        <f t="shared" si="5"/>
        <v>-106.95082</v>
      </c>
      <c r="J32" s="613">
        <f t="shared" si="5"/>
        <v>170.37274</v>
      </c>
      <c r="K32" s="613">
        <f t="shared" si="5"/>
        <v>132.68444</v>
      </c>
      <c r="L32" s="613">
        <f t="shared" si="5"/>
        <v>-221.0842</v>
      </c>
      <c r="M32" s="613">
        <f t="shared" si="5"/>
        <v>190.54242</v>
      </c>
      <c r="N32" s="625">
        <f t="shared" si="5"/>
        <v>57.2209199999999</v>
      </c>
      <c r="O32" s="613">
        <f t="shared" si="5"/>
        <v>-145.71396</v>
      </c>
      <c r="P32" s="612"/>
    </row>
    <row r="39" spans="2:15">
      <c r="B39" s="615" t="s">
        <v>120</v>
      </c>
      <c r="C39" s="157" t="s">
        <v>121</v>
      </c>
      <c r="D39" s="157" t="s">
        <v>122</v>
      </c>
      <c r="E39" s="157" t="s">
        <v>123</v>
      </c>
      <c r="N39" s="157"/>
      <c r="O39" s="420"/>
    </row>
    <row r="40" spans="2:15">
      <c r="B40" s="615" t="s">
        <v>124</v>
      </c>
      <c r="C40" s="4">
        <v>-1030348.84</v>
      </c>
      <c r="D40" s="4">
        <v>-903225.23</v>
      </c>
      <c r="E40" s="4">
        <v>891317.98</v>
      </c>
      <c r="F40" s="4">
        <f t="shared" ref="F40:F49" si="6">E40-D40</f>
        <v>1794543.21</v>
      </c>
      <c r="G40" s="4"/>
      <c r="N40" s="157"/>
      <c r="O40" s="420"/>
    </row>
    <row r="41" spans="2:15">
      <c r="B41" s="615" t="s">
        <v>125</v>
      </c>
      <c r="C41" s="4">
        <v>-101116.56</v>
      </c>
      <c r="D41" s="4">
        <v>-121183.48</v>
      </c>
      <c r="E41" s="4">
        <v>-159339.02</v>
      </c>
      <c r="F41" s="4">
        <f t="shared" si="6"/>
        <v>-38155.54</v>
      </c>
      <c r="G41" s="4"/>
      <c r="N41" s="157"/>
      <c r="O41" s="420"/>
    </row>
    <row r="42" spans="2:15">
      <c r="B42" s="615" t="s">
        <v>126</v>
      </c>
      <c r="C42" s="4">
        <v>39450.92</v>
      </c>
      <c r="D42" s="4">
        <v>36003.91</v>
      </c>
      <c r="E42" s="4">
        <v>27371.62</v>
      </c>
      <c r="F42" s="4">
        <f t="shared" si="6"/>
        <v>-8632.29</v>
      </c>
      <c r="G42" s="4"/>
      <c r="N42" s="157"/>
      <c r="O42" s="420"/>
    </row>
    <row r="43" spans="2:15">
      <c r="B43" s="615" t="s">
        <v>127</v>
      </c>
      <c r="C43" s="4">
        <v>-2854.26</v>
      </c>
      <c r="D43" s="4">
        <v>-2898.17</v>
      </c>
      <c r="E43" s="4">
        <v>-11201.47</v>
      </c>
      <c r="F43" s="4">
        <f t="shared" si="6"/>
        <v>-8303.3</v>
      </c>
      <c r="G43" s="4"/>
      <c r="N43" s="157"/>
      <c r="O43" s="420"/>
    </row>
    <row r="44" spans="2:46">
      <c r="B44" s="615" t="s">
        <v>128</v>
      </c>
      <c r="C44" s="4">
        <v>-2098.94</v>
      </c>
      <c r="D44" s="4">
        <v>-2283.59</v>
      </c>
      <c r="E44" s="4">
        <v>-2283.59</v>
      </c>
      <c r="F44" s="4">
        <f t="shared" si="6"/>
        <v>0</v>
      </c>
      <c r="G44" s="4"/>
      <c r="N44" s="157"/>
      <c r="O44" s="420"/>
      <c r="U44" s="628"/>
      <c r="AT44" s="628"/>
    </row>
    <row r="45" spans="2:15">
      <c r="B45" s="615" t="s">
        <v>129</v>
      </c>
      <c r="C45" s="4">
        <v>118205.04</v>
      </c>
      <c r="D45" s="4">
        <v>232964.01</v>
      </c>
      <c r="E45" s="4">
        <v>154874.19</v>
      </c>
      <c r="F45" s="4">
        <f t="shared" si="6"/>
        <v>-78089.82</v>
      </c>
      <c r="G45" s="4"/>
      <c r="N45" s="157"/>
      <c r="O45" s="420"/>
    </row>
    <row r="46" spans="2:15">
      <c r="B46" s="615" t="s">
        <v>130</v>
      </c>
      <c r="C46" s="4">
        <v>-483876.71</v>
      </c>
      <c r="D46" s="4">
        <v>-558336.91</v>
      </c>
      <c r="E46" s="4">
        <v>-671481.83</v>
      </c>
      <c r="F46" s="4">
        <f t="shared" si="6"/>
        <v>-113144.92</v>
      </c>
      <c r="G46" s="4"/>
      <c r="N46" s="157"/>
      <c r="O46" s="420"/>
    </row>
    <row r="47" spans="2:15">
      <c r="B47" s="615" t="s">
        <v>131</v>
      </c>
      <c r="C47" s="4">
        <v>1101715.28</v>
      </c>
      <c r="D47" s="4">
        <v>1529010.81</v>
      </c>
      <c r="E47" s="4">
        <v>451698.26</v>
      </c>
      <c r="F47" s="4">
        <f t="shared" si="6"/>
        <v>-1077312.55</v>
      </c>
      <c r="G47" s="4"/>
      <c r="N47" s="157"/>
      <c r="O47" s="420"/>
    </row>
    <row r="48" spans="2:15">
      <c r="B48" s="615" t="s">
        <v>132</v>
      </c>
      <c r="C48" s="4">
        <v>0</v>
      </c>
      <c r="D48" s="4">
        <v>0</v>
      </c>
      <c r="E48" s="4">
        <v>-47112.72</v>
      </c>
      <c r="F48" s="4">
        <f t="shared" si="6"/>
        <v>-47112.72</v>
      </c>
      <c r="G48" s="4"/>
      <c r="N48" s="157"/>
      <c r="O48" s="420"/>
    </row>
    <row r="49" spans="2:15">
      <c r="B49" s="616" t="s">
        <v>133</v>
      </c>
      <c r="C49" s="4">
        <v>-442821.91</v>
      </c>
      <c r="D49" s="4">
        <v>8007.07</v>
      </c>
      <c r="E49" s="4">
        <v>6588.28</v>
      </c>
      <c r="F49" s="4">
        <f t="shared" si="6"/>
        <v>-1418.79</v>
      </c>
      <c r="G49" s="4"/>
      <c r="N49" s="157"/>
      <c r="O49" s="420"/>
    </row>
    <row r="50" spans="3:15">
      <c r="C50" s="4"/>
      <c r="D50" s="4"/>
      <c r="F50" s="4"/>
      <c r="G50" s="4"/>
      <c r="N50" s="157"/>
      <c r="O50" s="420"/>
    </row>
    <row r="51" spans="4:15">
      <c r="D51" s="4"/>
      <c r="E51" s="4"/>
      <c r="F51" s="4"/>
      <c r="G51" s="4"/>
      <c r="N51" s="157"/>
      <c r="O51" s="420"/>
    </row>
    <row r="52" spans="2:15">
      <c r="B52" s="617" t="s">
        <v>134</v>
      </c>
      <c r="C52" s="4">
        <v>47.351</v>
      </c>
      <c r="D52" s="4">
        <v>69.186</v>
      </c>
      <c r="E52" s="4">
        <v>92.599</v>
      </c>
      <c r="F52" s="4">
        <f>E52-D52</f>
        <v>23.413</v>
      </c>
      <c r="G52" s="4"/>
      <c r="N52" s="157"/>
      <c r="O52" s="420"/>
    </row>
    <row r="53" spans="2:15">
      <c r="B53" s="617" t="s">
        <v>135</v>
      </c>
      <c r="C53" s="4">
        <v>-80.375</v>
      </c>
      <c r="D53" s="4">
        <v>21.806</v>
      </c>
      <c r="E53" s="4">
        <v>64.043</v>
      </c>
      <c r="F53" s="4">
        <f>E53-D53</f>
        <v>42.237</v>
      </c>
      <c r="G53" s="4"/>
      <c r="N53" s="157"/>
      <c r="O53" s="420"/>
    </row>
    <row r="54" spans="2:15">
      <c r="B54" s="617" t="s">
        <v>136</v>
      </c>
      <c r="C54" s="4">
        <v>244.284</v>
      </c>
      <c r="D54" s="4">
        <v>329.553</v>
      </c>
      <c r="E54" s="4">
        <v>209.465</v>
      </c>
      <c r="F54" s="4">
        <f>E54-D54</f>
        <v>-120.088</v>
      </c>
      <c r="G54" s="4"/>
      <c r="N54" s="157"/>
      <c r="O54" s="420"/>
    </row>
    <row r="55" spans="2:15">
      <c r="B55" s="615"/>
      <c r="N55" s="157"/>
      <c r="O55" s="420"/>
    </row>
    <row r="56" spans="2:15">
      <c r="B56" s="615"/>
      <c r="N56" s="157"/>
      <c r="O56" s="420"/>
    </row>
    <row r="57" spans="2:2">
      <c r="B57" s="615"/>
    </row>
    <row r="58" spans="2:2">
      <c r="B58" s="615"/>
    </row>
    <row r="59" spans="2:2">
      <c r="B59" s="615"/>
    </row>
    <row r="60" spans="2:2">
      <c r="B60" s="615"/>
    </row>
    <row r="61" spans="2:2">
      <c r="B61" s="616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2"/>
  <sheetViews>
    <sheetView workbookViewId="0">
      <selection activeCell="N32" sqref="N32"/>
    </sheetView>
  </sheetViews>
  <sheetFormatPr defaultColWidth="9" defaultRowHeight="12.9" customHeight="1"/>
  <cols>
    <col min="1" max="1" width="8.88333333333333" style="505" customWidth="1"/>
    <col min="2" max="2" width="14.6666666666667" style="506" customWidth="1"/>
    <col min="3" max="3" width="15.275" style="506" customWidth="1"/>
    <col min="4" max="7" width="14.6666666666667" style="506" customWidth="1"/>
    <col min="8" max="8" width="15.8833333333333" style="506" customWidth="1"/>
    <col min="9" max="9" width="11.3833333333333" style="505" customWidth="1"/>
    <col min="10" max="10" width="12.3583333333333" style="505" customWidth="1"/>
    <col min="11" max="12" width="11.6333333333333" style="507" customWidth="1"/>
    <col min="13" max="13" width="10.8833333333333" style="508" customWidth="1"/>
    <col min="14" max="14" width="10.2583333333333" style="505" customWidth="1"/>
    <col min="15" max="15" width="10.7583333333333" style="505" customWidth="1"/>
    <col min="16" max="16" width="13.475" style="505" customWidth="1"/>
    <col min="17" max="17" width="13.7583333333333" style="505" customWidth="1"/>
    <col min="18" max="18" width="13.7416666666667" style="505" customWidth="1"/>
    <col min="19" max="19" width="12.6333333333333" style="505" customWidth="1"/>
    <col min="20" max="20" width="9.63333333333333" style="505"/>
    <col min="21" max="23" width="13.6083333333333" style="505" customWidth="1"/>
    <col min="24" max="24" width="11.2583333333333" style="509"/>
    <col min="25" max="16384" width="9" style="505"/>
  </cols>
  <sheetData>
    <row r="1" s="353" customFormat="1" ht="24" customHeight="1" spans="1:16">
      <c r="A1" s="510" t="s">
        <v>96</v>
      </c>
      <c r="B1" s="511" t="s">
        <v>137</v>
      </c>
      <c r="C1" s="511" t="s">
        <v>138</v>
      </c>
      <c r="D1" s="511" t="s">
        <v>139</v>
      </c>
      <c r="E1" s="511" t="s">
        <v>140</v>
      </c>
      <c r="F1" s="511" t="s">
        <v>141</v>
      </c>
      <c r="G1" s="511" t="s">
        <v>142</v>
      </c>
      <c r="H1" s="512" t="s">
        <v>143</v>
      </c>
      <c r="I1" s="353" t="s">
        <v>144</v>
      </c>
      <c r="J1" s="525" t="s">
        <v>84</v>
      </c>
      <c r="K1" s="526" t="s">
        <v>145</v>
      </c>
      <c r="L1" s="526" t="s">
        <v>146</v>
      </c>
      <c r="M1" s="527" t="s">
        <v>147</v>
      </c>
      <c r="P1" s="528"/>
    </row>
    <row r="2" ht="14.1" customHeight="1" spans="1:24">
      <c r="A2" s="513" t="s">
        <v>148</v>
      </c>
      <c r="B2" s="514">
        <v>45102810.4424002</v>
      </c>
      <c r="C2" s="514">
        <v>75000597.3729999</v>
      </c>
      <c r="D2" s="514">
        <v>9435812.474</v>
      </c>
      <c r="E2" s="514">
        <v>203561853.123806</v>
      </c>
      <c r="F2" s="514">
        <v>365546391.6406</v>
      </c>
      <c r="G2" s="514">
        <v>277292.491</v>
      </c>
      <c r="H2" s="515">
        <f t="shared" ref="H2:H13" si="0">SUM(B2:G2)</f>
        <v>698924757.544806</v>
      </c>
      <c r="I2" s="506">
        <f>H2/10000-GMV销售平台占比!B16</f>
        <v>7.13043846189976e-10</v>
      </c>
      <c r="J2" s="529" t="s">
        <v>148</v>
      </c>
      <c r="K2" s="530">
        <f t="shared" ref="K2:K13" si="1">H2/100000000</f>
        <v>6.98924757544806</v>
      </c>
      <c r="L2" s="530">
        <f t="shared" ref="L2:L13" si="2">H17/100000000</f>
        <v>8.38416624659997</v>
      </c>
      <c r="M2" s="531">
        <f t="shared" ref="M2:M14" si="3">(K2-L2)/L2</f>
        <v>-0.166375359233554</v>
      </c>
      <c r="N2" s="509">
        <f>K2-L2</f>
        <v>-1.39491867115191</v>
      </c>
      <c r="P2" s="509"/>
      <c r="X2" s="505"/>
    </row>
    <row r="3" ht="14.1" customHeight="1" spans="1:24">
      <c r="A3" s="513" t="s">
        <v>149</v>
      </c>
      <c r="B3" s="514">
        <v>29914546.6127999</v>
      </c>
      <c r="C3" s="514">
        <v>33284884.261</v>
      </c>
      <c r="D3" s="514">
        <v>12224512.6672</v>
      </c>
      <c r="E3" s="514">
        <v>186505315.145007</v>
      </c>
      <c r="F3" s="514">
        <v>289442671.358001</v>
      </c>
      <c r="G3" s="514">
        <v>697463.7458</v>
      </c>
      <c r="H3" s="515">
        <f t="shared" si="0"/>
        <v>552069393.789808</v>
      </c>
      <c r="I3" s="506"/>
      <c r="J3" s="532" t="s">
        <v>149</v>
      </c>
      <c r="K3" s="533">
        <f t="shared" si="1"/>
        <v>5.52069393789808</v>
      </c>
      <c r="L3" s="533">
        <f t="shared" si="2"/>
        <v>7.62180494879997</v>
      </c>
      <c r="M3" s="534">
        <f t="shared" si="3"/>
        <v>-0.275671054955651</v>
      </c>
      <c r="N3" s="509"/>
      <c r="P3" s="509"/>
      <c r="X3" s="505"/>
    </row>
    <row r="4" ht="14.1" customHeight="1" spans="1:24">
      <c r="A4" s="513" t="s">
        <v>150</v>
      </c>
      <c r="B4" s="514">
        <v>23250822.4742</v>
      </c>
      <c r="C4" s="514">
        <v>38931284.8745999</v>
      </c>
      <c r="D4" s="514">
        <v>4582458.63300003</v>
      </c>
      <c r="E4" s="514">
        <v>188916067.885406</v>
      </c>
      <c r="F4" s="514">
        <v>410252309.422399</v>
      </c>
      <c r="G4" s="514">
        <v>50935.9072</v>
      </c>
      <c r="H4" s="515">
        <f t="shared" si="0"/>
        <v>665983879.196805</v>
      </c>
      <c r="I4" s="506"/>
      <c r="J4" s="532" t="s">
        <v>150</v>
      </c>
      <c r="K4" s="533">
        <f t="shared" si="1"/>
        <v>6.65983879196805</v>
      </c>
      <c r="L4" s="533">
        <f t="shared" si="2"/>
        <v>6.68328891859694</v>
      </c>
      <c r="M4" s="534">
        <f t="shared" si="3"/>
        <v>-0.00350877044438981</v>
      </c>
      <c r="N4" s="509"/>
      <c r="P4" s="509"/>
      <c r="X4" s="505"/>
    </row>
    <row r="5" ht="14.1" customHeight="1" spans="1:24">
      <c r="A5" s="513" t="s">
        <v>151</v>
      </c>
      <c r="B5" s="514">
        <v>26883010.331</v>
      </c>
      <c r="C5" s="514">
        <v>46615667.9526001</v>
      </c>
      <c r="D5" s="514">
        <v>3360143.81540003</v>
      </c>
      <c r="E5" s="514">
        <v>173047891.303208</v>
      </c>
      <c r="F5" s="514">
        <v>353508245.423403</v>
      </c>
      <c r="G5" s="514">
        <v>45091.2022</v>
      </c>
      <c r="H5" s="515">
        <f t="shared" si="0"/>
        <v>603460050.027811</v>
      </c>
      <c r="I5" s="506"/>
      <c r="J5" s="532" t="s">
        <v>151</v>
      </c>
      <c r="K5" s="533">
        <f t="shared" si="1"/>
        <v>6.03460050027811</v>
      </c>
      <c r="L5" s="535">
        <f t="shared" si="2"/>
        <v>5.03452969116499</v>
      </c>
      <c r="M5" s="534">
        <f t="shared" si="3"/>
        <v>0.198642350022909</v>
      </c>
      <c r="N5" s="509"/>
      <c r="P5" s="509"/>
      <c r="X5" s="505"/>
    </row>
    <row r="6" ht="14.1" customHeight="1" spans="1:24">
      <c r="A6" s="513" t="s">
        <v>152</v>
      </c>
      <c r="B6" s="514">
        <v>37315216.083</v>
      </c>
      <c r="C6" s="514">
        <v>100256811.5264</v>
      </c>
      <c r="D6" s="514">
        <v>3366603.89220002</v>
      </c>
      <c r="E6" s="514">
        <v>172905663.946405</v>
      </c>
      <c r="F6" s="514">
        <v>290836995.069399</v>
      </c>
      <c r="G6" s="514">
        <v>36996.6186</v>
      </c>
      <c r="H6" s="515">
        <f t="shared" si="0"/>
        <v>604718287.136004</v>
      </c>
      <c r="I6" s="506"/>
      <c r="J6" s="532" t="s">
        <v>152</v>
      </c>
      <c r="K6" s="533">
        <f t="shared" si="1"/>
        <v>6.04718287136004</v>
      </c>
      <c r="L6" s="536">
        <f t="shared" si="2"/>
        <v>7.05529658468003</v>
      </c>
      <c r="M6" s="534">
        <f t="shared" si="3"/>
        <v>-0.142887503199939</v>
      </c>
      <c r="N6" s="509"/>
      <c r="P6" s="509"/>
      <c r="X6" s="505"/>
    </row>
    <row r="7" ht="14.1" customHeight="1" spans="1:24">
      <c r="A7" s="513" t="s">
        <v>153</v>
      </c>
      <c r="B7" s="514">
        <v>44748188.5690002</v>
      </c>
      <c r="C7" s="514">
        <v>41902247.0518</v>
      </c>
      <c r="D7" s="514">
        <v>2880591.76380002</v>
      </c>
      <c r="E7" s="514">
        <v>124745162.211398</v>
      </c>
      <c r="F7" s="514">
        <v>354770311.419007</v>
      </c>
      <c r="G7" s="514">
        <v>93346.506</v>
      </c>
      <c r="H7" s="515">
        <f t="shared" si="0"/>
        <v>569139847.521005</v>
      </c>
      <c r="I7" s="506"/>
      <c r="J7" s="532" t="s">
        <v>153</v>
      </c>
      <c r="K7" s="533">
        <f t="shared" si="1"/>
        <v>5.69139847521005</v>
      </c>
      <c r="L7" s="533">
        <f t="shared" si="2"/>
        <v>8.38027476513797</v>
      </c>
      <c r="M7" s="534">
        <f t="shared" si="3"/>
        <v>-0.320857772004526</v>
      </c>
      <c r="N7" s="509"/>
      <c r="P7" s="509"/>
      <c r="X7" s="505"/>
    </row>
    <row r="8" ht="14.1" customHeight="1" spans="1:24">
      <c r="A8" s="513" t="s">
        <v>154</v>
      </c>
      <c r="B8" s="514">
        <v>40140016.6619002</v>
      </c>
      <c r="C8" s="514">
        <v>47381046.3216</v>
      </c>
      <c r="D8" s="514">
        <v>2957178.36960001</v>
      </c>
      <c r="E8" s="514">
        <v>75125964.9877998</v>
      </c>
      <c r="F8" s="514">
        <v>462615231.112004</v>
      </c>
      <c r="G8" s="514">
        <v>2103107.7344</v>
      </c>
      <c r="H8" s="515">
        <f t="shared" si="0"/>
        <v>630322545.187304</v>
      </c>
      <c r="I8" s="506"/>
      <c r="J8" s="532" t="s">
        <v>154</v>
      </c>
      <c r="K8" s="533">
        <f t="shared" si="1"/>
        <v>6.30322545187304</v>
      </c>
      <c r="L8" s="533">
        <f t="shared" si="2"/>
        <v>8.20049775177397</v>
      </c>
      <c r="M8" s="534">
        <f t="shared" si="3"/>
        <v>-0.23136062679738</v>
      </c>
      <c r="N8" s="509"/>
      <c r="P8" s="509"/>
      <c r="X8" s="505"/>
    </row>
    <row r="9" ht="14.1" customHeight="1" spans="1:24">
      <c r="A9" s="516" t="s">
        <v>155</v>
      </c>
      <c r="B9" s="514"/>
      <c r="C9" s="514"/>
      <c r="D9" s="514"/>
      <c r="E9" s="514"/>
      <c r="F9" s="514"/>
      <c r="G9" s="514"/>
      <c r="H9" s="515">
        <f t="shared" si="0"/>
        <v>0</v>
      </c>
      <c r="I9" s="506"/>
      <c r="J9" s="532" t="s">
        <v>155</v>
      </c>
      <c r="K9" s="533">
        <f t="shared" si="1"/>
        <v>0</v>
      </c>
      <c r="L9" s="537">
        <f t="shared" si="2"/>
        <v>7.51657706529592</v>
      </c>
      <c r="M9" s="534">
        <f t="shared" si="3"/>
        <v>-1</v>
      </c>
      <c r="N9" s="509"/>
      <c r="P9" s="538"/>
      <c r="X9" s="505"/>
    </row>
    <row r="10" ht="14.1" customHeight="1" spans="1:24">
      <c r="A10" s="516" t="s">
        <v>156</v>
      </c>
      <c r="B10" s="514"/>
      <c r="C10" s="514"/>
      <c r="D10" s="514"/>
      <c r="E10" s="514"/>
      <c r="F10" s="514"/>
      <c r="G10" s="514"/>
      <c r="H10" s="515">
        <f t="shared" si="0"/>
        <v>0</v>
      </c>
      <c r="I10" s="506"/>
      <c r="J10" s="532" t="s">
        <v>156</v>
      </c>
      <c r="K10" s="533">
        <f t="shared" si="1"/>
        <v>0</v>
      </c>
      <c r="L10" s="537">
        <f t="shared" si="2"/>
        <v>5.26181043422709</v>
      </c>
      <c r="M10" s="534">
        <f t="shared" si="3"/>
        <v>-1</v>
      </c>
      <c r="N10" s="509"/>
      <c r="X10" s="505"/>
    </row>
    <row r="11" ht="14.1" customHeight="1" spans="1:24">
      <c r="A11" s="516" t="s">
        <v>157</v>
      </c>
      <c r="B11" s="514"/>
      <c r="C11" s="514"/>
      <c r="D11" s="514"/>
      <c r="E11" s="514"/>
      <c r="F11" s="514"/>
      <c r="G11" s="514"/>
      <c r="H11" s="515">
        <f t="shared" si="0"/>
        <v>0</v>
      </c>
      <c r="I11" s="506"/>
      <c r="J11" s="532" t="s">
        <v>157</v>
      </c>
      <c r="K11" s="533">
        <f t="shared" si="1"/>
        <v>0</v>
      </c>
      <c r="L11" s="537">
        <f t="shared" si="2"/>
        <v>5.90113703932011</v>
      </c>
      <c r="M11" s="534">
        <f t="shared" si="3"/>
        <v>-1</v>
      </c>
      <c r="N11" s="509"/>
      <c r="X11" s="505"/>
    </row>
    <row r="12" ht="14.1" customHeight="1" spans="1:24">
      <c r="A12" s="516" t="s">
        <v>158</v>
      </c>
      <c r="B12" s="514"/>
      <c r="C12" s="514"/>
      <c r="D12" s="514"/>
      <c r="E12" s="514"/>
      <c r="F12" s="514"/>
      <c r="G12" s="514"/>
      <c r="H12" s="515">
        <f t="shared" si="0"/>
        <v>0</v>
      </c>
      <c r="I12" s="506"/>
      <c r="J12" s="532" t="s">
        <v>158</v>
      </c>
      <c r="K12" s="533">
        <f t="shared" si="1"/>
        <v>0</v>
      </c>
      <c r="L12" s="537">
        <f t="shared" si="2"/>
        <v>6.18129619550206</v>
      </c>
      <c r="M12" s="534">
        <f t="shared" si="3"/>
        <v>-1</v>
      </c>
      <c r="N12" s="509"/>
      <c r="O12" s="539"/>
      <c r="Q12" s="509"/>
      <c r="X12" s="505"/>
    </row>
    <row r="13" ht="14.1" customHeight="1" spans="1:24">
      <c r="A13" s="516" t="s">
        <v>159</v>
      </c>
      <c r="B13" s="514"/>
      <c r="C13" s="514"/>
      <c r="D13" s="514"/>
      <c r="E13" s="514"/>
      <c r="F13" s="514"/>
      <c r="G13" s="514"/>
      <c r="H13" s="515">
        <f t="shared" si="0"/>
        <v>0</v>
      </c>
      <c r="I13" s="506"/>
      <c r="J13" s="532" t="s">
        <v>159</v>
      </c>
      <c r="K13" s="533">
        <f t="shared" si="1"/>
        <v>0</v>
      </c>
      <c r="L13" s="537">
        <f t="shared" si="2"/>
        <v>6.01992636793106</v>
      </c>
      <c r="M13" s="534">
        <f t="shared" si="3"/>
        <v>-1</v>
      </c>
      <c r="N13" s="509"/>
      <c r="O13" s="539"/>
      <c r="X13" s="505"/>
    </row>
    <row r="14" ht="14.1" customHeight="1" spans="1:24">
      <c r="A14" s="505" t="s">
        <v>15</v>
      </c>
      <c r="B14" s="515">
        <f t="shared" ref="B14:H14" si="4">SUM(B2:B13)</f>
        <v>247354611.1743</v>
      </c>
      <c r="C14" s="515">
        <f t="shared" si="4"/>
        <v>383372539.361</v>
      </c>
      <c r="D14" s="515">
        <f t="shared" si="4"/>
        <v>38807301.6152001</v>
      </c>
      <c r="E14" s="515">
        <f t="shared" si="4"/>
        <v>1124807918.60303</v>
      </c>
      <c r="F14" s="515">
        <f t="shared" si="4"/>
        <v>2526972155.44481</v>
      </c>
      <c r="G14" s="515">
        <f t="shared" si="4"/>
        <v>3304234.2052</v>
      </c>
      <c r="H14" s="515">
        <f t="shared" si="4"/>
        <v>4324618760.40354</v>
      </c>
      <c r="I14" s="506"/>
      <c r="J14" s="540" t="s">
        <v>160</v>
      </c>
      <c r="K14" s="541">
        <f>SUM(K2:K13)</f>
        <v>43.2461876040354</v>
      </c>
      <c r="L14" s="541">
        <f>SUM(L2:L8)</f>
        <v>51.3598589067538</v>
      </c>
      <c r="M14" s="542">
        <f t="shared" si="3"/>
        <v>-0.157976900159503</v>
      </c>
      <c r="N14" s="506">
        <f>K14-L14</f>
        <v>-8.11367130271841</v>
      </c>
      <c r="O14" s="543">
        <f>N14/L14</f>
        <v>-0.157976900159503</v>
      </c>
      <c r="P14" s="509"/>
      <c r="X14" s="505"/>
    </row>
    <row r="15" customHeight="1" spans="9:24">
      <c r="I15" s="509"/>
      <c r="J15" s="544" t="s">
        <v>161</v>
      </c>
      <c r="X15" s="505"/>
    </row>
    <row r="16" ht="16" customHeight="1" spans="1:24">
      <c r="A16" s="510" t="s">
        <v>118</v>
      </c>
      <c r="B16" s="511" t="s">
        <v>137</v>
      </c>
      <c r="C16" s="511" t="s">
        <v>138</v>
      </c>
      <c r="D16" s="511" t="s">
        <v>139</v>
      </c>
      <c r="E16" s="511" t="s">
        <v>140</v>
      </c>
      <c r="F16" s="511" t="s">
        <v>141</v>
      </c>
      <c r="G16" s="511" t="s">
        <v>142</v>
      </c>
      <c r="H16" s="512" t="s">
        <v>143</v>
      </c>
      <c r="J16" s="545" t="s">
        <v>162</v>
      </c>
      <c r="K16" s="753" t="s">
        <v>118</v>
      </c>
      <c r="L16" s="547" t="s">
        <v>119</v>
      </c>
      <c r="M16" s="548" t="s">
        <v>163</v>
      </c>
      <c r="N16" s="548" t="s">
        <v>164</v>
      </c>
      <c r="X16" s="505"/>
    </row>
    <row r="17" customHeight="1" spans="1:24">
      <c r="A17" s="505" t="s">
        <v>148</v>
      </c>
      <c r="B17" s="506">
        <v>163943517.49</v>
      </c>
      <c r="C17" s="506">
        <v>72069321.8000001</v>
      </c>
      <c r="D17" s="506">
        <v>57651168.6100001</v>
      </c>
      <c r="E17" s="506">
        <v>220381040.769999</v>
      </c>
      <c r="F17" s="506">
        <v>324368560.519998</v>
      </c>
      <c r="G17" s="506">
        <v>3015.47</v>
      </c>
      <c r="H17" s="506">
        <v>838416624.659997</v>
      </c>
      <c r="I17" s="509"/>
      <c r="J17" s="549" t="s">
        <v>165</v>
      </c>
      <c r="K17" s="550">
        <f>B14/10000</f>
        <v>24735.46111743</v>
      </c>
      <c r="L17" s="550">
        <f>SUM(B32:B43)/10000</f>
        <v>204213.40442</v>
      </c>
      <c r="M17" s="550">
        <f>K17-L17</f>
        <v>-179477.94330257</v>
      </c>
      <c r="N17" s="551">
        <f t="shared" ref="N17:N22" si="5">M17/L17</f>
        <v>-0.878874449071143</v>
      </c>
      <c r="O17" s="552">
        <f>K17+K18</f>
        <v>63072.71505353</v>
      </c>
      <c r="P17" s="552">
        <f>L17+L18</f>
        <v>288229.303305</v>
      </c>
      <c r="X17" s="505"/>
    </row>
    <row r="18" customHeight="1" spans="1:24">
      <c r="A18" s="505" t="s">
        <v>149</v>
      </c>
      <c r="B18" s="506">
        <v>129020594.8</v>
      </c>
      <c r="C18" s="506">
        <v>78670925.9</v>
      </c>
      <c r="D18" s="506">
        <v>51869184.8900001</v>
      </c>
      <c r="E18" s="506">
        <v>206306234.639997</v>
      </c>
      <c r="F18" s="506">
        <v>296328539.12</v>
      </c>
      <c r="G18" s="506">
        <v>-14984.47</v>
      </c>
      <c r="H18" s="506">
        <v>762180494.879997</v>
      </c>
      <c r="I18" s="509"/>
      <c r="J18" s="549" t="s">
        <v>166</v>
      </c>
      <c r="K18" s="553">
        <f>C14/10000</f>
        <v>38337.2539361</v>
      </c>
      <c r="L18" s="550">
        <f>SUM(C32:C43)/10000</f>
        <v>84015.898885</v>
      </c>
      <c r="M18" s="550">
        <f>K18-L18</f>
        <v>-45678.6449489</v>
      </c>
      <c r="N18" s="551">
        <f t="shared" si="5"/>
        <v>-0.543690486623543</v>
      </c>
      <c r="P18" s="543">
        <f>(O17-P17)/P17</f>
        <v>-0.781171746486902</v>
      </c>
      <c r="X18" s="505"/>
    </row>
    <row r="19" customHeight="1" spans="1:24">
      <c r="A19" s="505" t="s">
        <v>150</v>
      </c>
      <c r="B19" s="506">
        <v>40868842.8299</v>
      </c>
      <c r="C19" s="506">
        <v>40313323.8942</v>
      </c>
      <c r="D19" s="506">
        <v>61579069.369</v>
      </c>
      <c r="E19" s="506">
        <v>240075751.557596</v>
      </c>
      <c r="F19" s="506">
        <v>283860469.120398</v>
      </c>
      <c r="G19" s="506">
        <v>1631435.0886</v>
      </c>
      <c r="H19" s="506">
        <v>668328891.859694</v>
      </c>
      <c r="I19" s="509"/>
      <c r="J19" s="549" t="s">
        <v>13</v>
      </c>
      <c r="K19" s="550">
        <f>D14/10000</f>
        <v>3880.73016152001</v>
      </c>
      <c r="L19" s="550">
        <f>SUM(D32:D43)/10000</f>
        <v>212342.834188</v>
      </c>
      <c r="M19" s="550">
        <f>K19-L19</f>
        <v>-208462.10402648</v>
      </c>
      <c r="N19" s="551">
        <f t="shared" si="5"/>
        <v>-0.981724223582303</v>
      </c>
      <c r="X19" s="505"/>
    </row>
    <row r="20" customHeight="1" spans="1:24">
      <c r="A20" s="505" t="s">
        <v>151</v>
      </c>
      <c r="B20" s="506">
        <v>36836159.79</v>
      </c>
      <c r="C20" s="506">
        <v>30957287.6518001</v>
      </c>
      <c r="D20" s="506">
        <v>31064078.7066</v>
      </c>
      <c r="E20" s="506">
        <v>238618023.681599</v>
      </c>
      <c r="F20" s="506">
        <v>165933396.8196</v>
      </c>
      <c r="G20" s="506">
        <v>44022.4669</v>
      </c>
      <c r="H20" s="506">
        <v>503452969.116499</v>
      </c>
      <c r="I20" s="509"/>
      <c r="J20" s="549" t="s">
        <v>14</v>
      </c>
      <c r="K20" s="553">
        <f>E14/10000</f>
        <v>112480.791860303</v>
      </c>
      <c r="L20" s="550">
        <f>SUM(E32:E43)/10000</f>
        <v>505603.593825101</v>
      </c>
      <c r="M20" s="550">
        <f>K20-L20</f>
        <v>-393122.801964798</v>
      </c>
      <c r="N20" s="551">
        <f t="shared" si="5"/>
        <v>-0.777531660704112</v>
      </c>
      <c r="O20" s="554"/>
      <c r="X20" s="505"/>
    </row>
    <row r="21" customHeight="1" spans="1:24">
      <c r="A21" s="505" t="s">
        <v>152</v>
      </c>
      <c r="B21" s="506">
        <v>36434632.2453999</v>
      </c>
      <c r="C21" s="506">
        <v>80871996.7598</v>
      </c>
      <c r="D21" s="506">
        <v>23162769.8383999</v>
      </c>
      <c r="E21" s="506">
        <v>299485098.251402</v>
      </c>
      <c r="F21" s="506">
        <v>265796868.242201</v>
      </c>
      <c r="G21" s="506">
        <v>-221706.8692</v>
      </c>
      <c r="H21" s="506">
        <v>705529658.468003</v>
      </c>
      <c r="I21" s="509"/>
      <c r="J21" s="549" t="s">
        <v>20</v>
      </c>
      <c r="K21" s="553">
        <f>(F14+G14)/10000</f>
        <v>253027.638965001</v>
      </c>
      <c r="L21" s="550">
        <f>SUM(F32:G43)/10000</f>
        <v>554277.846020388</v>
      </c>
      <c r="M21" s="550">
        <f>K21-L21</f>
        <v>-301250.207055387</v>
      </c>
      <c r="N21" s="551">
        <f t="shared" si="5"/>
        <v>-0.543500356758451</v>
      </c>
      <c r="O21" s="554"/>
      <c r="X21" s="505"/>
    </row>
    <row r="22" customHeight="1" spans="1:24">
      <c r="A22" s="505" t="s">
        <v>153</v>
      </c>
      <c r="B22" s="506">
        <v>77715917.1343998</v>
      </c>
      <c r="C22" s="506">
        <v>92084688.1705998</v>
      </c>
      <c r="D22" s="506">
        <v>14168628.1216001</v>
      </c>
      <c r="E22" s="506">
        <v>348604984.537806</v>
      </c>
      <c r="F22" s="506">
        <v>305240801.876591</v>
      </c>
      <c r="G22" s="506">
        <v>212456.6728</v>
      </c>
      <c r="H22" s="506">
        <v>838027476.513797</v>
      </c>
      <c r="I22" s="509"/>
      <c r="J22" s="555" t="s">
        <v>167</v>
      </c>
      <c r="K22" s="556">
        <f>SUM(K17:K21)</f>
        <v>432461.876040354</v>
      </c>
      <c r="L22" s="556">
        <f>SUM(L17:L21)</f>
        <v>1560453.57733849</v>
      </c>
      <c r="M22" s="556">
        <f>SUM(M17:M21)</f>
        <v>-1127991.70129813</v>
      </c>
      <c r="N22" s="557">
        <f t="shared" si="5"/>
        <v>-0.722861428035583</v>
      </c>
      <c r="O22" s="554"/>
      <c r="X22" s="505"/>
    </row>
    <row r="23" customHeight="1" spans="1:24">
      <c r="A23" s="505" t="s">
        <v>154</v>
      </c>
      <c r="B23" s="506">
        <v>83089796.9037</v>
      </c>
      <c r="C23" s="506">
        <v>132507136.8594</v>
      </c>
      <c r="D23" s="506">
        <v>14913498.4094</v>
      </c>
      <c r="E23" s="506">
        <v>245461081.938804</v>
      </c>
      <c r="F23" s="506">
        <v>336793777.227593</v>
      </c>
      <c r="G23" s="506">
        <v>7284483.8385</v>
      </c>
      <c r="H23" s="506">
        <v>820049775.177397</v>
      </c>
      <c r="I23" s="509"/>
      <c r="K23" s="505"/>
      <c r="M23" s="507"/>
      <c r="N23" s="508"/>
      <c r="O23" s="554"/>
      <c r="X23" s="505"/>
    </row>
    <row r="24" customHeight="1" spans="1:24">
      <c r="A24" s="505" t="s">
        <v>155</v>
      </c>
      <c r="B24" s="506">
        <v>49122371.1324</v>
      </c>
      <c r="C24" s="506">
        <v>66704878.3895999</v>
      </c>
      <c r="D24" s="506">
        <v>25481142.6434001</v>
      </c>
      <c r="E24" s="506">
        <v>300021154.476599</v>
      </c>
      <c r="F24" s="506">
        <v>309069868.520793</v>
      </c>
      <c r="G24" s="506">
        <v>1258291.3668</v>
      </c>
      <c r="H24" s="506">
        <v>751657706.529592</v>
      </c>
      <c r="I24" s="509"/>
      <c r="J24" s="558"/>
      <c r="K24" s="559"/>
      <c r="L24" s="559"/>
      <c r="M24" s="560"/>
      <c r="N24" s="558"/>
      <c r="O24" s="554"/>
      <c r="X24" s="505"/>
    </row>
    <row r="25" customHeight="1" spans="1:24">
      <c r="A25" s="505" t="s">
        <v>156</v>
      </c>
      <c r="B25" s="506">
        <v>29245114.5839</v>
      </c>
      <c r="C25" s="506">
        <v>48236433.2884</v>
      </c>
      <c r="D25" s="506">
        <v>12906205.333</v>
      </c>
      <c r="E25" s="506">
        <v>229287958.091106</v>
      </c>
      <c r="F25" s="506">
        <v>206528963.256403</v>
      </c>
      <c r="G25" s="506">
        <v>-23631.1301</v>
      </c>
      <c r="H25" s="506">
        <v>526181043.422709</v>
      </c>
      <c r="I25" s="509"/>
      <c r="J25" s="561"/>
      <c r="K25" s="562"/>
      <c r="L25" s="562"/>
      <c r="M25" s="563"/>
      <c r="N25" s="558"/>
      <c r="X25" s="505"/>
    </row>
    <row r="26" customHeight="1" spans="1:24">
      <c r="A26" s="505" t="s">
        <v>157</v>
      </c>
      <c r="B26" s="506">
        <v>30810564.6722999</v>
      </c>
      <c r="C26" s="506">
        <v>55595034.6816</v>
      </c>
      <c r="D26" s="506">
        <v>9471714.62860005</v>
      </c>
      <c r="E26" s="506">
        <v>232559810.001407</v>
      </c>
      <c r="F26" s="506">
        <v>261411872.354104</v>
      </c>
      <c r="G26" s="506">
        <v>264707.594</v>
      </c>
      <c r="H26" s="506">
        <v>590113703.932011</v>
      </c>
      <c r="I26" s="509"/>
      <c r="J26" s="561"/>
      <c r="K26" s="564"/>
      <c r="L26" s="564"/>
      <c r="M26" s="565"/>
      <c r="N26" s="558"/>
      <c r="X26" s="505"/>
    </row>
    <row r="27" customHeight="1" spans="1:24">
      <c r="A27" s="505" t="s">
        <v>158</v>
      </c>
      <c r="B27" s="506">
        <v>24768660.2502</v>
      </c>
      <c r="C27" s="506">
        <v>61722499.0854</v>
      </c>
      <c r="D27" s="506">
        <v>6958838.89560002</v>
      </c>
      <c r="E27" s="506">
        <v>258922648.392707</v>
      </c>
      <c r="F27" s="506">
        <v>265623802.746299</v>
      </c>
      <c r="G27" s="506">
        <v>133170.18</v>
      </c>
      <c r="H27" s="506">
        <v>618129619.550206</v>
      </c>
      <c r="I27" s="509"/>
      <c r="J27" s="561"/>
      <c r="K27" s="566"/>
      <c r="L27" s="564"/>
      <c r="M27" s="565"/>
      <c r="N27" s="558"/>
      <c r="X27" s="505"/>
    </row>
    <row r="28" customHeight="1" spans="1:24">
      <c r="A28" s="505" t="s">
        <v>159</v>
      </c>
      <c r="B28" s="506">
        <v>17633354.7082</v>
      </c>
      <c r="C28" s="506">
        <v>34982090.6208001</v>
      </c>
      <c r="D28" s="506">
        <v>6161395.86360005</v>
      </c>
      <c r="E28" s="506">
        <v>264129467.807204</v>
      </c>
      <c r="F28" s="506">
        <v>278777146.993302</v>
      </c>
      <c r="G28" s="506">
        <v>309180.8</v>
      </c>
      <c r="H28" s="506">
        <v>601992636.793106</v>
      </c>
      <c r="I28" s="509"/>
      <c r="J28" s="561"/>
      <c r="K28" s="566"/>
      <c r="L28" s="566"/>
      <c r="M28" s="565"/>
      <c r="N28" s="558"/>
      <c r="X28" s="505"/>
    </row>
    <row r="29" customHeight="1" spans="1:24">
      <c r="A29" s="505" t="s">
        <v>15</v>
      </c>
      <c r="B29" s="506">
        <f t="shared" ref="B29:H29" si="6">SUM(B17:B28)</f>
        <v>719489526.5404</v>
      </c>
      <c r="C29" s="506">
        <f t="shared" si="6"/>
        <v>794715617.1016</v>
      </c>
      <c r="D29" s="506">
        <f t="shared" si="6"/>
        <v>315387695.3092</v>
      </c>
      <c r="E29" s="506">
        <f t="shared" si="6"/>
        <v>3083853254.14623</v>
      </c>
      <c r="F29" s="506">
        <f t="shared" si="6"/>
        <v>3299734066.79728</v>
      </c>
      <c r="G29" s="506">
        <f t="shared" si="6"/>
        <v>10880441.0083</v>
      </c>
      <c r="H29" s="506">
        <f t="shared" si="6"/>
        <v>8224060600.90301</v>
      </c>
      <c r="I29" s="567"/>
      <c r="J29" s="561"/>
      <c r="K29" s="566"/>
      <c r="L29" s="566"/>
      <c r="M29" s="565"/>
      <c r="N29" s="558"/>
      <c r="X29" s="505"/>
    </row>
    <row r="30" customHeight="1" spans="10:24">
      <c r="J30" s="562"/>
      <c r="K30" s="568"/>
      <c r="L30" s="568"/>
      <c r="M30" s="569"/>
      <c r="N30" s="558"/>
      <c r="P30" s="509"/>
      <c r="X30" s="505"/>
    </row>
    <row r="31" customHeight="1" spans="1:24">
      <c r="A31" s="510" t="s">
        <v>119</v>
      </c>
      <c r="B31" s="511" t="s">
        <v>137</v>
      </c>
      <c r="C31" s="511" t="s">
        <v>138</v>
      </c>
      <c r="D31" s="511" t="s">
        <v>139</v>
      </c>
      <c r="E31" s="511" t="s">
        <v>140</v>
      </c>
      <c r="F31" s="511" t="s">
        <v>141</v>
      </c>
      <c r="G31" s="511" t="s">
        <v>142</v>
      </c>
      <c r="H31" s="512" t="s">
        <v>143</v>
      </c>
      <c r="J31" s="562"/>
      <c r="K31" s="570"/>
      <c r="L31" s="568"/>
      <c r="M31" s="565"/>
      <c r="N31" s="558"/>
      <c r="P31" s="509"/>
      <c r="X31" s="505"/>
    </row>
    <row r="32" customHeight="1" spans="1:18">
      <c r="A32" s="513" t="s">
        <v>148</v>
      </c>
      <c r="B32" s="514">
        <v>107557492.73</v>
      </c>
      <c r="C32" s="514">
        <v>122302080.77</v>
      </c>
      <c r="D32" s="514">
        <v>292787498.74</v>
      </c>
      <c r="E32" s="514">
        <v>488369836.129999</v>
      </c>
      <c r="F32" s="514">
        <v>329169483.439999</v>
      </c>
      <c r="G32" s="514">
        <v>5629439.64</v>
      </c>
      <c r="H32" s="515">
        <f t="shared" ref="H32:H43" si="7">SUM(B32:G32)</f>
        <v>1345815831.45</v>
      </c>
      <c r="J32" s="562"/>
      <c r="K32" s="571"/>
      <c r="L32" s="568"/>
      <c r="M32" s="560"/>
      <c r="N32" s="558"/>
      <c r="R32" s="509"/>
    </row>
    <row r="33" customHeight="1" spans="1:18">
      <c r="A33" s="513" t="s">
        <v>149</v>
      </c>
      <c r="B33" s="514">
        <v>86491645.4599999</v>
      </c>
      <c r="C33" s="514">
        <v>48095782.1400001</v>
      </c>
      <c r="D33" s="514">
        <v>384173803.15</v>
      </c>
      <c r="E33" s="514">
        <v>450179641.69</v>
      </c>
      <c r="F33" s="514">
        <v>350043717.713897</v>
      </c>
      <c r="G33" s="514">
        <v>7076.29</v>
      </c>
      <c r="H33" s="515">
        <f t="shared" si="7"/>
        <v>1318991666.4439</v>
      </c>
      <c r="J33" s="562"/>
      <c r="K33" s="571"/>
      <c r="L33" s="570"/>
      <c r="M33" s="561"/>
      <c r="N33" s="561"/>
      <c r="R33" s="509"/>
    </row>
    <row r="34" customHeight="1" spans="1:14">
      <c r="A34" s="513" t="s">
        <v>150</v>
      </c>
      <c r="B34" s="514">
        <v>108809396.84</v>
      </c>
      <c r="C34" s="514">
        <v>67960160.9899999</v>
      </c>
      <c r="D34" s="514">
        <v>406960165.010002</v>
      </c>
      <c r="E34" s="514">
        <f>481032330.11-13500000</f>
        <v>467532330.11</v>
      </c>
      <c r="F34" s="514">
        <v>482391420.560001</v>
      </c>
      <c r="G34" s="514">
        <v>-551189.73</v>
      </c>
      <c r="H34" s="515">
        <f t="shared" si="7"/>
        <v>1533102283.78</v>
      </c>
      <c r="J34" s="562"/>
      <c r="K34" s="571"/>
      <c r="L34" s="568"/>
      <c r="M34" s="568"/>
      <c r="N34" s="560"/>
    </row>
    <row r="35" customHeight="1" spans="1:14">
      <c r="A35" s="513" t="s">
        <v>151</v>
      </c>
      <c r="B35" s="514">
        <v>205082796.169999</v>
      </c>
      <c r="C35" s="514">
        <v>45919677.8099999</v>
      </c>
      <c r="D35" s="514">
        <v>149089578.54</v>
      </c>
      <c r="E35" s="514">
        <f>398767570-12500000</f>
        <v>386267570</v>
      </c>
      <c r="F35" s="514">
        <v>466169050.759996</v>
      </c>
      <c r="G35" s="514">
        <v>4267.31</v>
      </c>
      <c r="H35" s="515">
        <f t="shared" si="7"/>
        <v>1252532940.58999</v>
      </c>
      <c r="J35" s="562"/>
      <c r="K35" s="571"/>
      <c r="L35" s="568"/>
      <c r="M35" s="568"/>
      <c r="N35" s="560"/>
    </row>
    <row r="36" customHeight="1" spans="1:14">
      <c r="A36" s="513" t="s">
        <v>152</v>
      </c>
      <c r="B36" s="514">
        <v>332630030.820001</v>
      </c>
      <c r="C36" s="514">
        <v>106723838.75</v>
      </c>
      <c r="D36" s="514">
        <v>145548242.669999</v>
      </c>
      <c r="E36" s="514">
        <v>348069152.049997</v>
      </c>
      <c r="F36" s="514">
        <v>545760499.349998</v>
      </c>
      <c r="G36" s="514">
        <v>-17436.15</v>
      </c>
      <c r="H36" s="515">
        <f t="shared" si="7"/>
        <v>1478714327.49</v>
      </c>
      <c r="J36" s="562"/>
      <c r="K36" s="571"/>
      <c r="L36" s="568"/>
      <c r="M36" s="568"/>
      <c r="N36" s="560"/>
    </row>
    <row r="37" customHeight="1" spans="1:15">
      <c r="A37" s="513" t="s">
        <v>153</v>
      </c>
      <c r="B37" s="514">
        <v>284603261.27</v>
      </c>
      <c r="C37" s="514">
        <v>38830643.2099999</v>
      </c>
      <c r="D37" s="514">
        <v>186964078.92</v>
      </c>
      <c r="E37" s="514">
        <v>405828570.860998</v>
      </c>
      <c r="F37" s="514">
        <v>657440358.870003</v>
      </c>
      <c r="G37" s="514">
        <v>2100.07</v>
      </c>
      <c r="H37" s="515">
        <f t="shared" si="7"/>
        <v>1573669013.201</v>
      </c>
      <c r="I37" s="506"/>
      <c r="J37" s="562"/>
      <c r="K37" s="571"/>
      <c r="L37" s="568"/>
      <c r="M37" s="568"/>
      <c r="N37" s="560"/>
      <c r="O37" s="558"/>
    </row>
    <row r="38" customHeight="1" spans="1:15">
      <c r="A38" s="513" t="s">
        <v>154</v>
      </c>
      <c r="B38" s="514">
        <v>212376294.59</v>
      </c>
      <c r="C38" s="514">
        <v>68821147.3400001</v>
      </c>
      <c r="D38" s="514">
        <v>125919623.99</v>
      </c>
      <c r="E38" s="514">
        <v>354181363.379996</v>
      </c>
      <c r="F38" s="514">
        <v>552826201.439998</v>
      </c>
      <c r="G38" s="514">
        <v>10513.11</v>
      </c>
      <c r="H38" s="515">
        <f t="shared" si="7"/>
        <v>1314135143.84999</v>
      </c>
      <c r="I38" s="506"/>
      <c r="J38" s="562"/>
      <c r="K38" s="568"/>
      <c r="L38" s="568"/>
      <c r="M38" s="568"/>
      <c r="N38" s="560"/>
      <c r="O38" s="558"/>
    </row>
    <row r="39" customHeight="1" spans="1:15">
      <c r="A39" s="516" t="s">
        <v>155</v>
      </c>
      <c r="B39" s="514">
        <v>205236245.05</v>
      </c>
      <c r="C39" s="514">
        <v>114206366.7</v>
      </c>
      <c r="D39" s="514">
        <v>123421804.05</v>
      </c>
      <c r="E39" s="514">
        <v>418234180.880004</v>
      </c>
      <c r="F39" s="514">
        <v>611020033.029997</v>
      </c>
      <c r="G39" s="514">
        <v>2183.91</v>
      </c>
      <c r="H39" s="515">
        <f t="shared" si="7"/>
        <v>1472120813.62</v>
      </c>
      <c r="J39" s="562"/>
      <c r="K39" s="568"/>
      <c r="L39" s="568"/>
      <c r="M39" s="568"/>
      <c r="N39" s="560"/>
      <c r="O39" s="558"/>
    </row>
    <row r="40" customHeight="1" spans="1:24">
      <c r="A40" s="516" t="s">
        <v>156</v>
      </c>
      <c r="B40" s="514">
        <v>213534864.600001</v>
      </c>
      <c r="C40" s="514">
        <v>51971549.0599999</v>
      </c>
      <c r="D40" s="514">
        <v>97829883.9299994</v>
      </c>
      <c r="E40" s="514">
        <v>397071659.690009</v>
      </c>
      <c r="F40" s="514">
        <v>499359279.549996</v>
      </c>
      <c r="G40" s="514">
        <v>6539.06</v>
      </c>
      <c r="H40" s="515">
        <f t="shared" si="7"/>
        <v>1259773775.89001</v>
      </c>
      <c r="J40" s="558"/>
      <c r="K40" s="568"/>
      <c r="L40" s="568"/>
      <c r="M40" s="560"/>
      <c r="N40" s="558"/>
      <c r="O40" s="558"/>
      <c r="W40" s="509"/>
      <c r="X40" s="505"/>
    </row>
    <row r="41" customHeight="1" spans="1:24">
      <c r="A41" s="516" t="s">
        <v>157</v>
      </c>
      <c r="B41" s="514">
        <v>89061954.93</v>
      </c>
      <c r="C41" s="514">
        <v>36377219.8600001</v>
      </c>
      <c r="D41" s="514">
        <v>72310872.9799998</v>
      </c>
      <c r="E41" s="514">
        <v>399563017.420002</v>
      </c>
      <c r="F41" s="514">
        <v>365983218.969997</v>
      </c>
      <c r="G41" s="514">
        <v>-70181.51</v>
      </c>
      <c r="H41" s="515">
        <f t="shared" si="7"/>
        <v>963226102.649999</v>
      </c>
      <c r="J41" s="558"/>
      <c r="K41" s="568"/>
      <c r="L41" s="568"/>
      <c r="M41" s="560"/>
      <c r="N41" s="558"/>
      <c r="O41" s="558"/>
      <c r="W41" s="509"/>
      <c r="X41" s="505"/>
    </row>
    <row r="42" customHeight="1" spans="1:24">
      <c r="A42" s="516" t="s">
        <v>158</v>
      </c>
      <c r="B42" s="514">
        <v>105026723.44</v>
      </c>
      <c r="C42" s="514">
        <v>94398013.12</v>
      </c>
      <c r="D42" s="514">
        <v>80242668.3599996</v>
      </c>
      <c r="E42" s="514">
        <f>538146990.5-16000000</f>
        <v>522146990.5</v>
      </c>
      <c r="F42" s="514">
        <v>343434776.169998</v>
      </c>
      <c r="G42" s="514">
        <v>-71757.87</v>
      </c>
      <c r="H42" s="515">
        <f t="shared" si="7"/>
        <v>1145177413.72</v>
      </c>
      <c r="J42" s="558"/>
      <c r="K42" s="568"/>
      <c r="L42" s="568"/>
      <c r="M42" s="560"/>
      <c r="N42" s="558"/>
      <c r="O42" s="558"/>
      <c r="W42" s="509"/>
      <c r="X42" s="505"/>
    </row>
    <row r="43" customHeight="1" spans="1:24">
      <c r="A43" s="516" t="s">
        <v>159</v>
      </c>
      <c r="B43" s="514">
        <v>91723338.2999997</v>
      </c>
      <c r="C43" s="514">
        <v>44552509.1</v>
      </c>
      <c r="D43" s="514">
        <v>58180121.54</v>
      </c>
      <c r="E43" s="514">
        <v>418591625.540005</v>
      </c>
      <c r="F43" s="514">
        <v>334238969.429998</v>
      </c>
      <c r="G43" s="514">
        <v>-10103.2099999999</v>
      </c>
      <c r="H43" s="515">
        <f t="shared" si="7"/>
        <v>947276460.700003</v>
      </c>
      <c r="J43" s="558"/>
      <c r="K43" s="568"/>
      <c r="L43" s="568"/>
      <c r="M43" s="560"/>
      <c r="N43" s="558"/>
      <c r="O43" s="558"/>
      <c r="W43" s="509"/>
      <c r="X43" s="505"/>
    </row>
    <row r="44" customHeight="1" spans="1:24">
      <c r="A44" s="505" t="s">
        <v>15</v>
      </c>
      <c r="B44" s="515">
        <f t="shared" ref="B44:H44" si="8">SUM(B32:B43)</f>
        <v>2042134044.2</v>
      </c>
      <c r="C44" s="515">
        <f t="shared" si="8"/>
        <v>840158988.85</v>
      </c>
      <c r="D44" s="515">
        <f t="shared" si="8"/>
        <v>2123428341.88</v>
      </c>
      <c r="E44" s="515">
        <f t="shared" si="8"/>
        <v>5056035938.25101</v>
      </c>
      <c r="F44" s="515">
        <f t="shared" si="8"/>
        <v>5537837009.28388</v>
      </c>
      <c r="G44" s="515">
        <f t="shared" si="8"/>
        <v>4941450.92</v>
      </c>
      <c r="H44" s="515">
        <f t="shared" si="8"/>
        <v>15604535773.3849</v>
      </c>
      <c r="J44" s="558"/>
      <c r="K44" s="558"/>
      <c r="L44" s="568"/>
      <c r="M44" s="558"/>
      <c r="N44" s="560"/>
      <c r="O44" s="558"/>
      <c r="W44" s="509"/>
      <c r="X44" s="505"/>
    </row>
    <row r="45" customHeight="1" spans="10:24">
      <c r="J45" s="566"/>
      <c r="K45" s="566"/>
      <c r="L45" s="568"/>
      <c r="M45" s="568"/>
      <c r="N45" s="560"/>
      <c r="O45" s="558"/>
      <c r="W45" s="509"/>
      <c r="X45" s="505"/>
    </row>
    <row r="46" customHeight="1" spans="1:24">
      <c r="A46" s="510" t="s">
        <v>168</v>
      </c>
      <c r="B46" s="511" t="s">
        <v>137</v>
      </c>
      <c r="C46" s="511" t="s">
        <v>138</v>
      </c>
      <c r="D46" s="511" t="s">
        <v>139</v>
      </c>
      <c r="E46" s="511" t="s">
        <v>140</v>
      </c>
      <c r="F46" s="511" t="s">
        <v>141</v>
      </c>
      <c r="G46" s="511" t="s">
        <v>142</v>
      </c>
      <c r="H46" s="512" t="s">
        <v>143</v>
      </c>
      <c r="J46" s="566"/>
      <c r="K46" s="566"/>
      <c r="L46" s="568"/>
      <c r="M46" s="568"/>
      <c r="N46" s="560"/>
      <c r="O46" s="558"/>
      <c r="W46" s="509"/>
      <c r="X46" s="505"/>
    </row>
    <row r="47" customHeight="1" spans="1:24">
      <c r="A47" s="513" t="s">
        <v>148</v>
      </c>
      <c r="B47" s="514">
        <v>106286558.57</v>
      </c>
      <c r="C47" s="514">
        <v>49334661.54</v>
      </c>
      <c r="D47" s="514">
        <v>411499683.24</v>
      </c>
      <c r="E47" s="514">
        <v>324320448.29</v>
      </c>
      <c r="F47" s="514">
        <v>176261422.86</v>
      </c>
      <c r="G47" s="514">
        <v>894328.11</v>
      </c>
      <c r="H47" s="515">
        <f t="shared" ref="H47:H58" si="9">SUM(B47:G47)</f>
        <v>1068597102.61</v>
      </c>
      <c r="J47" s="509"/>
      <c r="K47" s="509"/>
      <c r="M47" s="507"/>
      <c r="N47" s="508"/>
      <c r="O47" s="558"/>
      <c r="W47" s="509"/>
      <c r="X47" s="505"/>
    </row>
    <row r="48" customHeight="1" spans="1:24">
      <c r="A48" s="513" t="s">
        <v>149</v>
      </c>
      <c r="B48" s="517">
        <v>81731963.73</v>
      </c>
      <c r="C48" s="517">
        <v>59033084.29</v>
      </c>
      <c r="D48" s="517">
        <v>311522771.29</v>
      </c>
      <c r="E48" s="517">
        <v>252338031.33</v>
      </c>
      <c r="F48" s="517">
        <v>150052423.28</v>
      </c>
      <c r="G48" s="517">
        <v>856069.92</v>
      </c>
      <c r="H48" s="518">
        <f t="shared" si="9"/>
        <v>855534343.84</v>
      </c>
      <c r="J48" s="509"/>
      <c r="K48" s="509"/>
      <c r="M48" s="507"/>
      <c r="N48" s="508"/>
      <c r="O48" s="558"/>
      <c r="W48" s="509"/>
      <c r="X48" s="505"/>
    </row>
    <row r="49" customHeight="1" spans="1:24">
      <c r="A49" s="513" t="s">
        <v>150</v>
      </c>
      <c r="B49" s="517">
        <v>68949704.92</v>
      </c>
      <c r="C49" s="517">
        <v>52199438.62</v>
      </c>
      <c r="D49" s="517">
        <v>428174820</v>
      </c>
      <c r="E49" s="517">
        <v>443804590.11</v>
      </c>
      <c r="F49" s="517">
        <v>326110440.93</v>
      </c>
      <c r="G49" s="517">
        <v>578178.04</v>
      </c>
      <c r="H49" s="517">
        <f t="shared" si="9"/>
        <v>1319817172.62</v>
      </c>
      <c r="J49" s="509"/>
      <c r="K49" s="509"/>
      <c r="M49" s="507"/>
      <c r="N49" s="508"/>
      <c r="O49" s="558"/>
      <c r="W49" s="509"/>
      <c r="X49" s="505"/>
    </row>
    <row r="50" customHeight="1" spans="1:24">
      <c r="A50" s="513" t="s">
        <v>151</v>
      </c>
      <c r="B50" s="517">
        <v>82097861.6699998</v>
      </c>
      <c r="C50" s="517">
        <v>59964830.6100001</v>
      </c>
      <c r="D50" s="517">
        <v>452944424.830002</v>
      </c>
      <c r="E50" s="517">
        <f>361973606.9-12300000</f>
        <v>349673606.9</v>
      </c>
      <c r="F50" s="517">
        <v>261568297.180001</v>
      </c>
      <c r="G50" s="517">
        <v>44980.76</v>
      </c>
      <c r="H50" s="518">
        <f t="shared" si="9"/>
        <v>1206294001.95</v>
      </c>
      <c r="J50" s="509"/>
      <c r="K50" s="509"/>
      <c r="M50" s="507"/>
      <c r="N50" s="508"/>
      <c r="O50" s="558"/>
      <c r="W50" s="509"/>
      <c r="X50" s="505"/>
    </row>
    <row r="51" customHeight="1" spans="1:24">
      <c r="A51" s="513" t="s">
        <v>152</v>
      </c>
      <c r="B51" s="519">
        <v>55852182.77</v>
      </c>
      <c r="C51" s="519">
        <v>36339220.43</v>
      </c>
      <c r="D51" s="519">
        <v>531110004.25</v>
      </c>
      <c r="E51" s="519">
        <f>400628075.79-9810000</f>
        <v>390818075.79</v>
      </c>
      <c r="F51" s="519">
        <v>325277594.66</v>
      </c>
      <c r="G51" s="519">
        <v>-446223.78</v>
      </c>
      <c r="H51" s="520">
        <f t="shared" si="9"/>
        <v>1338950854.12</v>
      </c>
      <c r="J51" s="509"/>
      <c r="K51" s="509"/>
      <c r="M51" s="507"/>
      <c r="N51" s="508"/>
      <c r="O51" s="558"/>
      <c r="W51" s="509"/>
      <c r="X51" s="505"/>
    </row>
    <row r="52" customHeight="1" spans="1:24">
      <c r="A52" s="513" t="s">
        <v>153</v>
      </c>
      <c r="B52" s="517">
        <f>59490703.87-254581.5</f>
        <v>59236122.37</v>
      </c>
      <c r="C52" s="517">
        <v>47835530.6748</v>
      </c>
      <c r="D52" s="517">
        <v>483649744.806201</v>
      </c>
      <c r="E52" s="517">
        <f>503007520.016201+254581.5</f>
        <v>503262101.516201</v>
      </c>
      <c r="F52" s="517">
        <v>341073385.850001</v>
      </c>
      <c r="G52" s="517">
        <v>552492.09</v>
      </c>
      <c r="H52" s="518">
        <f t="shared" si="9"/>
        <v>1435609377.3072</v>
      </c>
      <c r="J52" s="509"/>
      <c r="K52" s="509"/>
      <c r="M52" s="507"/>
      <c r="N52" s="508"/>
      <c r="W52" s="509"/>
      <c r="X52" s="505"/>
    </row>
    <row r="53" customHeight="1" spans="1:24">
      <c r="A53" s="513" t="s">
        <v>154</v>
      </c>
      <c r="B53" s="517">
        <v>66359182.19</v>
      </c>
      <c r="C53" s="517">
        <v>60352823.18</v>
      </c>
      <c r="D53" s="517">
        <v>411794533.600002</v>
      </c>
      <c r="E53" s="517">
        <v>390999598.33</v>
      </c>
      <c r="F53" s="517">
        <v>273829785.97</v>
      </c>
      <c r="G53" s="517">
        <v>291083.16</v>
      </c>
      <c r="H53" s="518">
        <f t="shared" si="9"/>
        <v>1203627006.43</v>
      </c>
      <c r="J53" s="509"/>
      <c r="K53" s="509"/>
      <c r="M53" s="507"/>
      <c r="N53" s="508"/>
      <c r="W53" s="509"/>
      <c r="X53" s="505"/>
    </row>
    <row r="54" customHeight="1" spans="1:24">
      <c r="A54" s="516" t="s">
        <v>155</v>
      </c>
      <c r="B54" s="517">
        <v>55137036.99</v>
      </c>
      <c r="C54" s="517">
        <v>38587463.45</v>
      </c>
      <c r="D54" s="517">
        <v>386544791.49</v>
      </c>
      <c r="E54" s="517">
        <v>512194032.320002</v>
      </c>
      <c r="F54" s="517">
        <v>341532215.970001</v>
      </c>
      <c r="G54" s="517">
        <v>391988.85</v>
      </c>
      <c r="H54" s="518">
        <f t="shared" si="9"/>
        <v>1334387529.07</v>
      </c>
      <c r="J54" s="509"/>
      <c r="K54" s="509"/>
      <c r="M54" s="507"/>
      <c r="N54" s="508"/>
      <c r="W54" s="509"/>
      <c r="X54" s="505"/>
    </row>
    <row r="55" customHeight="1" spans="1:24">
      <c r="A55" s="516" t="s">
        <v>156</v>
      </c>
      <c r="B55" s="517">
        <v>59130088.86</v>
      </c>
      <c r="C55" s="517">
        <v>46932898.4300001</v>
      </c>
      <c r="D55" s="517">
        <v>493176495.290003</v>
      </c>
      <c r="E55" s="517">
        <v>604887920.939998</v>
      </c>
      <c r="F55" s="517">
        <v>283534678.800001</v>
      </c>
      <c r="G55" s="517">
        <v>15737.1</v>
      </c>
      <c r="H55" s="518">
        <f t="shared" si="9"/>
        <v>1487677819.42</v>
      </c>
      <c r="J55" s="509"/>
      <c r="K55" s="509"/>
      <c r="M55" s="507"/>
      <c r="N55" s="508"/>
      <c r="W55" s="509"/>
      <c r="X55" s="505"/>
    </row>
    <row r="56" customHeight="1" spans="1:24">
      <c r="A56" s="516" t="s">
        <v>157</v>
      </c>
      <c r="B56" s="517">
        <v>74161420.6300001</v>
      </c>
      <c r="C56" s="517">
        <v>56402488.25</v>
      </c>
      <c r="D56" s="517">
        <v>438868058.340002</v>
      </c>
      <c r="E56" s="517">
        <v>514166461.71</v>
      </c>
      <c r="F56" s="517">
        <v>346944644.509999</v>
      </c>
      <c r="G56" s="517">
        <v>46382.15</v>
      </c>
      <c r="H56" s="517">
        <f t="shared" si="9"/>
        <v>1430589455.59</v>
      </c>
      <c r="J56" s="509"/>
      <c r="K56" s="509"/>
      <c r="M56" s="507"/>
      <c r="N56" s="508"/>
      <c r="W56" s="509"/>
      <c r="X56" s="505"/>
    </row>
    <row r="57" customHeight="1" spans="1:24">
      <c r="A57" s="516" t="s">
        <v>158</v>
      </c>
      <c r="B57" s="517">
        <v>70812756.1427003</v>
      </c>
      <c r="C57" s="517">
        <v>103854440.126</v>
      </c>
      <c r="D57" s="517">
        <v>458921101.3562</v>
      </c>
      <c r="E57" s="517">
        <v>700398559.530894</v>
      </c>
      <c r="F57" s="517">
        <v>414654955.702898</v>
      </c>
      <c r="G57" s="517">
        <v>7416.82</v>
      </c>
      <c r="H57" s="518">
        <f t="shared" si="9"/>
        <v>1748649229.67869</v>
      </c>
      <c r="J57" s="509"/>
      <c r="K57" s="509"/>
      <c r="L57" s="509"/>
      <c r="M57" s="509"/>
      <c r="N57" s="508"/>
      <c r="W57" s="509"/>
      <c r="X57" s="505"/>
    </row>
    <row r="58" customHeight="1" spans="1:24">
      <c r="A58" s="516" t="s">
        <v>159</v>
      </c>
      <c r="B58" s="517">
        <v>81908478.4200001</v>
      </c>
      <c r="C58" s="517">
        <v>81317262.1100001</v>
      </c>
      <c r="D58" s="517">
        <v>360092748.630003</v>
      </c>
      <c r="E58" s="517">
        <v>777081579.299998</v>
      </c>
      <c r="F58" s="517">
        <v>410548124.819995</v>
      </c>
      <c r="G58" s="517">
        <v>1747578.08</v>
      </c>
      <c r="H58" s="518">
        <f t="shared" si="9"/>
        <v>1712695771.36</v>
      </c>
      <c r="K58" s="505"/>
      <c r="M58" s="507"/>
      <c r="N58" s="508"/>
      <c r="W58" s="509"/>
      <c r="X58" s="505"/>
    </row>
    <row r="59" customHeight="1" spans="1:24">
      <c r="A59" s="505" t="s">
        <v>15</v>
      </c>
      <c r="B59" s="515">
        <f t="shared" ref="B59:H59" si="10">SUM(B47:B58)</f>
        <v>861663357.2627</v>
      </c>
      <c r="C59" s="515">
        <f t="shared" si="10"/>
        <v>692154141.7108</v>
      </c>
      <c r="D59" s="515">
        <f t="shared" si="10"/>
        <v>5168299177.12241</v>
      </c>
      <c r="E59" s="515">
        <f t="shared" si="10"/>
        <v>5763945006.06709</v>
      </c>
      <c r="F59" s="515">
        <f t="shared" si="10"/>
        <v>3651387970.5329</v>
      </c>
      <c r="G59" s="515">
        <f t="shared" si="10"/>
        <v>4980011.3</v>
      </c>
      <c r="H59" s="515">
        <f t="shared" si="10"/>
        <v>16142429663.9959</v>
      </c>
      <c r="K59" s="505"/>
      <c r="M59" s="507"/>
      <c r="N59" s="508"/>
      <c r="W59" s="509"/>
      <c r="X59" s="505"/>
    </row>
    <row r="60" customHeight="1" spans="11:24">
      <c r="K60" s="505"/>
      <c r="M60" s="507"/>
      <c r="N60" s="508"/>
      <c r="W60" s="509"/>
      <c r="X60" s="505"/>
    </row>
    <row r="61" customHeight="1" spans="1:24">
      <c r="A61" s="521" t="s">
        <v>169</v>
      </c>
      <c r="B61" s="522" t="s">
        <v>137</v>
      </c>
      <c r="C61" s="522" t="s">
        <v>138</v>
      </c>
      <c r="D61" s="522" t="s">
        <v>139</v>
      </c>
      <c r="E61" s="522" t="s">
        <v>140</v>
      </c>
      <c r="F61" s="522" t="s">
        <v>141</v>
      </c>
      <c r="G61" s="522" t="s">
        <v>142</v>
      </c>
      <c r="H61" s="523" t="s">
        <v>143</v>
      </c>
      <c r="K61" s="505"/>
      <c r="M61" s="507"/>
      <c r="N61" s="508"/>
      <c r="W61" s="509"/>
      <c r="X61" s="505"/>
    </row>
    <row r="62" customHeight="1" spans="1:24">
      <c r="A62" s="513" t="s">
        <v>148</v>
      </c>
      <c r="B62" s="515">
        <v>98172535.05</v>
      </c>
      <c r="C62" s="515">
        <v>37487306.78</v>
      </c>
      <c r="D62" s="515">
        <v>736854452.95</v>
      </c>
      <c r="E62" s="515">
        <v>267719019.47</v>
      </c>
      <c r="F62" s="515">
        <v>125479896.29</v>
      </c>
      <c r="G62" s="515">
        <v>9730</v>
      </c>
      <c r="H62" s="515">
        <f t="shared" ref="H62:H73" si="11">SUM(B62:G62)</f>
        <v>1265722940.54</v>
      </c>
      <c r="K62" s="505"/>
      <c r="M62" s="507"/>
      <c r="N62" s="508"/>
      <c r="W62" s="509"/>
      <c r="X62" s="505"/>
    </row>
    <row r="63" customHeight="1" spans="1:24">
      <c r="A63" s="524" t="s">
        <v>149</v>
      </c>
      <c r="B63" s="518">
        <v>114387060.05</v>
      </c>
      <c r="C63" s="518">
        <v>56178179.21</v>
      </c>
      <c r="D63" s="518">
        <v>771067645.949999</v>
      </c>
      <c r="E63" s="518">
        <v>253851198.07</v>
      </c>
      <c r="F63" s="518">
        <v>69655650.32</v>
      </c>
      <c r="G63" s="518">
        <v>-174.89</v>
      </c>
      <c r="H63" s="518">
        <f t="shared" si="11"/>
        <v>1265139558.71</v>
      </c>
      <c r="W63" s="509"/>
      <c r="X63" s="505"/>
    </row>
    <row r="64" customHeight="1" spans="1:24">
      <c r="A64" s="524" t="s">
        <v>150</v>
      </c>
      <c r="B64" s="518">
        <v>70384911.25</v>
      </c>
      <c r="C64" s="518">
        <v>47302805.1</v>
      </c>
      <c r="D64" s="518">
        <v>1113773327.37</v>
      </c>
      <c r="E64" s="518">
        <v>284160004.76</v>
      </c>
      <c r="F64" s="518">
        <v>156071855.86</v>
      </c>
      <c r="G64" s="518">
        <v>5272.5</v>
      </c>
      <c r="H64" s="518">
        <f t="shared" si="11"/>
        <v>1671698176.84</v>
      </c>
      <c r="W64" s="509"/>
      <c r="X64" s="505"/>
    </row>
    <row r="65" customHeight="1" spans="1:24">
      <c r="A65" s="524" t="s">
        <v>151</v>
      </c>
      <c r="B65" s="517">
        <v>68783210.57</v>
      </c>
      <c r="C65" s="517">
        <v>52890399.92</v>
      </c>
      <c r="D65" s="517">
        <v>1009117475.34</v>
      </c>
      <c r="E65" s="517">
        <v>332600772.95</v>
      </c>
      <c r="F65" s="517">
        <v>101815672.89</v>
      </c>
      <c r="G65" s="517">
        <v>12505.89</v>
      </c>
      <c r="H65" s="517">
        <f t="shared" si="11"/>
        <v>1565220037.56</v>
      </c>
      <c r="W65" s="509"/>
      <c r="X65" s="505"/>
    </row>
    <row r="66" customHeight="1" spans="1:24">
      <c r="A66" s="524" t="s">
        <v>152</v>
      </c>
      <c r="B66" s="518">
        <v>71144737.87</v>
      </c>
      <c r="C66" s="518">
        <v>75569780.68</v>
      </c>
      <c r="D66" s="518">
        <v>1295513108.28</v>
      </c>
      <c r="E66" s="518">
        <v>404430492.35</v>
      </c>
      <c r="F66" s="518">
        <v>95654370.28</v>
      </c>
      <c r="G66" s="518">
        <v>1266214.11</v>
      </c>
      <c r="H66" s="518">
        <f t="shared" si="11"/>
        <v>1943578703.57</v>
      </c>
      <c r="W66" s="509"/>
      <c r="X66" s="505"/>
    </row>
    <row r="67" customHeight="1" spans="1:24">
      <c r="A67" s="524" t="s">
        <v>153</v>
      </c>
      <c r="B67" s="518">
        <v>57392748.9</v>
      </c>
      <c r="C67" s="518">
        <v>59049683.05</v>
      </c>
      <c r="D67" s="518">
        <v>1422023885.95</v>
      </c>
      <c r="E67" s="518">
        <v>604717417.69</v>
      </c>
      <c r="F67" s="518">
        <v>120706821.68</v>
      </c>
      <c r="G67" s="518">
        <v>4245818.01</v>
      </c>
      <c r="H67" s="518">
        <f t="shared" si="11"/>
        <v>2268136375.28</v>
      </c>
      <c r="W67" s="509"/>
      <c r="X67" s="505"/>
    </row>
    <row r="68" customHeight="1" spans="1:24">
      <c r="A68" s="524" t="s">
        <v>154</v>
      </c>
      <c r="B68" s="517">
        <v>76256395.6895</v>
      </c>
      <c r="C68" s="517">
        <v>79506145.7498</v>
      </c>
      <c r="D68" s="517">
        <v>1470917477.5084</v>
      </c>
      <c r="E68" s="517">
        <v>480601605.5</v>
      </c>
      <c r="F68" s="517">
        <v>92196914.4</v>
      </c>
      <c r="G68" s="517">
        <v>2850602.39</v>
      </c>
      <c r="H68" s="518">
        <f t="shared" si="11"/>
        <v>2202329141.2377</v>
      </c>
      <c r="W68" s="509"/>
      <c r="X68" s="505"/>
    </row>
    <row r="69" customHeight="1" spans="1:24">
      <c r="A69" s="524" t="s">
        <v>155</v>
      </c>
      <c r="B69" s="518">
        <v>64988387.58</v>
      </c>
      <c r="C69" s="518">
        <v>71531281.51</v>
      </c>
      <c r="D69" s="518">
        <v>1853729243.90001</v>
      </c>
      <c r="E69" s="518">
        <v>577447332.260002</v>
      </c>
      <c r="F69" s="518">
        <v>118042390.52</v>
      </c>
      <c r="G69" s="518">
        <v>2012128.48</v>
      </c>
      <c r="H69" s="518">
        <f t="shared" si="11"/>
        <v>2687750764.25001</v>
      </c>
      <c r="W69" s="509"/>
      <c r="X69" s="505"/>
    </row>
    <row r="70" customHeight="1" spans="1:24">
      <c r="A70" s="572" t="s">
        <v>156</v>
      </c>
      <c r="B70" s="518">
        <v>47999699.1</v>
      </c>
      <c r="C70" s="518">
        <v>37566406.49</v>
      </c>
      <c r="D70" s="518">
        <v>865686917.739997</v>
      </c>
      <c r="E70" s="518">
        <v>658615747.360004</v>
      </c>
      <c r="F70" s="518">
        <v>165338138.129999</v>
      </c>
      <c r="G70" s="518">
        <v>1919602.21</v>
      </c>
      <c r="H70" s="518">
        <f t="shared" si="11"/>
        <v>1777126511.03</v>
      </c>
      <c r="W70" s="509"/>
      <c r="X70" s="505"/>
    </row>
    <row r="71" customHeight="1" spans="1:24">
      <c r="A71" s="572" t="s">
        <v>157</v>
      </c>
      <c r="B71" s="517">
        <v>50055573.69</v>
      </c>
      <c r="C71" s="517">
        <v>36047800.88</v>
      </c>
      <c r="D71" s="517">
        <v>750216564.680005</v>
      </c>
      <c r="E71" s="517">
        <v>422256292.120003</v>
      </c>
      <c r="F71" s="517">
        <v>157525909.84</v>
      </c>
      <c r="G71" s="517">
        <v>20933.32</v>
      </c>
      <c r="H71" s="517">
        <f t="shared" si="11"/>
        <v>1416123074.53001</v>
      </c>
      <c r="I71" s="509"/>
      <c r="W71" s="509"/>
      <c r="X71" s="505"/>
    </row>
    <row r="72" customHeight="1" spans="1:24">
      <c r="A72" s="572" t="s">
        <v>158</v>
      </c>
      <c r="B72" s="517">
        <v>54761540.47</v>
      </c>
      <c r="C72" s="517">
        <v>19889222.46</v>
      </c>
      <c r="D72" s="517">
        <v>928173205.229999</v>
      </c>
      <c r="E72" s="517">
        <v>599752599.009998</v>
      </c>
      <c r="F72" s="517">
        <v>176725721.62</v>
      </c>
      <c r="G72" s="517">
        <v>4650008.31</v>
      </c>
      <c r="H72" s="517">
        <f t="shared" si="11"/>
        <v>1783952297.1</v>
      </c>
      <c r="I72" s="509"/>
      <c r="W72" s="509"/>
      <c r="X72" s="505"/>
    </row>
    <row r="73" customHeight="1" spans="1:24">
      <c r="A73" s="572" t="s">
        <v>159</v>
      </c>
      <c r="B73" s="518">
        <v>70567623.6766001</v>
      </c>
      <c r="C73" s="518">
        <v>79920456.1000002</v>
      </c>
      <c r="D73" s="518">
        <v>639881304.109999</v>
      </c>
      <c r="E73" s="518">
        <v>691894459.714402</v>
      </c>
      <c r="F73" s="518">
        <v>157224982.138802</v>
      </c>
      <c r="G73" s="518">
        <v>1049442.03</v>
      </c>
      <c r="H73" s="518">
        <f t="shared" si="11"/>
        <v>1640538267.7698</v>
      </c>
      <c r="I73" s="509" t="e">
        <f>H119-'[32]GMV+收入成本（改）'!$BA$7</f>
        <v>#REF!</v>
      </c>
      <c r="W73" s="509"/>
      <c r="X73" s="505"/>
    </row>
    <row r="74" customHeight="1" spans="1:24">
      <c r="A74" s="505" t="s">
        <v>15</v>
      </c>
      <c r="B74" s="515">
        <f t="shared" ref="B74:H74" si="12">SUM(B62:B73)</f>
        <v>844894423.8961</v>
      </c>
      <c r="C74" s="515">
        <f t="shared" si="12"/>
        <v>652939467.9298</v>
      </c>
      <c r="D74" s="515">
        <f t="shared" si="12"/>
        <v>12856954609.0084</v>
      </c>
      <c r="E74" s="515">
        <f t="shared" si="12"/>
        <v>5578046941.25441</v>
      </c>
      <c r="F74" s="515">
        <f t="shared" si="12"/>
        <v>1536438323.9688</v>
      </c>
      <c r="G74" s="515">
        <f t="shared" si="12"/>
        <v>18042082.36</v>
      </c>
      <c r="H74" s="515">
        <f t="shared" si="12"/>
        <v>21487315848.4175</v>
      </c>
      <c r="I74" s="509"/>
      <c r="W74" s="509"/>
      <c r="X74" s="505"/>
    </row>
    <row r="75" customHeight="1" spans="9:24">
      <c r="I75" s="509"/>
      <c r="W75" s="509"/>
      <c r="X75" s="505"/>
    </row>
    <row r="76" customHeight="1" spans="4:24">
      <c r="D76" s="506">
        <f>D69-D54</f>
        <v>1467184452.41001</v>
      </c>
      <c r="I76" s="509"/>
      <c r="W76" s="509"/>
      <c r="X76" s="505"/>
    </row>
    <row r="77" customHeight="1" spans="9:24">
      <c r="I77" s="509"/>
      <c r="W77" s="509"/>
      <c r="X77" s="505"/>
    </row>
    <row r="78" customHeight="1" spans="9:24">
      <c r="I78" s="509"/>
      <c r="W78" s="509"/>
      <c r="X78" s="505"/>
    </row>
    <row r="79" customHeight="1" spans="9:24">
      <c r="I79" s="509"/>
      <c r="W79" s="509"/>
      <c r="X79" s="505"/>
    </row>
    <row r="80" customHeight="1" spans="9:24">
      <c r="I80" s="509"/>
      <c r="W80" s="509"/>
      <c r="X80" s="505"/>
    </row>
    <row r="81" customHeight="1" spans="1:24">
      <c r="A81" s="573" t="s">
        <v>118</v>
      </c>
      <c r="B81" s="574" t="s">
        <v>137</v>
      </c>
      <c r="C81" s="574" t="s">
        <v>138</v>
      </c>
      <c r="D81" s="574" t="s">
        <v>139</v>
      </c>
      <c r="E81" s="574" t="s">
        <v>140</v>
      </c>
      <c r="F81" s="574" t="s">
        <v>141</v>
      </c>
      <c r="G81" s="574" t="s">
        <v>142</v>
      </c>
      <c r="H81" s="575" t="s">
        <v>15</v>
      </c>
      <c r="I81" s="509"/>
      <c r="W81" s="509"/>
      <c r="X81" s="505"/>
    </row>
    <row r="82" customHeight="1" spans="1:24">
      <c r="A82" s="576" t="s">
        <v>170</v>
      </c>
      <c r="B82" s="577">
        <f t="shared" ref="B82:G82" si="13">(B14)/10000</f>
        <v>24735.46111743</v>
      </c>
      <c r="C82" s="577">
        <f t="shared" si="13"/>
        <v>38337.2539361</v>
      </c>
      <c r="D82" s="577">
        <f t="shared" si="13"/>
        <v>3880.73016152001</v>
      </c>
      <c r="E82" s="577">
        <f t="shared" si="13"/>
        <v>112480.791860303</v>
      </c>
      <c r="F82" s="577">
        <f t="shared" si="13"/>
        <v>252697.215544481</v>
      </c>
      <c r="G82" s="577">
        <f t="shared" si="13"/>
        <v>330.42342052</v>
      </c>
      <c r="H82" s="578">
        <f>SUM(B82:G82)</f>
        <v>432461.876040354</v>
      </c>
      <c r="I82" s="509"/>
      <c r="W82" s="509"/>
      <c r="X82" s="505"/>
    </row>
    <row r="83" customHeight="1" spans="1:24">
      <c r="A83" s="579" t="s">
        <v>171</v>
      </c>
      <c r="B83" s="580">
        <f t="shared" ref="B83:G83" si="14">B104/10000</f>
        <v>3515.933155</v>
      </c>
      <c r="C83" s="580">
        <f t="shared" si="14"/>
        <v>4560.927948</v>
      </c>
      <c r="D83" s="580">
        <f t="shared" si="14"/>
        <v>2936.017307</v>
      </c>
      <c r="E83" s="580">
        <f t="shared" si="14"/>
        <v>6034.58119999998</v>
      </c>
      <c r="F83" s="580">
        <f t="shared" si="14"/>
        <v>13113.039236</v>
      </c>
      <c r="G83" s="580">
        <f t="shared" si="14"/>
        <v>0.0027</v>
      </c>
      <c r="H83" s="581">
        <f>SUM(B83:G83)</f>
        <v>30160.501546</v>
      </c>
      <c r="I83" s="509"/>
      <c r="W83" s="509"/>
      <c r="X83" s="505"/>
    </row>
    <row r="84" customHeight="1" spans="1:24">
      <c r="A84" s="582" t="s">
        <v>172</v>
      </c>
      <c r="B84" s="583">
        <f t="shared" ref="B84:G84" si="15">B82+B83</f>
        <v>28251.39427243</v>
      </c>
      <c r="C84" s="583">
        <f t="shared" si="15"/>
        <v>42898.1818841</v>
      </c>
      <c r="D84" s="583">
        <f t="shared" si="15"/>
        <v>6816.74746852001</v>
      </c>
      <c r="E84" s="583">
        <f t="shared" si="15"/>
        <v>118515.373060303</v>
      </c>
      <c r="F84" s="583">
        <f t="shared" si="15"/>
        <v>265810.254780481</v>
      </c>
      <c r="G84" s="583">
        <f t="shared" si="15"/>
        <v>330.42612052</v>
      </c>
      <c r="H84" s="584">
        <f>SUM(B84:G84)</f>
        <v>462622.377586354</v>
      </c>
      <c r="I84" s="509"/>
      <c r="W84" s="509"/>
      <c r="X84" s="505"/>
    </row>
    <row r="85" customHeight="1" spans="1:24">
      <c r="A85" s="585" t="s">
        <v>173</v>
      </c>
      <c r="B85" s="586">
        <f t="shared" ref="B85:H85" si="16">B83/B84</f>
        <v>0.124451668512202</v>
      </c>
      <c r="C85" s="586">
        <f t="shared" si="16"/>
        <v>0.106319842652597</v>
      </c>
      <c r="D85" s="586">
        <f t="shared" si="16"/>
        <v>0.430706479968436</v>
      </c>
      <c r="E85" s="586">
        <f t="shared" si="16"/>
        <v>0.0509181302321806</v>
      </c>
      <c r="F85" s="586">
        <f t="shared" si="16"/>
        <v>0.0493323301120544</v>
      </c>
      <c r="G85" s="586">
        <f t="shared" si="16"/>
        <v>8.17126683493103e-6</v>
      </c>
      <c r="H85" s="587">
        <f t="shared" si="16"/>
        <v>0.0651946447194292</v>
      </c>
      <c r="I85" s="509"/>
      <c r="W85" s="509"/>
      <c r="X85" s="505"/>
    </row>
    <row r="86" customHeight="1" spans="1:24">
      <c r="A86" s="588" t="s">
        <v>174</v>
      </c>
      <c r="B86" s="589">
        <f t="shared" ref="B86:H86" si="17">B82/B84</f>
        <v>0.875548331487798</v>
      </c>
      <c r="C86" s="589">
        <f t="shared" si="17"/>
        <v>0.893680157347403</v>
      </c>
      <c r="D86" s="589">
        <f t="shared" si="17"/>
        <v>0.569293520031564</v>
      </c>
      <c r="E86" s="589">
        <f t="shared" si="17"/>
        <v>0.949081869767819</v>
      </c>
      <c r="F86" s="589">
        <f t="shared" si="17"/>
        <v>0.950667669887945</v>
      </c>
      <c r="G86" s="589">
        <f t="shared" si="17"/>
        <v>0.999991828733165</v>
      </c>
      <c r="H86" s="590">
        <f t="shared" si="17"/>
        <v>0.934805355280571</v>
      </c>
      <c r="I86" s="509"/>
      <c r="W86" s="509"/>
      <c r="X86" s="505"/>
    </row>
    <row r="87" customHeight="1" spans="9:24">
      <c r="I87" s="509"/>
      <c r="W87" s="509"/>
      <c r="X87" s="505"/>
    </row>
    <row r="88" customHeight="1" spans="9:24">
      <c r="I88" s="509"/>
      <c r="W88" s="509"/>
      <c r="X88" s="505"/>
    </row>
    <row r="89" customHeight="1" spans="9:24">
      <c r="I89" s="509"/>
      <c r="W89" s="509"/>
      <c r="X89" s="505"/>
    </row>
    <row r="90" customHeight="1" spans="1:24">
      <c r="A90" s="505" t="s">
        <v>171</v>
      </c>
      <c r="I90" s="509"/>
      <c r="W90" s="509"/>
      <c r="X90" s="505"/>
    </row>
    <row r="91" customHeight="1" spans="1:24">
      <c r="A91" s="505" t="s">
        <v>118</v>
      </c>
      <c r="B91" s="506" t="s">
        <v>137</v>
      </c>
      <c r="C91" s="506" t="s">
        <v>138</v>
      </c>
      <c r="D91" s="506" t="s">
        <v>139</v>
      </c>
      <c r="E91" s="506" t="s">
        <v>140</v>
      </c>
      <c r="F91" s="506" t="s">
        <v>141</v>
      </c>
      <c r="G91" s="506" t="s">
        <v>142</v>
      </c>
      <c r="H91" s="506" t="s">
        <v>143</v>
      </c>
      <c r="I91" s="509"/>
      <c r="W91" s="509"/>
      <c r="X91" s="505"/>
    </row>
    <row r="92" customHeight="1" spans="1:9">
      <c r="A92" s="513" t="s">
        <v>148</v>
      </c>
      <c r="B92" s="506">
        <v>35159331.55</v>
      </c>
      <c r="C92" s="506">
        <v>45609279.48</v>
      </c>
      <c r="D92" s="506">
        <v>29360173.07</v>
      </c>
      <c r="E92" s="506">
        <v>60345811.9999998</v>
      </c>
      <c r="F92" s="506">
        <v>131130392.36</v>
      </c>
      <c r="G92" s="506">
        <v>27</v>
      </c>
      <c r="H92" s="506">
        <f t="shared" ref="H92:H103" si="18">SUM(B92:G92)</f>
        <v>301605015.46</v>
      </c>
      <c r="I92" s="509"/>
    </row>
    <row r="93" customHeight="1" spans="1:9">
      <c r="A93" s="524" t="s">
        <v>149</v>
      </c>
      <c r="H93" s="506">
        <f t="shared" si="18"/>
        <v>0</v>
      </c>
      <c r="I93" s="509"/>
    </row>
    <row r="94" customHeight="1" spans="1:9">
      <c r="A94" s="524" t="s">
        <v>150</v>
      </c>
      <c r="H94" s="506">
        <f t="shared" si="18"/>
        <v>0</v>
      </c>
      <c r="I94" s="509"/>
    </row>
    <row r="95" customHeight="1" spans="1:9">
      <c r="A95" s="524" t="s">
        <v>151</v>
      </c>
      <c r="H95" s="506">
        <f t="shared" si="18"/>
        <v>0</v>
      </c>
      <c r="I95" s="509"/>
    </row>
    <row r="96" customHeight="1" spans="1:9">
      <c r="A96" s="524" t="s">
        <v>152</v>
      </c>
      <c r="H96" s="506">
        <f t="shared" si="18"/>
        <v>0</v>
      </c>
      <c r="I96" s="509"/>
    </row>
    <row r="97" customHeight="1" spans="1:9">
      <c r="A97" s="524" t="s">
        <v>153</v>
      </c>
      <c r="H97" s="506">
        <f t="shared" si="18"/>
        <v>0</v>
      </c>
      <c r="I97" s="509"/>
    </row>
    <row r="98" customHeight="1" spans="1:9">
      <c r="A98" s="524" t="s">
        <v>154</v>
      </c>
      <c r="H98" s="506">
        <f t="shared" si="18"/>
        <v>0</v>
      </c>
      <c r="I98" s="509"/>
    </row>
    <row r="99" customHeight="1" spans="1:9">
      <c r="A99" s="524" t="s">
        <v>155</v>
      </c>
      <c r="H99" s="506">
        <f t="shared" si="18"/>
        <v>0</v>
      </c>
      <c r="I99" s="509"/>
    </row>
    <row r="100" customHeight="1" spans="1:8">
      <c r="A100" s="572" t="s">
        <v>156</v>
      </c>
      <c r="H100" s="506">
        <f t="shared" si="18"/>
        <v>0</v>
      </c>
    </row>
    <row r="101" customHeight="1" spans="1:8">
      <c r="A101" s="572" t="s">
        <v>157</v>
      </c>
      <c r="H101" s="506">
        <f t="shared" si="18"/>
        <v>0</v>
      </c>
    </row>
    <row r="102" customHeight="1" spans="1:8">
      <c r="A102" s="572" t="s">
        <v>158</v>
      </c>
      <c r="H102" s="506">
        <f t="shared" si="18"/>
        <v>0</v>
      </c>
    </row>
    <row r="103" customHeight="1" spans="1:8">
      <c r="A103" s="572" t="s">
        <v>159</v>
      </c>
      <c r="H103" s="506">
        <f t="shared" si="18"/>
        <v>0</v>
      </c>
    </row>
    <row r="104" customHeight="1" spans="1:8">
      <c r="A104" s="505" t="s">
        <v>15</v>
      </c>
      <c r="B104" s="506">
        <f t="shared" ref="B104:H104" si="19">SUM(B92:B103)</f>
        <v>35159331.55</v>
      </c>
      <c r="C104" s="506">
        <f t="shared" si="19"/>
        <v>45609279.48</v>
      </c>
      <c r="D104" s="506">
        <f t="shared" si="19"/>
        <v>29360173.07</v>
      </c>
      <c r="E104" s="506">
        <f t="shared" si="19"/>
        <v>60345811.9999998</v>
      </c>
      <c r="F104" s="506">
        <f t="shared" si="19"/>
        <v>131130392.36</v>
      </c>
      <c r="G104" s="506">
        <f t="shared" si="19"/>
        <v>27</v>
      </c>
      <c r="H104" s="506">
        <f t="shared" si="19"/>
        <v>301605015.46</v>
      </c>
    </row>
    <row r="107" customHeight="1" spans="1:8">
      <c r="A107" s="505" t="s">
        <v>119</v>
      </c>
      <c r="B107" s="506" t="s">
        <v>137</v>
      </c>
      <c r="C107" s="506" t="s">
        <v>138</v>
      </c>
      <c r="D107" s="506" t="s">
        <v>139</v>
      </c>
      <c r="E107" s="506" t="s">
        <v>140</v>
      </c>
      <c r="F107" s="506" t="s">
        <v>141</v>
      </c>
      <c r="G107" s="506" t="s">
        <v>142</v>
      </c>
      <c r="H107" s="506" t="s">
        <v>143</v>
      </c>
    </row>
    <row r="108" customHeight="1" spans="1:8">
      <c r="A108" s="513" t="s">
        <v>148</v>
      </c>
      <c r="B108" s="506">
        <v>61439315.78</v>
      </c>
      <c r="C108" s="506">
        <v>49841696.98</v>
      </c>
      <c r="D108" s="506">
        <v>21127312.49</v>
      </c>
      <c r="E108" s="506">
        <v>258457695.33</v>
      </c>
      <c r="F108" s="506">
        <v>86543610.4200003</v>
      </c>
      <c r="H108" s="506">
        <f t="shared" ref="H108:H119" si="20">SUM(B108:G108)</f>
        <v>477409631</v>
      </c>
    </row>
    <row r="109" customHeight="1" spans="1:8">
      <c r="A109" s="524" t="s">
        <v>149</v>
      </c>
      <c r="B109" s="506">
        <v>40014906.72</v>
      </c>
      <c r="C109" s="506">
        <v>27864077.78</v>
      </c>
      <c r="D109" s="506">
        <v>25373751.23</v>
      </c>
      <c r="E109" s="506">
        <v>258924924.49</v>
      </c>
      <c r="F109" s="506">
        <v>87178895.9099999</v>
      </c>
      <c r="H109" s="506">
        <f t="shared" si="20"/>
        <v>439356556.13</v>
      </c>
    </row>
    <row r="110" customHeight="1" spans="1:8">
      <c r="A110" s="524" t="s">
        <v>150</v>
      </c>
      <c r="B110" s="506">
        <v>56303318.26</v>
      </c>
      <c r="C110" s="506">
        <v>25086305.62</v>
      </c>
      <c r="D110" s="506">
        <v>21896134</v>
      </c>
      <c r="E110" s="506">
        <f>269560159.07+13500000</f>
        <v>283060159.07</v>
      </c>
      <c r="F110" s="506">
        <v>125014294.11</v>
      </c>
      <c r="H110" s="506">
        <f t="shared" si="20"/>
        <v>511360211.06</v>
      </c>
    </row>
    <row r="111" customHeight="1" spans="1:8">
      <c r="A111" s="524" t="s">
        <v>151</v>
      </c>
      <c r="B111" s="506">
        <v>71590762.8500002</v>
      </c>
      <c r="C111" s="506">
        <v>29189657.17</v>
      </c>
      <c r="D111" s="506">
        <v>19743272.51</v>
      </c>
      <c r="E111" s="506">
        <v>233006550.67</v>
      </c>
      <c r="F111" s="506">
        <v>177815575.7</v>
      </c>
      <c r="H111" s="506">
        <f t="shared" si="20"/>
        <v>531345818.9</v>
      </c>
    </row>
    <row r="112" customHeight="1" spans="1:8">
      <c r="A112" s="524" t="s">
        <v>152</v>
      </c>
      <c r="B112" s="506">
        <v>84680576.06</v>
      </c>
      <c r="C112" s="506">
        <v>37409990.21</v>
      </c>
      <c r="D112" s="506">
        <v>25699957.58</v>
      </c>
      <c r="E112" s="506">
        <v>181266104.93</v>
      </c>
      <c r="F112" s="506">
        <v>204593286.97</v>
      </c>
      <c r="H112" s="506">
        <f t="shared" si="20"/>
        <v>533649915.75</v>
      </c>
    </row>
    <row r="113" customHeight="1" spans="1:8">
      <c r="A113" s="524" t="s">
        <v>153</v>
      </c>
      <c r="B113" s="506">
        <v>65349871.0600001</v>
      </c>
      <c r="C113" s="506">
        <v>21288749.52</v>
      </c>
      <c r="D113" s="506">
        <v>72965665.1299999</v>
      </c>
      <c r="E113" s="506">
        <v>203803164.61</v>
      </c>
      <c r="F113" s="506">
        <v>270632606.25</v>
      </c>
      <c r="H113" s="506">
        <f t="shared" si="20"/>
        <v>634040056.57</v>
      </c>
    </row>
    <row r="114" customHeight="1" spans="1:8">
      <c r="A114" s="524" t="s">
        <v>154</v>
      </c>
      <c r="B114" s="506">
        <v>55989429.52</v>
      </c>
      <c r="C114" s="506">
        <v>56078364.39</v>
      </c>
      <c r="D114" s="506">
        <v>52438579.5799999</v>
      </c>
      <c r="E114" s="506">
        <v>198497206.529999</v>
      </c>
      <c r="F114" s="506">
        <v>222615567.24</v>
      </c>
      <c r="G114" s="506">
        <v>50.08</v>
      </c>
      <c r="H114" s="506">
        <f t="shared" si="20"/>
        <v>585619197.339999</v>
      </c>
    </row>
    <row r="115" customHeight="1" spans="1:8">
      <c r="A115" s="524" t="s">
        <v>155</v>
      </c>
      <c r="B115" s="506">
        <v>61300568.66</v>
      </c>
      <c r="C115" s="506">
        <v>57400767.7199999</v>
      </c>
      <c r="D115" s="506">
        <v>57447924</v>
      </c>
      <c r="E115" s="506">
        <v>222565054.07</v>
      </c>
      <c r="F115" s="506">
        <v>219913936.01</v>
      </c>
      <c r="G115" s="506">
        <v>430.13</v>
      </c>
      <c r="H115" s="506">
        <f t="shared" si="20"/>
        <v>618628680.59</v>
      </c>
    </row>
    <row r="116" customHeight="1" spans="1:8">
      <c r="A116" s="572" t="s">
        <v>156</v>
      </c>
      <c r="B116" s="506">
        <v>38556786.35</v>
      </c>
      <c r="C116" s="506">
        <v>35397648.26</v>
      </c>
      <c r="D116" s="506">
        <v>57018590.3</v>
      </c>
      <c r="E116" s="506">
        <v>215849501.99</v>
      </c>
      <c r="F116" s="506">
        <v>182070172.44</v>
      </c>
      <c r="G116" s="506">
        <v>-24.99</v>
      </c>
      <c r="H116" s="506">
        <f t="shared" si="20"/>
        <v>528892674.35</v>
      </c>
    </row>
    <row r="117" customHeight="1" spans="1:8">
      <c r="A117" s="572" t="s">
        <v>157</v>
      </c>
      <c r="B117" s="506">
        <v>27095029.52</v>
      </c>
      <c r="C117" s="506">
        <v>21393306.76</v>
      </c>
      <c r="D117" s="506">
        <v>32003734.7</v>
      </c>
      <c r="E117" s="506">
        <v>202700705.9</v>
      </c>
      <c r="F117" s="506">
        <v>148671289.92</v>
      </c>
      <c r="H117" s="506">
        <f t="shared" si="20"/>
        <v>431864066.8</v>
      </c>
    </row>
    <row r="118" customHeight="1" spans="1:8">
      <c r="A118" s="572" t="s">
        <v>158</v>
      </c>
      <c r="B118" s="506">
        <v>19629532.86</v>
      </c>
      <c r="C118" s="506">
        <v>42619394.82</v>
      </c>
      <c r="D118" s="506">
        <v>44272075.79</v>
      </c>
      <c r="E118" s="506">
        <v>276148239.429999</v>
      </c>
      <c r="F118" s="506">
        <v>136328623.07</v>
      </c>
      <c r="G118" s="506">
        <v>312.01</v>
      </c>
      <c r="H118" s="506">
        <f t="shared" si="20"/>
        <v>518998177.979999</v>
      </c>
    </row>
    <row r="119" customHeight="1" spans="1:8">
      <c r="A119" s="572" t="s">
        <v>159</v>
      </c>
      <c r="B119" s="506">
        <v>23029508.96</v>
      </c>
      <c r="C119" s="506">
        <v>31702147.22</v>
      </c>
      <c r="D119" s="506">
        <v>27138940.3200001</v>
      </c>
      <c r="E119" s="506">
        <v>201081191.98</v>
      </c>
      <c r="F119" s="506">
        <v>131781750.89</v>
      </c>
      <c r="G119" s="506">
        <v>237.090000000084</v>
      </c>
      <c r="H119" s="506">
        <f t="shared" si="20"/>
        <v>414733776.46</v>
      </c>
    </row>
    <row r="120" customHeight="1" spans="1:8">
      <c r="A120" s="505" t="s">
        <v>15</v>
      </c>
      <c r="B120" s="506">
        <f t="shared" ref="B120:H120" si="21">SUM(B108:B119)</f>
        <v>604979606.6</v>
      </c>
      <c r="C120" s="506">
        <f t="shared" si="21"/>
        <v>435272106.45</v>
      </c>
      <c r="D120" s="506">
        <f t="shared" si="21"/>
        <v>457125937.63</v>
      </c>
      <c r="E120" s="506">
        <f t="shared" si="21"/>
        <v>2735360499</v>
      </c>
      <c r="F120" s="506">
        <f t="shared" si="21"/>
        <v>1993159608.93</v>
      </c>
      <c r="G120" s="506">
        <f t="shared" si="21"/>
        <v>1004.32000000008</v>
      </c>
      <c r="H120" s="506">
        <f t="shared" si="21"/>
        <v>6225898762.93</v>
      </c>
    </row>
    <row r="123" customHeight="1" spans="1:8">
      <c r="A123" s="505" t="s">
        <v>168</v>
      </c>
      <c r="B123" s="506" t="s">
        <v>137</v>
      </c>
      <c r="C123" s="506" t="s">
        <v>138</v>
      </c>
      <c r="D123" s="506" t="s">
        <v>139</v>
      </c>
      <c r="E123" s="506" t="s">
        <v>140</v>
      </c>
      <c r="F123" s="506" t="s">
        <v>141</v>
      </c>
      <c r="G123" s="506" t="s">
        <v>142</v>
      </c>
      <c r="H123" s="506" t="s">
        <v>143</v>
      </c>
    </row>
    <row r="124" customHeight="1" spans="1:8">
      <c r="A124" s="513" t="s">
        <v>148</v>
      </c>
      <c r="B124" s="506">
        <v>50764299.1499999</v>
      </c>
      <c r="C124" s="506">
        <v>34193913.4500001</v>
      </c>
      <c r="D124" s="506">
        <v>7678254.39</v>
      </c>
      <c r="E124" s="506">
        <v>126308210.64</v>
      </c>
      <c r="F124" s="506">
        <v>23636486.7600001</v>
      </c>
      <c r="G124" s="506">
        <v>605826.86</v>
      </c>
      <c r="H124" s="506">
        <f t="shared" ref="H124:H135" si="22">SUM(B124:G124)</f>
        <v>243186991.25</v>
      </c>
    </row>
    <row r="125" customHeight="1" spans="1:8">
      <c r="A125" s="524" t="s">
        <v>149</v>
      </c>
      <c r="B125" s="506">
        <v>43645810.24</v>
      </c>
      <c r="C125" s="506">
        <v>42647553.76</v>
      </c>
      <c r="D125" s="506">
        <v>2139657.45</v>
      </c>
      <c r="E125" s="506">
        <v>118479755.95</v>
      </c>
      <c r="F125" s="506">
        <v>24748661.4700001</v>
      </c>
      <c r="G125" s="506">
        <v>614830.04</v>
      </c>
      <c r="H125" s="506">
        <f t="shared" si="22"/>
        <v>232276268.91</v>
      </c>
    </row>
    <row r="126" customHeight="1" spans="1:8">
      <c r="A126" s="524" t="s">
        <v>150</v>
      </c>
      <c r="B126" s="506">
        <v>31478044.88</v>
      </c>
      <c r="C126" s="506">
        <v>40736333.67</v>
      </c>
      <c r="D126" s="506">
        <v>3747296.95</v>
      </c>
      <c r="E126" s="506">
        <v>229913369.75</v>
      </c>
      <c r="F126" s="506">
        <v>47992130.59</v>
      </c>
      <c r="G126" s="506">
        <v>428244.55</v>
      </c>
      <c r="H126" s="506">
        <f t="shared" si="22"/>
        <v>354295420.39</v>
      </c>
    </row>
    <row r="127" customHeight="1" spans="1:8">
      <c r="A127" s="524" t="s">
        <v>151</v>
      </c>
      <c r="B127" s="506">
        <v>38569276.44</v>
      </c>
      <c r="C127" s="506">
        <v>49246959.68</v>
      </c>
      <c r="D127" s="506">
        <v>4691588.30000001</v>
      </c>
      <c r="E127" s="506">
        <v>180422985.99</v>
      </c>
      <c r="F127" s="506">
        <v>47207621.79</v>
      </c>
      <c r="G127" s="506">
        <v>13282.73</v>
      </c>
      <c r="H127" s="506">
        <f t="shared" si="22"/>
        <v>320151714.93</v>
      </c>
    </row>
    <row r="128" customHeight="1" spans="1:8">
      <c r="A128" s="524" t="s">
        <v>152</v>
      </c>
      <c r="B128" s="506">
        <v>26590596.39</v>
      </c>
      <c r="C128" s="506">
        <v>24005490.95</v>
      </c>
      <c r="D128" s="506">
        <v>5685925.05200002</v>
      </c>
      <c r="E128" s="506">
        <v>176917391.409999</v>
      </c>
      <c r="F128" s="506">
        <v>58886394.7100001</v>
      </c>
      <c r="H128" s="506">
        <f t="shared" si="22"/>
        <v>292085798.511999</v>
      </c>
    </row>
    <row r="129" customHeight="1" spans="1:8">
      <c r="A129" s="524" t="s">
        <v>153</v>
      </c>
      <c r="B129" s="506">
        <v>23038670.04</v>
      </c>
      <c r="C129" s="506">
        <v>33786055.67</v>
      </c>
      <c r="D129" s="506">
        <v>7222923.71000001</v>
      </c>
      <c r="E129" s="506">
        <v>197256778.1</v>
      </c>
      <c r="F129" s="506">
        <v>44191739.14</v>
      </c>
      <c r="H129" s="506">
        <f t="shared" si="22"/>
        <v>305496166.66</v>
      </c>
    </row>
    <row r="130" customHeight="1" spans="1:8">
      <c r="A130" s="524" t="s">
        <v>154</v>
      </c>
      <c r="B130" s="506">
        <v>39363166.7</v>
      </c>
      <c r="C130" s="506">
        <v>28873042.38</v>
      </c>
      <c r="D130" s="506">
        <v>4488545.72</v>
      </c>
      <c r="E130" s="506">
        <v>157689822.03</v>
      </c>
      <c r="F130" s="506">
        <v>70720558.64</v>
      </c>
      <c r="H130" s="506">
        <f t="shared" si="22"/>
        <v>301135135.47</v>
      </c>
    </row>
    <row r="131" customHeight="1" spans="1:8">
      <c r="A131" s="524" t="s">
        <v>155</v>
      </c>
      <c r="B131" s="506">
        <v>33965620.47</v>
      </c>
      <c r="C131" s="506">
        <v>23690886.91</v>
      </c>
      <c r="D131" s="506">
        <v>6913167.79</v>
      </c>
      <c r="E131" s="506">
        <v>205065088.93</v>
      </c>
      <c r="F131" s="506">
        <v>71780882.51</v>
      </c>
      <c r="H131" s="506">
        <f t="shared" si="22"/>
        <v>341415646.61</v>
      </c>
    </row>
    <row r="132" customHeight="1" spans="1:8">
      <c r="A132" s="572" t="s">
        <v>156</v>
      </c>
      <c r="B132" s="506">
        <v>22447150.12</v>
      </c>
      <c r="C132" s="506">
        <v>28918184.06</v>
      </c>
      <c r="D132" s="506">
        <v>5237626.54</v>
      </c>
      <c r="E132" s="506">
        <v>307124243.35</v>
      </c>
      <c r="F132" s="506">
        <v>43599570.49</v>
      </c>
      <c r="H132" s="506">
        <f t="shared" si="22"/>
        <v>407326774.56</v>
      </c>
    </row>
    <row r="133" customHeight="1" spans="1:8">
      <c r="A133" s="572" t="s">
        <v>157</v>
      </c>
      <c r="B133" s="506">
        <v>26961150.8</v>
      </c>
      <c r="C133" s="506">
        <v>9594873.99</v>
      </c>
      <c r="D133" s="506">
        <v>5190481.91000001</v>
      </c>
      <c r="E133" s="506">
        <v>233858029.54</v>
      </c>
      <c r="F133" s="506">
        <v>25954674.3900001</v>
      </c>
      <c r="H133" s="506">
        <f t="shared" si="22"/>
        <v>301559210.63</v>
      </c>
    </row>
    <row r="134" customHeight="1" spans="1:8">
      <c r="A134" s="572" t="s">
        <v>158</v>
      </c>
      <c r="B134" s="506">
        <v>23987569.38</v>
      </c>
      <c r="C134" s="506">
        <v>40930209</v>
      </c>
      <c r="D134" s="506">
        <v>6973471.75000001</v>
      </c>
      <c r="E134" s="506">
        <v>333828491.51</v>
      </c>
      <c r="F134" s="506">
        <v>60810496.95</v>
      </c>
      <c r="H134" s="506">
        <f t="shared" si="22"/>
        <v>466530238.59</v>
      </c>
    </row>
    <row r="135" customHeight="1" spans="1:8">
      <c r="A135" s="572" t="s">
        <v>159</v>
      </c>
      <c r="H135" s="506">
        <f t="shared" si="22"/>
        <v>0</v>
      </c>
    </row>
    <row r="136" customHeight="1" spans="1:8">
      <c r="A136" s="505" t="s">
        <v>15</v>
      </c>
      <c r="B136" s="506">
        <f t="shared" ref="B136:H136" si="23">SUM(B124:B135)</f>
        <v>360811354.61</v>
      </c>
      <c r="C136" s="506">
        <f t="shared" si="23"/>
        <v>356623503.52</v>
      </c>
      <c r="D136" s="506">
        <f t="shared" si="23"/>
        <v>59968939.5620001</v>
      </c>
      <c r="E136" s="506">
        <f t="shared" si="23"/>
        <v>2266864167.2</v>
      </c>
      <c r="F136" s="506">
        <f t="shared" si="23"/>
        <v>519529217.44</v>
      </c>
      <c r="G136" s="506">
        <f t="shared" si="23"/>
        <v>1662184.18</v>
      </c>
      <c r="H136" s="506">
        <f t="shared" si="23"/>
        <v>3565459366.512</v>
      </c>
    </row>
    <row r="139" customHeight="1" spans="1:8">
      <c r="A139" s="510" t="s">
        <v>169</v>
      </c>
      <c r="B139" s="591" t="s">
        <v>137</v>
      </c>
      <c r="C139" s="592" t="s">
        <v>139</v>
      </c>
      <c r="D139" s="591" t="s">
        <v>140</v>
      </c>
      <c r="E139" s="591" t="s">
        <v>141</v>
      </c>
      <c r="F139" s="591" t="s">
        <v>138</v>
      </c>
      <c r="G139" s="591" t="s">
        <v>142</v>
      </c>
      <c r="H139" s="593" t="s">
        <v>143</v>
      </c>
    </row>
    <row r="140" customHeight="1" spans="1:8">
      <c r="A140" s="513" t="s">
        <v>148</v>
      </c>
      <c r="B140" s="506">
        <f t="shared" ref="B140:B151" si="24">B47-B62</f>
        <v>8114023.52</v>
      </c>
      <c r="C140" s="506">
        <f t="shared" ref="C140:C151" si="25">D47-D62</f>
        <v>-325354769.71</v>
      </c>
      <c r="D140" s="506">
        <f t="shared" ref="D140:D151" si="26">E47-E62</f>
        <v>56601428.82</v>
      </c>
      <c r="E140" s="506">
        <f t="shared" ref="E140:E151" si="27">F47-F62</f>
        <v>50781526.57</v>
      </c>
      <c r="F140" s="506">
        <f t="shared" ref="F140:F151" si="28">C47-C62</f>
        <v>11847354.76</v>
      </c>
      <c r="G140" s="506">
        <f t="shared" ref="G140:G151" si="29">G47-G62</f>
        <v>884598.11</v>
      </c>
      <c r="H140" s="506">
        <f t="shared" ref="H140:H151" si="30">H47-H62</f>
        <v>-197125837.93</v>
      </c>
    </row>
    <row r="141" customHeight="1" spans="1:8">
      <c r="A141" s="513" t="s">
        <v>149</v>
      </c>
      <c r="B141" s="506">
        <f t="shared" si="24"/>
        <v>-32655096.32</v>
      </c>
      <c r="C141" s="506">
        <f t="shared" si="25"/>
        <v>-459544874.659999</v>
      </c>
      <c r="D141" s="506">
        <f t="shared" si="26"/>
        <v>-1513166.73999998</v>
      </c>
      <c r="E141" s="506">
        <f t="shared" si="27"/>
        <v>80396772.96</v>
      </c>
      <c r="F141" s="506">
        <f t="shared" si="28"/>
        <v>2854905.08</v>
      </c>
      <c r="G141" s="506">
        <f t="shared" si="29"/>
        <v>856244.81</v>
      </c>
      <c r="H141" s="506">
        <f t="shared" si="30"/>
        <v>-409605214.869999</v>
      </c>
    </row>
    <row r="142" customHeight="1" spans="1:8">
      <c r="A142" s="513" t="s">
        <v>150</v>
      </c>
      <c r="B142" s="506">
        <f t="shared" si="24"/>
        <v>-1435206.33</v>
      </c>
      <c r="C142" s="506">
        <f t="shared" si="25"/>
        <v>-685598507.37</v>
      </c>
      <c r="D142" s="506">
        <f t="shared" si="26"/>
        <v>159644585.35</v>
      </c>
      <c r="E142" s="506">
        <f t="shared" si="27"/>
        <v>170038585.07</v>
      </c>
      <c r="F142" s="506">
        <f t="shared" si="28"/>
        <v>4896633.52</v>
      </c>
      <c r="G142" s="506">
        <f t="shared" si="29"/>
        <v>572905.54</v>
      </c>
      <c r="H142" s="506">
        <f t="shared" si="30"/>
        <v>-351881004.22</v>
      </c>
    </row>
    <row r="143" customHeight="1" spans="1:8">
      <c r="A143" s="513" t="s">
        <v>151</v>
      </c>
      <c r="B143" s="506">
        <f t="shared" si="24"/>
        <v>13314651.0999998</v>
      </c>
      <c r="C143" s="506">
        <f t="shared" si="25"/>
        <v>-556173050.509998</v>
      </c>
      <c r="D143" s="506">
        <f t="shared" si="26"/>
        <v>17072833.95</v>
      </c>
      <c r="E143" s="506">
        <f t="shared" si="27"/>
        <v>159752624.290001</v>
      </c>
      <c r="F143" s="506">
        <f t="shared" si="28"/>
        <v>7074430.6900001</v>
      </c>
      <c r="G143" s="506">
        <f t="shared" si="29"/>
        <v>32474.87</v>
      </c>
      <c r="H143" s="506">
        <f t="shared" si="30"/>
        <v>-358926035.609997</v>
      </c>
    </row>
    <row r="144" customHeight="1" spans="1:8">
      <c r="A144" s="513" t="s">
        <v>152</v>
      </c>
      <c r="B144" s="506">
        <f t="shared" si="24"/>
        <v>-15292555.1</v>
      </c>
      <c r="C144" s="506">
        <f t="shared" si="25"/>
        <v>-764403104.03</v>
      </c>
      <c r="D144" s="506">
        <f t="shared" si="26"/>
        <v>-13612416.56</v>
      </c>
      <c r="E144" s="506">
        <f t="shared" si="27"/>
        <v>229623224.38</v>
      </c>
      <c r="F144" s="506">
        <f t="shared" si="28"/>
        <v>-39230560.25</v>
      </c>
      <c r="G144" s="506">
        <f t="shared" si="29"/>
        <v>-1712437.89</v>
      </c>
      <c r="H144" s="506">
        <f t="shared" si="30"/>
        <v>-604627849.45</v>
      </c>
    </row>
    <row r="145" customHeight="1" spans="1:8">
      <c r="A145" s="513" t="s">
        <v>153</v>
      </c>
      <c r="B145" s="506">
        <f t="shared" si="24"/>
        <v>1843373.47</v>
      </c>
      <c r="C145" s="506">
        <f t="shared" si="25"/>
        <v>-938374141.143799</v>
      </c>
      <c r="D145" s="506">
        <f t="shared" si="26"/>
        <v>-101455316.173799</v>
      </c>
      <c r="E145" s="506">
        <f t="shared" si="27"/>
        <v>220366564.170001</v>
      </c>
      <c r="F145" s="506">
        <f t="shared" si="28"/>
        <v>-11214152.3752</v>
      </c>
      <c r="G145" s="506">
        <f t="shared" si="29"/>
        <v>-3693325.92</v>
      </c>
      <c r="H145" s="506">
        <f t="shared" si="30"/>
        <v>-832526997.972797</v>
      </c>
    </row>
    <row r="146" customHeight="1" spans="1:8">
      <c r="A146" s="513" t="s">
        <v>154</v>
      </c>
      <c r="B146" s="506">
        <f t="shared" si="24"/>
        <v>-9897213.49950001</v>
      </c>
      <c r="C146" s="506">
        <f t="shared" si="25"/>
        <v>-1059122943.9084</v>
      </c>
      <c r="D146" s="506">
        <f t="shared" si="26"/>
        <v>-89602007.17</v>
      </c>
      <c r="E146" s="506">
        <f t="shared" si="27"/>
        <v>181632871.57</v>
      </c>
      <c r="F146" s="506">
        <f t="shared" si="28"/>
        <v>-19153322.5698</v>
      </c>
      <c r="G146" s="506">
        <f t="shared" si="29"/>
        <v>-2559519.23</v>
      </c>
      <c r="H146" s="506">
        <f t="shared" si="30"/>
        <v>-998702134.807698</v>
      </c>
    </row>
    <row r="147" customHeight="1" spans="1:8">
      <c r="A147" s="516" t="s">
        <v>155</v>
      </c>
      <c r="B147" s="506">
        <f t="shared" si="24"/>
        <v>-9851350.59</v>
      </c>
      <c r="C147" s="506">
        <f t="shared" si="25"/>
        <v>-1467184452.41001</v>
      </c>
      <c r="D147" s="506">
        <f t="shared" si="26"/>
        <v>-65253299.94</v>
      </c>
      <c r="E147" s="506">
        <f t="shared" si="27"/>
        <v>223489825.450001</v>
      </c>
      <c r="F147" s="506">
        <f t="shared" si="28"/>
        <v>-32943818.06</v>
      </c>
      <c r="G147" s="506">
        <f t="shared" si="29"/>
        <v>-1620139.63</v>
      </c>
      <c r="H147" s="506">
        <f t="shared" si="30"/>
        <v>-1353363235.18001</v>
      </c>
    </row>
    <row r="148" customHeight="1" spans="1:8">
      <c r="A148" s="516" t="s">
        <v>156</v>
      </c>
      <c r="B148" s="506">
        <f t="shared" si="24"/>
        <v>11130389.76</v>
      </c>
      <c r="C148" s="506">
        <f t="shared" si="25"/>
        <v>-372510422.449994</v>
      </c>
      <c r="D148" s="506">
        <f t="shared" si="26"/>
        <v>-53727826.4200059</v>
      </c>
      <c r="E148" s="506">
        <f t="shared" si="27"/>
        <v>118196540.670002</v>
      </c>
      <c r="F148" s="506">
        <f t="shared" si="28"/>
        <v>9366491.94000009</v>
      </c>
      <c r="G148" s="506">
        <f t="shared" si="29"/>
        <v>-1903865.11</v>
      </c>
      <c r="H148" s="506">
        <f t="shared" si="30"/>
        <v>-289448691.609998</v>
      </c>
    </row>
    <row r="149" customHeight="1" spans="1:8">
      <c r="A149" s="516" t="s">
        <v>157</v>
      </c>
      <c r="B149" s="506">
        <f t="shared" si="24"/>
        <v>24105846.9400001</v>
      </c>
      <c r="C149" s="506">
        <f t="shared" si="25"/>
        <v>-311348506.340003</v>
      </c>
      <c r="D149" s="506">
        <f t="shared" si="26"/>
        <v>91910169.589997</v>
      </c>
      <c r="E149" s="506">
        <f t="shared" si="27"/>
        <v>189418734.669999</v>
      </c>
      <c r="F149" s="506">
        <f t="shared" si="28"/>
        <v>20354687.37</v>
      </c>
      <c r="G149" s="506">
        <f t="shared" si="29"/>
        <v>25448.83</v>
      </c>
      <c r="H149" s="506">
        <f t="shared" si="30"/>
        <v>14466381.0599933</v>
      </c>
    </row>
    <row r="150" customHeight="1" spans="1:8">
      <c r="A150" s="516" t="s">
        <v>158</v>
      </c>
      <c r="B150" s="506">
        <f t="shared" si="24"/>
        <v>16051215.6727003</v>
      </c>
      <c r="C150" s="506">
        <f t="shared" si="25"/>
        <v>-469252103.873799</v>
      </c>
      <c r="D150" s="506">
        <f t="shared" si="26"/>
        <v>100645960.520896</v>
      </c>
      <c r="E150" s="506">
        <f t="shared" si="27"/>
        <v>237929234.082898</v>
      </c>
      <c r="F150" s="506">
        <f t="shared" si="28"/>
        <v>83965217.666</v>
      </c>
      <c r="G150" s="506">
        <f t="shared" si="29"/>
        <v>-4642591.49</v>
      </c>
      <c r="H150" s="506">
        <f t="shared" si="30"/>
        <v>-35303067.4213042</v>
      </c>
    </row>
    <row r="151" customHeight="1" spans="1:8">
      <c r="A151" s="516" t="s">
        <v>159</v>
      </c>
      <c r="B151" s="506">
        <f t="shared" si="24"/>
        <v>11340854.7434</v>
      </c>
      <c r="C151" s="506">
        <f t="shared" si="25"/>
        <v>-279788555.479996</v>
      </c>
      <c r="D151" s="506">
        <f t="shared" si="26"/>
        <v>85187119.5855961</v>
      </c>
      <c r="E151" s="506">
        <f t="shared" si="27"/>
        <v>253323142.681193</v>
      </c>
      <c r="F151" s="506">
        <f t="shared" si="28"/>
        <v>1396806.0099999</v>
      </c>
      <c r="G151" s="506">
        <f t="shared" si="29"/>
        <v>698136.05</v>
      </c>
      <c r="H151" s="506">
        <f t="shared" si="30"/>
        <v>72157503.5901928</v>
      </c>
    </row>
    <row r="152" customHeight="1" spans="1:8">
      <c r="A152" s="505" t="s">
        <v>15</v>
      </c>
      <c r="B152" s="506">
        <f t="shared" ref="B152:H152" si="31">SUM(B140:B151)</f>
        <v>16768933.3666002</v>
      </c>
      <c r="C152" s="506">
        <f t="shared" si="31"/>
        <v>-7688655431.886</v>
      </c>
      <c r="D152" s="506">
        <f t="shared" si="31"/>
        <v>185898064.812684</v>
      </c>
      <c r="E152" s="506">
        <f t="shared" si="31"/>
        <v>2114949646.56409</v>
      </c>
      <c r="F152" s="506">
        <f t="shared" si="31"/>
        <v>39214673.7810001</v>
      </c>
      <c r="G152" s="506">
        <f t="shared" si="31"/>
        <v>-13062071.06</v>
      </c>
      <c r="H152" s="506">
        <f t="shared" si="31"/>
        <v>-5344886184.42162</v>
      </c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S106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S34" sqref="S34"/>
    </sheetView>
  </sheetViews>
  <sheetFormatPr defaultColWidth="9" defaultRowHeight="13.5"/>
  <cols>
    <col min="1" max="1" width="10.2583333333333" style="105" customWidth="1"/>
    <col min="2" max="2" width="10.6333333333333" style="105" customWidth="1"/>
    <col min="3" max="4" width="7.18333333333333" style="105" customWidth="1"/>
    <col min="5" max="6" width="7.90833333333333" style="105" customWidth="1"/>
    <col min="7" max="7" width="8" style="105" customWidth="1"/>
    <col min="8" max="8" width="7.18333333333333" style="105" customWidth="1"/>
    <col min="9" max="9" width="7.90833333333333" style="105" hidden="1" customWidth="1"/>
    <col min="10" max="13" width="7.18333333333333" style="105" hidden="1" customWidth="1"/>
    <col min="14" max="14" width="8.63333333333333" style="105" customWidth="1"/>
    <col min="15" max="15" width="10.1083333333333" style="441" customWidth="1"/>
    <col min="16" max="16" width="13" style="105" customWidth="1"/>
    <col min="17" max="17" width="9.75" style="129" customWidth="1"/>
    <col min="18" max="18" width="12.25" style="442" customWidth="1"/>
    <col min="19" max="20" width="9.5" style="442" customWidth="1"/>
    <col min="21" max="21" width="11.5" style="105" customWidth="1"/>
    <col min="22" max="23" width="10.5" style="105" customWidth="1"/>
    <col min="24" max="24" width="11.5" style="105" customWidth="1"/>
    <col min="25" max="25" width="10.5583333333333" style="105" customWidth="1"/>
    <col min="26" max="26" width="11" style="105" customWidth="1"/>
    <col min="27" max="27" width="14" style="105"/>
    <col min="28" max="16370" width="9" style="105"/>
  </cols>
  <sheetData>
    <row r="1" ht="14.25" spans="1:1">
      <c r="A1" s="105" t="s">
        <v>96</v>
      </c>
    </row>
    <row r="2" ht="14.1" customHeight="1" spans="1:16373">
      <c r="A2" s="443" t="s">
        <v>175</v>
      </c>
      <c r="B2" s="444" t="s">
        <v>148</v>
      </c>
      <c r="C2" s="444" t="s">
        <v>149</v>
      </c>
      <c r="D2" s="444" t="s">
        <v>150</v>
      </c>
      <c r="E2" s="444" t="s">
        <v>151</v>
      </c>
      <c r="F2" s="444" t="s">
        <v>152</v>
      </c>
      <c r="G2" s="444" t="s">
        <v>153</v>
      </c>
      <c r="H2" s="444" t="s">
        <v>154</v>
      </c>
      <c r="I2" s="444" t="s">
        <v>155</v>
      </c>
      <c r="J2" s="444" t="s">
        <v>156</v>
      </c>
      <c r="K2" s="444" t="s">
        <v>157</v>
      </c>
      <c r="L2" s="444" t="s">
        <v>158</v>
      </c>
      <c r="M2" s="444" t="s">
        <v>159</v>
      </c>
      <c r="N2" s="444" t="s">
        <v>15</v>
      </c>
      <c r="O2" s="452" t="s">
        <v>176</v>
      </c>
      <c r="Q2" s="464" t="s">
        <v>175</v>
      </c>
      <c r="R2" s="464" t="s">
        <v>96</v>
      </c>
      <c r="S2" s="442" t="s">
        <v>118</v>
      </c>
      <c r="T2" s="442" t="s">
        <v>119</v>
      </c>
      <c r="U2" s="465" t="s">
        <v>168</v>
      </c>
      <c r="V2" s="442"/>
      <c r="W2" s="466"/>
      <c r="XEQ2" s="105"/>
      <c r="XER2" s="105"/>
      <c r="XES2" s="105"/>
    </row>
    <row r="3" ht="14.1" customHeight="1" spans="1:16373">
      <c r="A3" s="445" t="s">
        <v>177</v>
      </c>
      <c r="B3" s="446">
        <v>55063.0670483399</v>
      </c>
      <c r="C3" s="446">
        <v>45120.5118132198</v>
      </c>
      <c r="D3" s="446">
        <v>57418.920312729</v>
      </c>
      <c r="E3" s="446">
        <v>51803.5217394297</v>
      </c>
      <c r="F3" s="446">
        <v>45322.1331188591</v>
      </c>
      <c r="G3" s="446">
        <v>43295.3225616208</v>
      </c>
      <c r="H3" s="446">
        <v>48615.9304812207</v>
      </c>
      <c r="I3" s="446"/>
      <c r="J3" s="446"/>
      <c r="K3" s="446"/>
      <c r="L3" s="446"/>
      <c r="M3" s="446"/>
      <c r="N3" s="446">
        <f t="shared" ref="N3:N15" si="0">(SUM(B3:M3))</f>
        <v>346639.407075419</v>
      </c>
      <c r="O3" s="453">
        <f t="shared" ref="O3:O15" si="1">ROUND(N3/$N$16,4)</f>
        <v>0.8015</v>
      </c>
      <c r="Q3" s="467" t="s">
        <v>178</v>
      </c>
      <c r="R3" s="468">
        <f>R13/Y13</f>
        <v>0.815386641240531</v>
      </c>
      <c r="S3" s="468">
        <f>R14/Y14</f>
        <v>0.690293202819561</v>
      </c>
      <c r="T3" s="468">
        <f>R15/Y15</f>
        <v>0.696898366991753</v>
      </c>
      <c r="U3" s="469">
        <f>R16/Y16</f>
        <v>0.678933975734218</v>
      </c>
      <c r="V3" s="470"/>
      <c r="W3" s="471"/>
      <c r="X3" s="472"/>
      <c r="AA3" s="467"/>
      <c r="XEQ3" s="105"/>
      <c r="XER3" s="105"/>
      <c r="XES3" s="105"/>
    </row>
    <row r="4" ht="14.1" customHeight="1" spans="1:16373">
      <c r="A4" s="445" t="s">
        <v>179</v>
      </c>
      <c r="B4" s="446"/>
      <c r="C4" s="446"/>
      <c r="D4" s="446"/>
      <c r="E4" s="446">
        <v>31.579643</v>
      </c>
      <c r="F4" s="446">
        <v>705.670171960021</v>
      </c>
      <c r="G4" s="446">
        <v>2546.67270728</v>
      </c>
      <c r="H4" s="446">
        <v>2700.30697145999</v>
      </c>
      <c r="I4" s="446"/>
      <c r="J4" s="446"/>
      <c r="K4" s="446"/>
      <c r="L4" s="446"/>
      <c r="M4" s="446"/>
      <c r="N4" s="446">
        <f t="shared" si="0"/>
        <v>5984.22949370001</v>
      </c>
      <c r="O4" s="453">
        <f t="shared" si="1"/>
        <v>0.0138</v>
      </c>
      <c r="Q4" s="467" t="s">
        <v>180</v>
      </c>
      <c r="R4" s="468">
        <f>S13/Y13</f>
        <v>0.00438198347591035</v>
      </c>
      <c r="S4" s="468">
        <f>S14/Y14</f>
        <v>0.0869679944506354</v>
      </c>
      <c r="T4" s="468">
        <f>S15/Y15</f>
        <v>0.101812724491482</v>
      </c>
      <c r="U4" s="469">
        <f>S16/Y16</f>
        <v>0.128323232375017</v>
      </c>
      <c r="V4" s="470"/>
      <c r="W4" s="471"/>
      <c r="AA4" s="491"/>
      <c r="XEQ4" s="105"/>
      <c r="XER4" s="105"/>
      <c r="XES4" s="105"/>
    </row>
    <row r="5" ht="14.1" customHeight="1" spans="1:16373">
      <c r="A5" s="445" t="s">
        <v>180</v>
      </c>
      <c r="B5" s="446">
        <v>190.33021588</v>
      </c>
      <c r="C5" s="446">
        <v>199.69965262</v>
      </c>
      <c r="D5" s="446">
        <v>194.03104264</v>
      </c>
      <c r="E5" s="446">
        <v>183.95278654</v>
      </c>
      <c r="F5" s="446">
        <v>467.274441590001</v>
      </c>
      <c r="G5" s="446">
        <v>658.65460278</v>
      </c>
      <c r="H5" s="446">
        <v>1.09805272000001</v>
      </c>
      <c r="I5" s="446"/>
      <c r="J5" s="446"/>
      <c r="K5" s="446"/>
      <c r="L5" s="446"/>
      <c r="M5" s="446"/>
      <c r="N5" s="446">
        <f t="shared" si="0"/>
        <v>1895.04079477</v>
      </c>
      <c r="O5" s="453">
        <f t="shared" si="1"/>
        <v>0.0044</v>
      </c>
      <c r="P5" s="454">
        <f>O5+O6+O7</f>
        <v>0.0385</v>
      </c>
      <c r="Q5" s="467" t="s">
        <v>181</v>
      </c>
      <c r="R5" s="468">
        <f>T13/Y13</f>
        <v>0.0304189941019047</v>
      </c>
      <c r="S5" s="468">
        <f>T14/Y14</f>
        <v>0.055586614264152</v>
      </c>
      <c r="T5" s="468">
        <f>T15/Y15</f>
        <v>0.0516179941747579</v>
      </c>
      <c r="U5" s="469">
        <f>T16/Y16</f>
        <v>0.0636527073378993</v>
      </c>
      <c r="V5" s="470"/>
      <c r="W5" s="471"/>
      <c r="X5" s="472"/>
      <c r="AA5" s="491"/>
      <c r="XEQ5" s="105"/>
      <c r="XER5" s="105"/>
      <c r="XES5" s="105"/>
    </row>
    <row r="6" ht="14.1" customHeight="1" spans="1:16373">
      <c r="A6" s="445" t="s">
        <v>181</v>
      </c>
      <c r="B6" s="446">
        <v>2049.73248359</v>
      </c>
      <c r="C6" s="446">
        <v>1846.040324</v>
      </c>
      <c r="D6" s="446">
        <v>1706.00950537</v>
      </c>
      <c r="E6" s="446">
        <v>1664.0018495</v>
      </c>
      <c r="F6" s="446">
        <v>2202.84108679001</v>
      </c>
      <c r="G6" s="446">
        <v>1977.30838909</v>
      </c>
      <c r="H6" s="446">
        <v>1709.12161823</v>
      </c>
      <c r="I6" s="446"/>
      <c r="J6" s="446"/>
      <c r="K6" s="446"/>
      <c r="L6" s="446"/>
      <c r="M6" s="446"/>
      <c r="N6" s="446">
        <f t="shared" si="0"/>
        <v>13155.05525657</v>
      </c>
      <c r="O6" s="453">
        <f t="shared" si="1"/>
        <v>0.0304</v>
      </c>
      <c r="P6" s="455"/>
      <c r="Q6" s="467" t="s">
        <v>182</v>
      </c>
      <c r="R6" s="468">
        <f>U13/Y13</f>
        <v>0.00366401090467952</v>
      </c>
      <c r="S6" s="468">
        <f>U14/Y14</f>
        <v>0.00329743804217751</v>
      </c>
      <c r="T6" s="468">
        <f>U15/Y15</f>
        <v>0.00369028972962508</v>
      </c>
      <c r="U6" s="469">
        <f>U16/Y16</f>
        <v>0.0139881645650695</v>
      </c>
      <c r="V6" s="470"/>
      <c r="W6" s="471"/>
      <c r="AA6" s="491"/>
      <c r="XEQ6" s="105"/>
      <c r="XER6" s="105"/>
      <c r="XES6" s="105"/>
    </row>
    <row r="7" ht="14.1" customHeight="1" spans="1:16373">
      <c r="A7" s="445" t="s">
        <v>182</v>
      </c>
      <c r="B7" s="446">
        <v>230.92895841</v>
      </c>
      <c r="C7" s="446">
        <v>199.51259614</v>
      </c>
      <c r="D7" s="446">
        <v>226.9942324</v>
      </c>
      <c r="E7" s="446">
        <v>171.5955198</v>
      </c>
      <c r="F7" s="446">
        <v>210.09979202</v>
      </c>
      <c r="G7" s="446">
        <v>259.57187226</v>
      </c>
      <c r="H7" s="446">
        <v>285.84205864</v>
      </c>
      <c r="I7" s="446"/>
      <c r="J7" s="446"/>
      <c r="K7" s="446"/>
      <c r="L7" s="446"/>
      <c r="M7" s="446"/>
      <c r="N7" s="446">
        <f t="shared" si="0"/>
        <v>1584.54502967</v>
      </c>
      <c r="O7" s="453">
        <f t="shared" si="1"/>
        <v>0.0037</v>
      </c>
      <c r="P7" s="456"/>
      <c r="Q7" s="467" t="s">
        <v>183</v>
      </c>
      <c r="R7" s="468">
        <f>V13/Y13</f>
        <v>0.0974193146441635</v>
      </c>
      <c r="S7" s="468">
        <f>V14/Y14</f>
        <v>0.0845976431335684</v>
      </c>
      <c r="T7" s="468">
        <f>V15/Y15</f>
        <v>0.0673311780629344</v>
      </c>
      <c r="U7" s="469">
        <f>V16/Y16</f>
        <v>0.030087931195597</v>
      </c>
      <c r="V7" s="470"/>
      <c r="W7" s="471"/>
      <c r="AA7" s="491"/>
      <c r="XEQ7" s="105"/>
      <c r="XER7" s="105"/>
      <c r="XES7" s="105"/>
    </row>
    <row r="8" ht="14.1" customHeight="1" spans="1:16373">
      <c r="A8" s="445" t="s">
        <v>183</v>
      </c>
      <c r="B8" s="446">
        <v>7907.54193577999</v>
      </c>
      <c r="C8" s="446">
        <v>5765.95615364</v>
      </c>
      <c r="D8" s="446">
        <v>5728.94146289998</v>
      </c>
      <c r="E8" s="446">
        <v>4580.54790763999</v>
      </c>
      <c r="F8" s="446">
        <v>4494.43520652</v>
      </c>
      <c r="G8" s="446">
        <v>6285.48655223999</v>
      </c>
      <c r="H8" s="446">
        <v>7367.23035486002</v>
      </c>
      <c r="I8" s="446"/>
      <c r="J8" s="446"/>
      <c r="K8" s="446"/>
      <c r="L8" s="446"/>
      <c r="M8" s="446"/>
      <c r="N8" s="446">
        <f t="shared" si="0"/>
        <v>42130.13957358</v>
      </c>
      <c r="O8" s="453">
        <f t="shared" si="1"/>
        <v>0.0974</v>
      </c>
      <c r="P8" s="455"/>
      <c r="Q8" s="467" t="s">
        <v>184</v>
      </c>
      <c r="R8" s="468">
        <f>W13/Y13</f>
        <v>0.0339197833887012</v>
      </c>
      <c r="S8" s="468">
        <f>W14/Y14</f>
        <v>0.0422822332113227</v>
      </c>
      <c r="T8" s="468">
        <f>W15/Y15</f>
        <v>0.0445962463563397</v>
      </c>
      <c r="U8" s="469">
        <f>W16/Y16</f>
        <v>0.0248331331995304</v>
      </c>
      <c r="V8" s="470"/>
      <c r="W8" s="471"/>
      <c r="AA8" s="467"/>
      <c r="XEQ8" s="105"/>
      <c r="XER8" s="105"/>
      <c r="XES8" s="105"/>
    </row>
    <row r="9" ht="14.1" customHeight="1" spans="1:16373">
      <c r="A9" s="445" t="s">
        <v>185</v>
      </c>
      <c r="B9" s="446">
        <v>3623.41096538</v>
      </c>
      <c r="C9" s="446">
        <v>1339.3876653</v>
      </c>
      <c r="D9" s="446">
        <v>547.555144</v>
      </c>
      <c r="E9" s="446">
        <v>899.184851819999</v>
      </c>
      <c r="F9" s="446">
        <v>6022.96739618</v>
      </c>
      <c r="G9" s="446">
        <v>718.47917124</v>
      </c>
      <c r="H9" s="446">
        <v>1363.9832624</v>
      </c>
      <c r="I9" s="446"/>
      <c r="J9" s="446"/>
      <c r="K9" s="446"/>
      <c r="L9" s="446"/>
      <c r="M9" s="446"/>
      <c r="N9" s="446">
        <f t="shared" si="0"/>
        <v>14514.96845632</v>
      </c>
      <c r="O9" s="453">
        <f t="shared" si="1"/>
        <v>0.0336</v>
      </c>
      <c r="P9" s="457">
        <f>O9+O10</f>
        <v>0.034</v>
      </c>
      <c r="Q9" s="467" t="s">
        <v>186</v>
      </c>
      <c r="R9" s="468">
        <f>X13/Y13</f>
        <v>0.0148092722441098</v>
      </c>
      <c r="S9" s="468">
        <f>X14/Y14</f>
        <v>0.0369748740785826</v>
      </c>
      <c r="T9" s="468">
        <f>X15/Y15</f>
        <v>0.0340532001931074</v>
      </c>
      <c r="U9" s="469">
        <f>X16/Y16</f>
        <v>0.321066024265782</v>
      </c>
      <c r="V9" s="470"/>
      <c r="W9" s="471"/>
      <c r="AA9" s="467"/>
      <c r="XEQ9" s="105"/>
      <c r="XER9" s="105"/>
      <c r="XES9" s="105"/>
    </row>
    <row r="10" ht="14.1" customHeight="1" spans="1:16373">
      <c r="A10" s="445" t="s">
        <v>187</v>
      </c>
      <c r="B10" s="446">
        <v>0</v>
      </c>
      <c r="C10" s="446">
        <v>0</v>
      </c>
      <c r="D10" s="446">
        <v>0</v>
      </c>
      <c r="E10" s="446">
        <v>35.226567</v>
      </c>
      <c r="F10" s="446">
        <v>27.489975</v>
      </c>
      <c r="G10" s="446">
        <v>23.48313584</v>
      </c>
      <c r="H10" s="446">
        <v>67.845025</v>
      </c>
      <c r="I10" s="446"/>
      <c r="J10" s="446"/>
      <c r="K10" s="446"/>
      <c r="L10" s="446"/>
      <c r="M10" s="446"/>
      <c r="N10" s="446">
        <f t="shared" si="0"/>
        <v>154.04470284</v>
      </c>
      <c r="O10" s="453">
        <f t="shared" si="1"/>
        <v>0.0004</v>
      </c>
      <c r="P10" s="455"/>
      <c r="Q10" s="473" t="s">
        <v>71</v>
      </c>
      <c r="R10" s="474">
        <f>SUM(R3:R9)</f>
        <v>1</v>
      </c>
      <c r="S10" s="474">
        <f>SUM(S3:S9)</f>
        <v>1</v>
      </c>
      <c r="T10" s="474">
        <f>SUM(T3:T9)</f>
        <v>1</v>
      </c>
      <c r="U10" s="475">
        <f>SUM(U3:U9)</f>
        <v>1.26088516867311</v>
      </c>
      <c r="V10" s="442"/>
      <c r="W10" s="442"/>
      <c r="XEQ10" s="105"/>
      <c r="XER10" s="105"/>
      <c r="XES10" s="105"/>
    </row>
    <row r="11" ht="14.1" customHeight="1" spans="1:16">
      <c r="A11" s="445" t="s">
        <v>188</v>
      </c>
      <c r="B11" s="446">
        <v>0.00845142</v>
      </c>
      <c r="C11" s="446">
        <v>0.00939968</v>
      </c>
      <c r="D11" s="446">
        <v>1.92066777999999</v>
      </c>
      <c r="E11" s="446">
        <v>3.50071041999999</v>
      </c>
      <c r="F11" s="446">
        <v>7.29647728</v>
      </c>
      <c r="G11" s="446">
        <v>3.31498192</v>
      </c>
      <c r="H11" s="446">
        <v>32.52679644</v>
      </c>
      <c r="I11" s="446"/>
      <c r="J11" s="446"/>
      <c r="K11" s="446"/>
      <c r="L11" s="446"/>
      <c r="M11" s="446"/>
      <c r="N11" s="446">
        <f t="shared" si="0"/>
        <v>48.57748494</v>
      </c>
      <c r="O11" s="453">
        <f t="shared" si="1"/>
        <v>0.0001</v>
      </c>
      <c r="P11" s="455"/>
    </row>
    <row r="12" ht="14.1" customHeight="1" spans="1:27">
      <c r="A12" s="445" t="s">
        <v>189</v>
      </c>
      <c r="B12" s="446">
        <v>790.755420820001</v>
      </c>
      <c r="C12" s="446">
        <v>704.81210874</v>
      </c>
      <c r="D12" s="446">
        <v>742.657972959998</v>
      </c>
      <c r="E12" s="446">
        <v>935.422587030001</v>
      </c>
      <c r="F12" s="446">
        <v>969.399609000001</v>
      </c>
      <c r="G12" s="446">
        <v>1099.46085045</v>
      </c>
      <c r="H12" s="446">
        <v>858.728585800004</v>
      </c>
      <c r="I12" s="446"/>
      <c r="J12" s="446"/>
      <c r="K12" s="446"/>
      <c r="L12" s="446"/>
      <c r="M12" s="446"/>
      <c r="N12" s="446">
        <f t="shared" si="0"/>
        <v>6101.23713480001</v>
      </c>
      <c r="O12" s="453">
        <f t="shared" si="1"/>
        <v>0.0141</v>
      </c>
      <c r="P12" s="455"/>
      <c r="Q12" s="129" t="s">
        <v>190</v>
      </c>
      <c r="R12" s="476" t="s">
        <v>178</v>
      </c>
      <c r="S12" s="381" t="s">
        <v>180</v>
      </c>
      <c r="T12" s="381" t="s">
        <v>181</v>
      </c>
      <c r="U12" s="381" t="s">
        <v>182</v>
      </c>
      <c r="V12" s="476" t="s">
        <v>183</v>
      </c>
      <c r="W12" s="476" t="s">
        <v>184</v>
      </c>
      <c r="X12" s="476" t="s">
        <v>191</v>
      </c>
      <c r="Y12" s="476" t="s">
        <v>192</v>
      </c>
      <c r="Z12" s="476" t="s">
        <v>193</v>
      </c>
      <c r="AA12" s="105" t="s">
        <v>194</v>
      </c>
    </row>
    <row r="13" ht="14.1" customHeight="1" spans="1:27">
      <c r="A13" s="445" t="s">
        <v>195</v>
      </c>
      <c r="B13" s="446">
        <v>22.78302586</v>
      </c>
      <c r="C13" s="446">
        <v>19.47548192</v>
      </c>
      <c r="D13" s="446">
        <v>20.44955898</v>
      </c>
      <c r="E13" s="446">
        <v>20.69113874</v>
      </c>
      <c r="F13" s="446">
        <v>16.10901606</v>
      </c>
      <c r="G13" s="446">
        <v>29.63617978</v>
      </c>
      <c r="H13" s="446">
        <v>18.8802632</v>
      </c>
      <c r="I13" s="446"/>
      <c r="J13" s="446"/>
      <c r="K13" s="446"/>
      <c r="L13" s="446"/>
      <c r="M13" s="446"/>
      <c r="N13" s="446">
        <f t="shared" si="0"/>
        <v>148.02466454</v>
      </c>
      <c r="O13" s="453">
        <f t="shared" si="1"/>
        <v>0.0003</v>
      </c>
      <c r="Q13" s="129" t="s">
        <v>96</v>
      </c>
      <c r="R13" s="187">
        <f>N3+N4</f>
        <v>352623.636569119</v>
      </c>
      <c r="S13" s="477">
        <f>N5</f>
        <v>1895.04079477</v>
      </c>
      <c r="T13" s="477">
        <f>N6</f>
        <v>13155.05525657</v>
      </c>
      <c r="U13" s="477">
        <f>N7</f>
        <v>1584.54502967</v>
      </c>
      <c r="V13" s="187">
        <f>N8</f>
        <v>42130.13957358</v>
      </c>
      <c r="W13" s="187">
        <f>N9+N10</f>
        <v>14669.01315916</v>
      </c>
      <c r="X13" s="478">
        <f>Y13-SUM(R13:W13)</f>
        <v>6404.44565747998</v>
      </c>
      <c r="Y13" s="187">
        <f>N16</f>
        <v>432461.876040349</v>
      </c>
      <c r="Z13" s="478">
        <f>Y13-R13</f>
        <v>79838.23947123</v>
      </c>
      <c r="AA13" s="141">
        <f>Y13-'GMV表-商品大类'!F85</f>
        <v>-5.0058588385582e-9</v>
      </c>
    </row>
    <row r="14" ht="14.1" customHeight="1" spans="1:27">
      <c r="A14" s="445" t="s">
        <v>196</v>
      </c>
      <c r="B14" s="446">
        <v>0.00039</v>
      </c>
      <c r="C14" s="446">
        <v>0.00499048</v>
      </c>
      <c r="D14" s="446">
        <v>0.00124</v>
      </c>
      <c r="E14" s="446">
        <v>0.0007</v>
      </c>
      <c r="F14" s="446">
        <v>0.00499048</v>
      </c>
      <c r="G14" s="446">
        <v>0</v>
      </c>
      <c r="H14" s="446">
        <v>0</v>
      </c>
      <c r="I14" s="446"/>
      <c r="J14" s="446"/>
      <c r="K14" s="446"/>
      <c r="L14" s="446"/>
      <c r="M14" s="446"/>
      <c r="N14" s="446">
        <f t="shared" si="0"/>
        <v>0.01231096</v>
      </c>
      <c r="O14" s="453">
        <f t="shared" si="1"/>
        <v>0</v>
      </c>
      <c r="Q14" s="129" t="s">
        <v>118</v>
      </c>
      <c r="R14" s="479">
        <f>N21</f>
        <v>354533.61501104</v>
      </c>
      <c r="S14" s="480">
        <f>N22</f>
        <v>44666.63924388</v>
      </c>
      <c r="T14" s="480">
        <f>N23</f>
        <v>28549.20665711</v>
      </c>
      <c r="U14" s="480">
        <f>N24</f>
        <v>1693.559526</v>
      </c>
      <c r="V14" s="479">
        <f>N25</f>
        <v>43449.23015184</v>
      </c>
      <c r="W14" s="479">
        <f>N26+N27</f>
        <v>21716.09531996</v>
      </c>
      <c r="X14" s="479">
        <f>Y14-SUM(R14:W14)</f>
        <v>18990.2431577099</v>
      </c>
      <c r="Y14" s="479">
        <f>N34</f>
        <v>513598.58906754</v>
      </c>
      <c r="Z14" s="479">
        <f>Y14-R14</f>
        <v>159064.9740565</v>
      </c>
      <c r="AA14" s="492">
        <f>Y14-'GMV表-商品大类'!F84</f>
        <v>1.97906047105789e-9</v>
      </c>
    </row>
    <row r="15" ht="14.1" customHeight="1" spans="1:27">
      <c r="A15" s="445" t="s">
        <v>197</v>
      </c>
      <c r="B15" s="446">
        <v>13.916859</v>
      </c>
      <c r="C15" s="446">
        <v>11.52919324</v>
      </c>
      <c r="D15" s="446">
        <v>10.90677992</v>
      </c>
      <c r="E15" s="446">
        <v>16.77900186</v>
      </c>
      <c r="F15" s="446">
        <v>26.10743186</v>
      </c>
      <c r="G15" s="446">
        <v>16.5937476</v>
      </c>
      <c r="H15" s="446">
        <v>10.76104876</v>
      </c>
      <c r="I15" s="446"/>
      <c r="J15" s="446"/>
      <c r="K15" s="446"/>
      <c r="L15" s="446"/>
      <c r="M15" s="446"/>
      <c r="N15" s="446">
        <f t="shared" si="0"/>
        <v>106.59406224</v>
      </c>
      <c r="O15" s="453">
        <f t="shared" si="1"/>
        <v>0.0002</v>
      </c>
      <c r="Q15" s="129" t="s">
        <v>119</v>
      </c>
      <c r="R15" s="479">
        <f>N39</f>
        <v>684142.42380739</v>
      </c>
      <c r="S15" s="480">
        <f>N40</f>
        <v>99949.156731</v>
      </c>
      <c r="T15" s="480">
        <f>N41</f>
        <v>50673.18467</v>
      </c>
      <c r="U15" s="480">
        <f>N42</f>
        <v>3622.743114</v>
      </c>
      <c r="V15" s="479">
        <f>N43</f>
        <v>66098.7563461</v>
      </c>
      <c r="W15" s="479">
        <f>N44+N45</f>
        <v>43779.962072</v>
      </c>
      <c r="X15" s="481">
        <f>Y15-SUM(R15:W15)</f>
        <v>33429.8945469999</v>
      </c>
      <c r="Y15" s="479">
        <f>N53</f>
        <v>981696.12128749</v>
      </c>
      <c r="Z15" s="481">
        <f>Y15-R15</f>
        <v>297553.6974801</v>
      </c>
      <c r="AA15" s="492">
        <f>Y15-'GMV表-商品大类'!F83</f>
        <v>0.000607002060860395</v>
      </c>
    </row>
    <row r="16" ht="14.1" customHeight="1" spans="1:27">
      <c r="A16" s="447" t="s">
        <v>198</v>
      </c>
      <c r="B16" s="448">
        <f t="shared" ref="B16:O16" si="2">SUM(B3:B15)</f>
        <v>69892.4757544799</v>
      </c>
      <c r="C16" s="448">
        <f t="shared" si="2"/>
        <v>55206.9393789798</v>
      </c>
      <c r="D16" s="448">
        <f t="shared" si="2"/>
        <v>66598.387919679</v>
      </c>
      <c r="E16" s="448">
        <f t="shared" si="2"/>
        <v>60346.0050027797</v>
      </c>
      <c r="F16" s="448">
        <f t="shared" si="2"/>
        <v>60471.8287135991</v>
      </c>
      <c r="G16" s="448">
        <f t="shared" si="2"/>
        <v>56913.9847521008</v>
      </c>
      <c r="H16" s="448">
        <f t="shared" si="2"/>
        <v>63032.2545187307</v>
      </c>
      <c r="I16" s="448">
        <f t="shared" si="2"/>
        <v>0</v>
      </c>
      <c r="J16" s="448">
        <f t="shared" si="2"/>
        <v>0</v>
      </c>
      <c r="K16" s="448">
        <f t="shared" si="2"/>
        <v>0</v>
      </c>
      <c r="L16" s="448">
        <f t="shared" si="2"/>
        <v>0</v>
      </c>
      <c r="M16" s="448">
        <f t="shared" si="2"/>
        <v>0</v>
      </c>
      <c r="N16" s="448">
        <f t="shared" si="2"/>
        <v>432461.876040349</v>
      </c>
      <c r="O16" s="458">
        <f t="shared" si="2"/>
        <v>0.9999</v>
      </c>
      <c r="P16" s="459"/>
      <c r="Q16" s="482" t="s">
        <v>168</v>
      </c>
      <c r="R16" s="483">
        <f>N57</f>
        <v>1095964.39497851</v>
      </c>
      <c r="S16" s="484">
        <f>N58</f>
        <v>207144.875287</v>
      </c>
      <c r="T16" s="484">
        <f>N59</f>
        <v>102750.93511248</v>
      </c>
      <c r="U16" s="484">
        <f>N60</f>
        <v>22580.296262</v>
      </c>
      <c r="V16" s="483">
        <f>N61</f>
        <v>48569.231306</v>
      </c>
      <c r="W16" s="483">
        <f>N62+N63</f>
        <v>40086.710601</v>
      </c>
      <c r="X16" s="483">
        <f>Y16-SUM(R16:R16)</f>
        <v>518278.57142084</v>
      </c>
      <c r="Y16" s="483">
        <f>N71</f>
        <v>1614242.96639935</v>
      </c>
      <c r="Z16" s="483">
        <f>Y16-R16</f>
        <v>518278.57142084</v>
      </c>
      <c r="AA16" s="493">
        <f>Y16-'GMV表-商品大类'!F82</f>
        <v>-2.40281224250793e-7</v>
      </c>
    </row>
    <row r="17" ht="14.1" customHeight="1" spans="17:27">
      <c r="Q17" s="129" t="s">
        <v>199</v>
      </c>
      <c r="R17" s="485">
        <f t="shared" ref="R17:Y17" si="3">R13-R14</f>
        <v>-1909.978441921</v>
      </c>
      <c r="S17" s="485">
        <f t="shared" si="3"/>
        <v>-42771.59844911</v>
      </c>
      <c r="T17" s="485">
        <f t="shared" si="3"/>
        <v>-15394.15140054</v>
      </c>
      <c r="U17" s="485">
        <f t="shared" si="3"/>
        <v>-109.014496329999</v>
      </c>
      <c r="V17" s="485">
        <f t="shared" si="3"/>
        <v>-1319.09057826002</v>
      </c>
      <c r="W17" s="485">
        <f t="shared" si="3"/>
        <v>-7047.08216079999</v>
      </c>
      <c r="X17" s="485">
        <f t="shared" si="3"/>
        <v>-12585.79750023</v>
      </c>
      <c r="Y17" s="485">
        <f t="shared" si="3"/>
        <v>-81136.7130271908</v>
      </c>
      <c r="Z17" s="481"/>
      <c r="AA17" s="494"/>
    </row>
    <row r="18" ht="14" customHeight="1" spans="18:27">
      <c r="R18" s="486">
        <f t="shared" ref="R18:Y18" si="4">R17/R14</f>
        <v>-0.00538729858341226</v>
      </c>
      <c r="S18" s="487">
        <f t="shared" si="4"/>
        <v>-0.957573687502588</v>
      </c>
      <c r="T18" s="487">
        <f t="shared" si="4"/>
        <v>-0.53921468240541</v>
      </c>
      <c r="U18" s="487">
        <f t="shared" si="4"/>
        <v>-0.0643700411213057</v>
      </c>
      <c r="V18" s="487">
        <f t="shared" si="4"/>
        <v>-0.030359354438508</v>
      </c>
      <c r="W18" s="487">
        <f t="shared" si="4"/>
        <v>-0.324509634764901</v>
      </c>
      <c r="X18" s="487">
        <f t="shared" si="4"/>
        <v>-0.662750729188018</v>
      </c>
      <c r="Y18" s="487">
        <f t="shared" si="4"/>
        <v>-0.157976900159515</v>
      </c>
      <c r="Z18" s="481"/>
      <c r="AA18" s="494"/>
    </row>
    <row r="19" ht="14.25" spans="1:27">
      <c r="A19" s="105" t="s">
        <v>118</v>
      </c>
      <c r="R19" s="105"/>
      <c r="U19" s="442"/>
      <c r="Z19" s="495"/>
      <c r="AA19" s="494"/>
    </row>
    <row r="20" ht="14.25" spans="1:26">
      <c r="A20" s="443" t="s">
        <v>175</v>
      </c>
      <c r="B20" s="444" t="s">
        <v>148</v>
      </c>
      <c r="C20" s="444" t="s">
        <v>149</v>
      </c>
      <c r="D20" s="444" t="s">
        <v>150</v>
      </c>
      <c r="E20" s="444" t="s">
        <v>151</v>
      </c>
      <c r="F20" s="444" t="s">
        <v>152</v>
      </c>
      <c r="G20" s="444" t="s">
        <v>153</v>
      </c>
      <c r="H20" s="444" t="s">
        <v>154</v>
      </c>
      <c r="I20" s="444" t="s">
        <v>155</v>
      </c>
      <c r="J20" s="444" t="s">
        <v>156</v>
      </c>
      <c r="K20" s="444" t="s">
        <v>157</v>
      </c>
      <c r="L20" s="444" t="s">
        <v>158</v>
      </c>
      <c r="M20" s="444" t="s">
        <v>159</v>
      </c>
      <c r="N20" s="444" t="s">
        <v>15</v>
      </c>
      <c r="O20" s="452" t="s">
        <v>176</v>
      </c>
      <c r="Q20" s="129" t="s">
        <v>175</v>
      </c>
      <c r="R20" s="488" t="s">
        <v>178</v>
      </c>
      <c r="S20" s="488" t="s">
        <v>180</v>
      </c>
      <c r="T20" s="488" t="s">
        <v>181</v>
      </c>
      <c r="U20" s="488" t="s">
        <v>182</v>
      </c>
      <c r="V20" s="488" t="s">
        <v>183</v>
      </c>
      <c r="W20" s="488" t="s">
        <v>184</v>
      </c>
      <c r="X20" s="488" t="s">
        <v>186</v>
      </c>
      <c r="Y20" s="476" t="s">
        <v>71</v>
      </c>
      <c r="Z20" s="495"/>
    </row>
    <row r="21" spans="1:26">
      <c r="A21" s="445" t="s">
        <v>177</v>
      </c>
      <c r="B21" s="446">
        <v>57380.3320299996</v>
      </c>
      <c r="C21" s="446">
        <v>49703.1678130011</v>
      </c>
      <c r="D21" s="446">
        <v>52869.6115398005</v>
      </c>
      <c r="E21" s="446">
        <v>39772.3221187307</v>
      </c>
      <c r="F21" s="446">
        <v>48186.4975888606</v>
      </c>
      <c r="G21" s="446">
        <v>55691.4195100989</v>
      </c>
      <c r="H21" s="446">
        <v>50930.2644105484</v>
      </c>
      <c r="I21" s="446">
        <v>57429.5881111383</v>
      </c>
      <c r="J21" s="446">
        <v>43578.6411271679</v>
      </c>
      <c r="K21" s="446">
        <v>46612.0112774093</v>
      </c>
      <c r="L21" s="446">
        <v>47834.9713651098</v>
      </c>
      <c r="M21" s="446">
        <v>50236.7514625791</v>
      </c>
      <c r="N21" s="446">
        <f t="shared" ref="N21:N33" si="5">SUM(B21:H21)</f>
        <v>354533.61501104</v>
      </c>
      <c r="O21" s="453">
        <f t="shared" ref="O21:O33" si="6">ROUND(N21/$N$34,4)</f>
        <v>0.6903</v>
      </c>
      <c r="Q21" s="129" t="s">
        <v>96</v>
      </c>
      <c r="R21" s="489">
        <f t="shared" ref="R21:X21" si="7">R13/$Y$13</f>
        <v>0.815386641240531</v>
      </c>
      <c r="S21" s="489">
        <f t="shared" si="7"/>
        <v>0.00438198347591035</v>
      </c>
      <c r="T21" s="489">
        <f t="shared" si="7"/>
        <v>0.0304189941019047</v>
      </c>
      <c r="U21" s="489">
        <f t="shared" si="7"/>
        <v>0.00366401090467952</v>
      </c>
      <c r="V21" s="489">
        <f t="shared" si="7"/>
        <v>0.0974193146441635</v>
      </c>
      <c r="W21" s="489">
        <f t="shared" si="7"/>
        <v>0.0339197833887012</v>
      </c>
      <c r="X21" s="489">
        <f t="shared" si="7"/>
        <v>0.0148092722441098</v>
      </c>
      <c r="Y21" s="496">
        <f>SUM(R21:X21)</f>
        <v>1</v>
      </c>
      <c r="Z21" s="495"/>
    </row>
    <row r="22" spans="1:25">
      <c r="A22" s="445" t="s">
        <v>180</v>
      </c>
      <c r="B22" s="446">
        <v>7436.18193199998</v>
      </c>
      <c r="C22" s="446">
        <v>4795.270894</v>
      </c>
      <c r="D22" s="446">
        <v>1573.29764998</v>
      </c>
      <c r="E22" s="446">
        <v>1831.69884404</v>
      </c>
      <c r="F22" s="446">
        <v>5229.30724922</v>
      </c>
      <c r="G22" s="446">
        <v>11708.54313034</v>
      </c>
      <c r="H22" s="446">
        <v>12092.3395443</v>
      </c>
      <c r="I22" s="446">
        <v>2723.58181546</v>
      </c>
      <c r="J22" s="446">
        <v>621.17850065</v>
      </c>
      <c r="K22" s="446">
        <v>1282.82910952</v>
      </c>
      <c r="L22" s="446">
        <v>354.24055052</v>
      </c>
      <c r="M22" s="446">
        <v>186.61390767</v>
      </c>
      <c r="N22" s="446">
        <f t="shared" si="5"/>
        <v>44666.63924388</v>
      </c>
      <c r="O22" s="453">
        <f t="shared" si="6"/>
        <v>0.087</v>
      </c>
      <c r="P22" s="454">
        <f>O22+O23+O24</f>
        <v>0.1459</v>
      </c>
      <c r="Q22" s="129" t="s">
        <v>118</v>
      </c>
      <c r="R22" s="490">
        <f t="shared" ref="R22:X22" si="8">R14/$Y$14</f>
        <v>0.690293202819561</v>
      </c>
      <c r="S22" s="490">
        <f t="shared" si="8"/>
        <v>0.0869679944506354</v>
      </c>
      <c r="T22" s="490">
        <f t="shared" si="8"/>
        <v>0.055586614264152</v>
      </c>
      <c r="U22" s="490">
        <f t="shared" si="8"/>
        <v>0.00329743804217751</v>
      </c>
      <c r="V22" s="490">
        <f t="shared" si="8"/>
        <v>0.0845976431335684</v>
      </c>
      <c r="W22" s="490">
        <f t="shared" si="8"/>
        <v>0.0422822332113227</v>
      </c>
      <c r="X22" s="490">
        <f t="shared" si="8"/>
        <v>0.0369748740785826</v>
      </c>
      <c r="Y22" s="497">
        <f>SUM(R22:X22)</f>
        <v>1</v>
      </c>
    </row>
    <row r="23" spans="1:25">
      <c r="A23" s="445" t="s">
        <v>181</v>
      </c>
      <c r="B23" s="446">
        <v>7356.27450500001</v>
      </c>
      <c r="C23" s="446">
        <v>6826.94738300001</v>
      </c>
      <c r="D23" s="446">
        <v>3343.93490924</v>
      </c>
      <c r="E23" s="446">
        <v>2639.33863884001</v>
      </c>
      <c r="F23" s="446">
        <v>2808.55161668</v>
      </c>
      <c r="G23" s="446">
        <v>3292.18176684001</v>
      </c>
      <c r="H23" s="446">
        <v>2281.97783751</v>
      </c>
      <c r="I23" s="446">
        <v>2542.94902655001</v>
      </c>
      <c r="J23" s="446">
        <v>1620.51241693</v>
      </c>
      <c r="K23" s="446">
        <v>2614.45077951</v>
      </c>
      <c r="L23" s="446">
        <v>3180.46101413001</v>
      </c>
      <c r="M23" s="446">
        <v>2272.49620469001</v>
      </c>
      <c r="N23" s="446">
        <f t="shared" si="5"/>
        <v>28549.20665711</v>
      </c>
      <c r="O23" s="453">
        <f t="shared" si="6"/>
        <v>0.0556</v>
      </c>
      <c r="P23" s="455"/>
      <c r="Q23" s="129" t="s">
        <v>119</v>
      </c>
      <c r="R23" s="490">
        <f t="shared" ref="R23:X23" si="9">R15/$Y$15</f>
        <v>0.696898366991753</v>
      </c>
      <c r="S23" s="490">
        <f t="shared" si="9"/>
        <v>0.101812724491482</v>
      </c>
      <c r="T23" s="490">
        <f t="shared" si="9"/>
        <v>0.0516179941747579</v>
      </c>
      <c r="U23" s="490">
        <f t="shared" si="9"/>
        <v>0.00369028972962508</v>
      </c>
      <c r="V23" s="490">
        <f t="shared" si="9"/>
        <v>0.0673311780629344</v>
      </c>
      <c r="W23" s="490">
        <f t="shared" si="9"/>
        <v>0.0445962463563397</v>
      </c>
      <c r="X23" s="490">
        <f t="shared" si="9"/>
        <v>0.0340532001931074</v>
      </c>
      <c r="Y23" s="497">
        <f>SUM(R23:X23)</f>
        <v>1</v>
      </c>
    </row>
    <row r="24" spans="1:25">
      <c r="A24" s="445" t="s">
        <v>182</v>
      </c>
      <c r="B24" s="446">
        <v>169.639494</v>
      </c>
      <c r="C24" s="446">
        <v>258.597861</v>
      </c>
      <c r="D24" s="446">
        <v>201.96861192</v>
      </c>
      <c r="E24" s="446">
        <v>209.8797863</v>
      </c>
      <c r="F24" s="446">
        <v>245.22430496</v>
      </c>
      <c r="G24" s="446">
        <v>301.852350979999</v>
      </c>
      <c r="H24" s="446">
        <v>306.39711684</v>
      </c>
      <c r="I24" s="446">
        <v>303.30276263</v>
      </c>
      <c r="J24" s="446">
        <v>270.23927256</v>
      </c>
      <c r="K24" s="446">
        <v>255.92196065</v>
      </c>
      <c r="L24" s="446">
        <v>287.69779494</v>
      </c>
      <c r="M24" s="446">
        <v>261.74801957</v>
      </c>
      <c r="N24" s="446">
        <f t="shared" si="5"/>
        <v>1693.559526</v>
      </c>
      <c r="O24" s="453">
        <f t="shared" si="6"/>
        <v>0.0033</v>
      </c>
      <c r="P24" s="456"/>
      <c r="R24" s="490"/>
      <c r="S24" s="490"/>
      <c r="T24" s="381"/>
      <c r="U24" s="381"/>
      <c r="V24" s="490"/>
      <c r="W24" s="490"/>
      <c r="X24" s="490"/>
      <c r="Y24" s="490"/>
    </row>
    <row r="25" spans="1:22">
      <c r="A25" s="445" t="s">
        <v>183</v>
      </c>
      <c r="B25" s="446">
        <v>4835.725</v>
      </c>
      <c r="C25" s="446">
        <v>6130.63061100001</v>
      </c>
      <c r="D25" s="446">
        <v>4249.56358442001</v>
      </c>
      <c r="E25" s="446">
        <v>3138.78581236</v>
      </c>
      <c r="F25" s="446">
        <v>8496.62260781999</v>
      </c>
      <c r="G25" s="446">
        <v>8256.95941515997</v>
      </c>
      <c r="H25" s="446">
        <v>8340.94312108001</v>
      </c>
      <c r="I25" s="446">
        <v>9739.38375453004</v>
      </c>
      <c r="J25" s="446">
        <v>5159.34396696001</v>
      </c>
      <c r="K25" s="446">
        <v>5454.66051088001</v>
      </c>
      <c r="L25" s="446">
        <v>5035.84394978</v>
      </c>
      <c r="M25" s="446">
        <v>5414.77190384001</v>
      </c>
      <c r="N25" s="446">
        <f t="shared" si="5"/>
        <v>43449.23015184</v>
      </c>
      <c r="O25" s="453">
        <f t="shared" si="6"/>
        <v>0.0846</v>
      </c>
      <c r="P25" s="455"/>
      <c r="U25" s="442"/>
      <c r="V25" s="486"/>
    </row>
    <row r="26" spans="1:25">
      <c r="A26" s="445" t="s">
        <v>185</v>
      </c>
      <c r="B26" s="446">
        <v>978.852059</v>
      </c>
      <c r="C26" s="446">
        <v>5589.298746</v>
      </c>
      <c r="D26" s="446">
        <v>1310.58391299</v>
      </c>
      <c r="E26" s="446">
        <v>856.948852520001</v>
      </c>
      <c r="F26" s="446">
        <v>2235.5592702</v>
      </c>
      <c r="G26" s="446">
        <v>3481.12599305</v>
      </c>
      <c r="H26" s="446">
        <v>7230.58580073999</v>
      </c>
      <c r="I26" s="446">
        <v>1241.06698918</v>
      </c>
      <c r="J26" s="446">
        <v>611.616829</v>
      </c>
      <c r="K26" s="446">
        <v>789.61794163</v>
      </c>
      <c r="L26" s="446">
        <v>4306.1958213</v>
      </c>
      <c r="M26" s="446">
        <v>900.7884451</v>
      </c>
      <c r="N26" s="446">
        <f t="shared" si="5"/>
        <v>21682.9546345</v>
      </c>
      <c r="O26" s="453">
        <f t="shared" si="6"/>
        <v>0.0422</v>
      </c>
      <c r="P26" s="457">
        <f>O26+O27</f>
        <v>0.0423</v>
      </c>
      <c r="U26" s="461"/>
      <c r="V26" s="461"/>
      <c r="W26" s="461"/>
      <c r="X26" s="461"/>
      <c r="Y26" s="461"/>
    </row>
    <row r="27" spans="1:25">
      <c r="A27" s="445" t="s">
        <v>187</v>
      </c>
      <c r="B27" s="446">
        <v>7.955893</v>
      </c>
      <c r="C27" s="446">
        <v>8.04633</v>
      </c>
      <c r="D27" s="446">
        <v>5.182013</v>
      </c>
      <c r="E27" s="446">
        <v>5.71417</v>
      </c>
      <c r="F27" s="446">
        <v>4.99868</v>
      </c>
      <c r="G27" s="446">
        <v>0.3792994</v>
      </c>
      <c r="H27" s="446">
        <v>0.86430006</v>
      </c>
      <c r="I27" s="446">
        <v>-2.48899708</v>
      </c>
      <c r="J27" s="446">
        <v>6.09444116</v>
      </c>
      <c r="K27" s="446">
        <v>0.782</v>
      </c>
      <c r="L27" s="446">
        <v>2.8899</v>
      </c>
      <c r="M27" s="446">
        <v>1.8559</v>
      </c>
      <c r="N27" s="446">
        <f t="shared" si="5"/>
        <v>33.14068546</v>
      </c>
      <c r="O27" s="453">
        <f t="shared" si="6"/>
        <v>0.0001</v>
      </c>
      <c r="P27" s="455"/>
      <c r="Q27" s="442"/>
      <c r="U27" s="442"/>
      <c r="V27" s="486"/>
      <c r="W27" s="461"/>
      <c r="X27" s="461"/>
      <c r="Y27" s="461"/>
    </row>
    <row r="28" spans="1:25">
      <c r="A28" s="445" t="s">
        <v>188</v>
      </c>
      <c r="B28" s="446">
        <v>0.137637</v>
      </c>
      <c r="C28" s="446">
        <v>0.088062</v>
      </c>
      <c r="D28" s="446">
        <v>0.16190964</v>
      </c>
      <c r="E28" s="446">
        <v>0</v>
      </c>
      <c r="F28" s="446">
        <v>-1.272e-5</v>
      </c>
      <c r="G28" s="446">
        <v>1.29551716</v>
      </c>
      <c r="H28" s="446"/>
      <c r="I28" s="446"/>
      <c r="J28" s="446"/>
      <c r="K28" s="446"/>
      <c r="L28" s="446">
        <v>0.02205672</v>
      </c>
      <c r="M28" s="446">
        <v>0.01564572</v>
      </c>
      <c r="N28" s="446">
        <f t="shared" si="5"/>
        <v>1.68311308</v>
      </c>
      <c r="O28" s="453">
        <f t="shared" si="6"/>
        <v>0</v>
      </c>
      <c r="P28" s="455"/>
      <c r="Q28" s="442"/>
      <c r="U28" s="442"/>
      <c r="V28" s="486"/>
      <c r="W28" s="461"/>
      <c r="X28" s="461"/>
      <c r="Y28" s="461"/>
    </row>
    <row r="29" spans="1:25">
      <c r="A29" s="445" t="s">
        <v>189</v>
      </c>
      <c r="B29" s="446">
        <v>2608.15623399999</v>
      </c>
      <c r="C29" s="446">
        <v>2087.647598</v>
      </c>
      <c r="D29" s="446">
        <v>2307.52114548</v>
      </c>
      <c r="E29" s="446">
        <v>1413.62052286</v>
      </c>
      <c r="F29" s="446">
        <v>2168.58678278</v>
      </c>
      <c r="G29" s="446">
        <v>876.273032109998</v>
      </c>
      <c r="H29" s="446">
        <v>683.92585002</v>
      </c>
      <c r="I29" s="446">
        <v>876.536937789998</v>
      </c>
      <c r="J29" s="446">
        <v>673.279367459992</v>
      </c>
      <c r="K29" s="446">
        <v>965.751315999991</v>
      </c>
      <c r="L29" s="446">
        <v>723.185870120001</v>
      </c>
      <c r="M29" s="446">
        <v>819.06601884</v>
      </c>
      <c r="N29" s="446">
        <f t="shared" si="5"/>
        <v>12145.73116525</v>
      </c>
      <c r="O29" s="453">
        <f t="shared" si="6"/>
        <v>0.0236</v>
      </c>
      <c r="P29" s="455"/>
      <c r="Q29" s="442"/>
      <c r="U29" s="442"/>
      <c r="V29" s="486"/>
      <c r="W29" s="461"/>
      <c r="X29" s="461"/>
      <c r="Y29" s="461"/>
    </row>
    <row r="30" spans="1:25">
      <c r="A30" s="445" t="s">
        <v>195</v>
      </c>
      <c r="B30" s="446">
        <v>1491.864496</v>
      </c>
      <c r="C30" s="446">
        <v>151.023403</v>
      </c>
      <c r="D30" s="446">
        <v>267.631066</v>
      </c>
      <c r="E30" s="446">
        <v>294.43465</v>
      </c>
      <c r="F30" s="446">
        <v>1160.921384</v>
      </c>
      <c r="G30" s="446">
        <v>180.26778826</v>
      </c>
      <c r="H30" s="446">
        <v>120.31668958</v>
      </c>
      <c r="I30" s="446">
        <v>289.598717</v>
      </c>
      <c r="J30" s="446">
        <v>73.4409494399999</v>
      </c>
      <c r="K30" s="446">
        <v>1029.4009453</v>
      </c>
      <c r="L30" s="446">
        <v>76.8619405799998</v>
      </c>
      <c r="M30" s="446">
        <v>81.4073001999998</v>
      </c>
      <c r="N30" s="446">
        <f t="shared" si="5"/>
        <v>3666.45947684</v>
      </c>
      <c r="O30" s="453">
        <f t="shared" si="6"/>
        <v>0.0071</v>
      </c>
      <c r="Q30" s="442"/>
      <c r="U30" s="461"/>
      <c r="V30" s="461"/>
      <c r="W30" s="461"/>
      <c r="X30" s="461"/>
      <c r="Y30" s="461"/>
    </row>
    <row r="31" spans="1:25">
      <c r="A31" s="445" t="s">
        <v>200</v>
      </c>
      <c r="B31" s="446">
        <v>2.656935</v>
      </c>
      <c r="C31" s="446">
        <v>1.945017</v>
      </c>
      <c r="D31" s="446">
        <v>1.73492</v>
      </c>
      <c r="E31" s="446">
        <v>1.742468</v>
      </c>
      <c r="F31" s="446">
        <v>1.632589</v>
      </c>
      <c r="G31" s="446">
        <v>3.857593</v>
      </c>
      <c r="H31" s="446">
        <v>1.6050478</v>
      </c>
      <c r="I31" s="446">
        <v>1.1173497</v>
      </c>
      <c r="J31" s="446">
        <v>0.012545</v>
      </c>
      <c r="K31" s="446">
        <v>0.11889592</v>
      </c>
      <c r="L31" s="446">
        <v>0.001748</v>
      </c>
      <c r="M31" s="446">
        <v>0.002504</v>
      </c>
      <c r="N31" s="446">
        <f t="shared" si="5"/>
        <v>15.1745698</v>
      </c>
      <c r="O31" s="453">
        <f t="shared" si="6"/>
        <v>0</v>
      </c>
      <c r="Q31" s="442"/>
      <c r="U31" s="461"/>
      <c r="V31" s="461"/>
      <c r="W31" s="461"/>
      <c r="X31" s="461"/>
      <c r="Y31" s="461"/>
    </row>
    <row r="32" spans="1:25">
      <c r="A32" s="445" t="s">
        <v>196</v>
      </c>
      <c r="B32" s="446">
        <v>1.11333</v>
      </c>
      <c r="C32" s="446">
        <v>0.404225</v>
      </c>
      <c r="D32" s="446">
        <v>12.16265204</v>
      </c>
      <c r="E32" s="446">
        <v>2.36439</v>
      </c>
      <c r="F32" s="446">
        <v>0.00255</v>
      </c>
      <c r="G32" s="446">
        <v>0.00751</v>
      </c>
      <c r="H32" s="446">
        <v>0.0134056</v>
      </c>
      <c r="I32" s="446">
        <v>0.000465</v>
      </c>
      <c r="J32" s="446">
        <v>0.00078204</v>
      </c>
      <c r="K32" s="446">
        <v>0.00155796</v>
      </c>
      <c r="L32" s="446">
        <v>0</v>
      </c>
      <c r="M32" s="446">
        <v>0.002955</v>
      </c>
      <c r="N32" s="446">
        <f t="shared" si="5"/>
        <v>16.06806264</v>
      </c>
      <c r="O32" s="453">
        <f t="shared" si="6"/>
        <v>0</v>
      </c>
      <c r="Q32" s="442"/>
      <c r="U32" s="461"/>
      <c r="V32" s="461"/>
      <c r="W32" s="461"/>
      <c r="X32" s="461"/>
      <c r="Y32" s="461"/>
    </row>
    <row r="33" ht="14.25" spans="1:25">
      <c r="A33" s="445" t="s">
        <v>197</v>
      </c>
      <c r="B33" s="446">
        <v>1572.772921</v>
      </c>
      <c r="C33" s="446">
        <v>664.981545</v>
      </c>
      <c r="D33" s="446">
        <v>689.535271460001</v>
      </c>
      <c r="E33" s="446">
        <v>178.446658</v>
      </c>
      <c r="F33" s="446">
        <v>15.061236</v>
      </c>
      <c r="G33" s="446">
        <v>8.58474498</v>
      </c>
      <c r="H33" s="446">
        <v>15.74439366</v>
      </c>
      <c r="I33" s="446">
        <v>21.13372106</v>
      </c>
      <c r="J33" s="446">
        <v>3.7441439</v>
      </c>
      <c r="K33" s="446">
        <v>5.82409842</v>
      </c>
      <c r="L33" s="446">
        <v>10.58994382</v>
      </c>
      <c r="M33" s="446">
        <v>23.7434121</v>
      </c>
      <c r="N33" s="446">
        <f t="shared" si="5"/>
        <v>3145.1267701</v>
      </c>
      <c r="O33" s="453">
        <f t="shared" si="6"/>
        <v>0.0061</v>
      </c>
      <c r="Q33" s="442"/>
      <c r="U33" s="461"/>
      <c r="V33" s="461"/>
      <c r="W33" s="461"/>
      <c r="X33" s="461"/>
      <c r="Y33" s="461"/>
    </row>
    <row r="34" ht="14.25" spans="1:25">
      <c r="A34" s="447" t="s">
        <v>198</v>
      </c>
      <c r="B34" s="448">
        <f t="shared" ref="B34:N34" si="10">SUM(B21:B33)</f>
        <v>83841.6624659996</v>
      </c>
      <c r="C34" s="448">
        <f t="shared" si="10"/>
        <v>76218.0494880011</v>
      </c>
      <c r="D34" s="448">
        <f t="shared" si="10"/>
        <v>66832.8891859705</v>
      </c>
      <c r="E34" s="448">
        <f t="shared" si="10"/>
        <v>50345.2969116507</v>
      </c>
      <c r="F34" s="448">
        <f t="shared" si="10"/>
        <v>70552.9658468006</v>
      </c>
      <c r="G34" s="448">
        <f t="shared" si="10"/>
        <v>83802.7476513789</v>
      </c>
      <c r="H34" s="448">
        <f t="shared" si="10"/>
        <v>82004.9775177384</v>
      </c>
      <c r="I34" s="448">
        <f t="shared" si="10"/>
        <v>75165.7706529584</v>
      </c>
      <c r="J34" s="448">
        <f t="shared" si="10"/>
        <v>52618.1043422679</v>
      </c>
      <c r="K34" s="448">
        <f t="shared" si="10"/>
        <v>59011.3703931993</v>
      </c>
      <c r="L34" s="448">
        <f t="shared" si="10"/>
        <v>61812.9619550198</v>
      </c>
      <c r="M34" s="448">
        <f t="shared" si="10"/>
        <v>60199.2636793091</v>
      </c>
      <c r="N34" s="448">
        <f t="shared" si="10"/>
        <v>513598.58906754</v>
      </c>
      <c r="O34" s="458">
        <f>N34/$N$34</f>
        <v>1</v>
      </c>
      <c r="P34" s="459"/>
      <c r="Q34" s="442"/>
      <c r="U34" s="461"/>
      <c r="V34" s="461"/>
      <c r="W34" s="461"/>
      <c r="X34" s="461"/>
      <c r="Y34" s="461"/>
    </row>
    <row r="35" spans="2:25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40"/>
      <c r="Q35" s="442"/>
      <c r="U35" s="461"/>
      <c r="V35" s="461"/>
      <c r="W35" s="461"/>
      <c r="X35" s="461"/>
      <c r="Y35" s="461"/>
    </row>
    <row r="36" spans="17:25">
      <c r="Q36" s="442"/>
      <c r="U36" s="461"/>
      <c r="V36" s="461"/>
      <c r="W36" s="461"/>
      <c r="X36" s="461"/>
      <c r="Y36" s="461"/>
    </row>
    <row r="37" ht="14.25" spans="1:25">
      <c r="A37" s="105" t="s">
        <v>119</v>
      </c>
      <c r="Q37" s="442"/>
      <c r="U37" s="461"/>
      <c r="V37" s="461"/>
      <c r="W37" s="461"/>
      <c r="X37" s="461"/>
      <c r="Y37" s="461"/>
    </row>
    <row r="38" ht="14.25" spans="1:25">
      <c r="A38" s="443" t="s">
        <v>175</v>
      </c>
      <c r="B38" s="444" t="s">
        <v>148</v>
      </c>
      <c r="C38" s="444" t="s">
        <v>149</v>
      </c>
      <c r="D38" s="444" t="s">
        <v>150</v>
      </c>
      <c r="E38" s="444" t="s">
        <v>151</v>
      </c>
      <c r="F38" s="444" t="s">
        <v>152</v>
      </c>
      <c r="G38" s="444" t="s">
        <v>153</v>
      </c>
      <c r="H38" s="444" t="s">
        <v>154</v>
      </c>
      <c r="I38" s="444" t="s">
        <v>155</v>
      </c>
      <c r="J38" s="444" t="s">
        <v>156</v>
      </c>
      <c r="K38" s="444" t="s">
        <v>157</v>
      </c>
      <c r="L38" s="444" t="s">
        <v>158</v>
      </c>
      <c r="M38" s="444" t="s">
        <v>159</v>
      </c>
      <c r="N38" s="444" t="s">
        <v>15</v>
      </c>
      <c r="O38" s="452" t="s">
        <v>176</v>
      </c>
      <c r="P38" s="460"/>
      <c r="Q38" s="442"/>
      <c r="U38" s="461"/>
      <c r="V38" s="461"/>
      <c r="W38" s="461"/>
      <c r="X38" s="461"/>
      <c r="Y38" s="461"/>
    </row>
    <row r="39" spans="1:25">
      <c r="A39" s="445" t="s">
        <v>177</v>
      </c>
      <c r="B39" s="446">
        <v>91365.6729969997</v>
      </c>
      <c r="C39" s="446">
        <v>99354.6207543899</v>
      </c>
      <c r="D39" s="446">
        <v>115570.259925</v>
      </c>
      <c r="E39" s="446">
        <v>90538.1630290002</v>
      </c>
      <c r="F39" s="446">
        <v>94368.6710219999</v>
      </c>
      <c r="G39" s="446">
        <f>101515.297081+9043.9/10000</f>
        <v>101516.201471</v>
      </c>
      <c r="H39" s="446">
        <f>91428.439399+0.39521</f>
        <v>91428.834609</v>
      </c>
      <c r="I39" s="446">
        <v>98871.9241670004</v>
      </c>
      <c r="J39" s="446">
        <v>87871.1752329991</v>
      </c>
      <c r="K39" s="446">
        <v>67975.953934999</v>
      </c>
      <c r="L39" s="446">
        <v>70601.9280069995</v>
      </c>
      <c r="M39" s="446">
        <v>70283.4860619992</v>
      </c>
      <c r="N39" s="446">
        <f t="shared" ref="N39:N52" si="11">SUM(B39:H39)</f>
        <v>684142.42380739</v>
      </c>
      <c r="O39" s="453">
        <f t="shared" ref="O39:O52" si="12">ROUND(N39/$N$53,4)</f>
        <v>0.6969</v>
      </c>
      <c r="Q39" s="442"/>
      <c r="U39" s="461"/>
      <c r="V39" s="461"/>
      <c r="W39" s="461"/>
      <c r="X39" s="461"/>
      <c r="Y39" s="461"/>
    </row>
    <row r="40" spans="1:25">
      <c r="A40" s="445" t="s">
        <v>180</v>
      </c>
      <c r="B40" s="446">
        <v>9976.234708</v>
      </c>
      <c r="C40" s="446">
        <v>7563.06082800002</v>
      </c>
      <c r="D40" s="446">
        <v>8790.94378400002</v>
      </c>
      <c r="E40" s="446">
        <v>13731.850526</v>
      </c>
      <c r="F40" s="446">
        <v>21460.735288</v>
      </c>
      <c r="G40" s="446">
        <v>25014.187066</v>
      </c>
      <c r="H40" s="446">
        <v>13412.144531</v>
      </c>
      <c r="I40" s="446">
        <v>11064.821578</v>
      </c>
      <c r="J40" s="446">
        <v>10148.356866</v>
      </c>
      <c r="K40" s="446">
        <v>8363.78593700001</v>
      </c>
      <c r="L40" s="446">
        <v>12780.063792</v>
      </c>
      <c r="M40" s="446">
        <v>6652.14294899998</v>
      </c>
      <c r="N40" s="446">
        <f t="shared" si="11"/>
        <v>99949.156731</v>
      </c>
      <c r="O40" s="453">
        <f t="shared" si="12"/>
        <v>0.1018</v>
      </c>
      <c r="P40" s="456">
        <f>O40+O41+O42</f>
        <v>0.1571</v>
      </c>
      <c r="Q40" s="442"/>
      <c r="U40" s="461"/>
      <c r="V40" s="461"/>
      <c r="W40" s="461"/>
      <c r="X40" s="461"/>
      <c r="Y40" s="461"/>
    </row>
    <row r="41" spans="1:25">
      <c r="A41" s="445" t="s">
        <v>181</v>
      </c>
      <c r="B41" s="446">
        <v>8600.392308</v>
      </c>
      <c r="C41" s="446">
        <v>6026.233548</v>
      </c>
      <c r="D41" s="446">
        <f>8710.422622-1350</f>
        <v>7360.422622</v>
      </c>
      <c r="E41" s="446">
        <f>8490.906362-1250</f>
        <v>7240.906362</v>
      </c>
      <c r="F41" s="446">
        <v>7482.99036400001</v>
      </c>
      <c r="G41" s="446">
        <v>7613.87309700002</v>
      </c>
      <c r="H41" s="446">
        <v>6348.366369</v>
      </c>
      <c r="I41" s="446">
        <v>8622.11702600002</v>
      </c>
      <c r="J41" s="446">
        <v>11432.224223</v>
      </c>
      <c r="K41" s="446">
        <v>7610.116221</v>
      </c>
      <c r="L41" s="446">
        <v>12712.985325</v>
      </c>
      <c r="M41" s="446">
        <v>6277.992026</v>
      </c>
      <c r="N41" s="446">
        <f t="shared" si="11"/>
        <v>50673.18467</v>
      </c>
      <c r="O41" s="453">
        <f t="shared" si="12"/>
        <v>0.0516</v>
      </c>
      <c r="P41" s="461"/>
      <c r="Q41" s="442"/>
      <c r="U41" s="461"/>
      <c r="V41" s="461"/>
      <c r="W41" s="461"/>
      <c r="X41" s="461"/>
      <c r="Y41" s="461"/>
    </row>
    <row r="42" spans="1:16">
      <c r="A42" s="445" t="s">
        <v>182</v>
      </c>
      <c r="B42" s="446">
        <v>491.150282</v>
      </c>
      <c r="C42" s="446">
        <v>405.342024</v>
      </c>
      <c r="D42" s="446">
        <v>531.369780999999</v>
      </c>
      <c r="E42" s="446">
        <v>595.404737</v>
      </c>
      <c r="F42" s="446">
        <v>656.215515000001</v>
      </c>
      <c r="G42" s="446">
        <v>444.788136</v>
      </c>
      <c r="H42" s="446">
        <v>498.472639</v>
      </c>
      <c r="I42" s="446">
        <v>564.607236</v>
      </c>
      <c r="J42" s="446">
        <v>413.996367</v>
      </c>
      <c r="K42" s="446">
        <v>340.679035</v>
      </c>
      <c r="L42" s="446">
        <v>295.473284</v>
      </c>
      <c r="M42" s="446">
        <v>215.06176</v>
      </c>
      <c r="N42" s="446">
        <f t="shared" si="11"/>
        <v>3622.743114</v>
      </c>
      <c r="O42" s="453">
        <f t="shared" si="12"/>
        <v>0.0037</v>
      </c>
      <c r="P42" s="106"/>
    </row>
    <row r="43" spans="1:16">
      <c r="A43" s="445" t="s">
        <v>183</v>
      </c>
      <c r="B43" s="446">
        <v>7749.378378</v>
      </c>
      <c r="C43" s="446">
        <v>7174.696548</v>
      </c>
      <c r="D43" s="446">
        <v>5950.33480299999</v>
      </c>
      <c r="E43" s="446">
        <v>6267.71905700001</v>
      </c>
      <c r="F43" s="446">
        <v>12374.000984</v>
      </c>
      <c r="G43" s="446">
        <v>12629.4819381</v>
      </c>
      <c r="H43" s="446">
        <v>13953.144638</v>
      </c>
      <c r="I43" s="446">
        <v>16053.310103</v>
      </c>
      <c r="J43" s="446">
        <v>8450.394322</v>
      </c>
      <c r="K43" s="446">
        <v>4684.693131</v>
      </c>
      <c r="L43" s="446">
        <v>4960.00157400001</v>
      </c>
      <c r="M43" s="446">
        <v>6238.43913800001</v>
      </c>
      <c r="N43" s="446">
        <f t="shared" si="11"/>
        <v>66098.7563461</v>
      </c>
      <c r="O43" s="453">
        <f t="shared" si="12"/>
        <v>0.0673</v>
      </c>
      <c r="P43" s="462"/>
    </row>
    <row r="44" spans="1:16">
      <c r="A44" s="445" t="s">
        <v>185</v>
      </c>
      <c r="B44" s="446">
        <v>8813.731487</v>
      </c>
      <c r="C44" s="446">
        <v>2053.420835</v>
      </c>
      <c r="D44" s="446">
        <v>2652.070825</v>
      </c>
      <c r="E44" s="446">
        <v>1378.920011</v>
      </c>
      <c r="F44" s="446">
        <v>5298.909291</v>
      </c>
      <c r="G44" s="446">
        <v>2842.131014</v>
      </c>
      <c r="H44" s="446">
        <v>1341.282908</v>
      </c>
      <c r="I44" s="446">
        <v>5110.88417100001</v>
      </c>
      <c r="J44" s="446">
        <v>1949.134247</v>
      </c>
      <c r="K44" s="446">
        <v>3241.793068</v>
      </c>
      <c r="L44" s="446">
        <v>7605.987161</v>
      </c>
      <c r="M44" s="446">
        <v>1717.066616</v>
      </c>
      <c r="N44" s="446">
        <f t="shared" si="11"/>
        <v>24380.466371</v>
      </c>
      <c r="O44" s="453">
        <f t="shared" si="12"/>
        <v>0.0248</v>
      </c>
      <c r="P44" s="456">
        <f>O44+O45</f>
        <v>0.0446</v>
      </c>
    </row>
    <row r="45" spans="1:15">
      <c r="A45" s="445" t="s">
        <v>187</v>
      </c>
      <c r="B45" s="446">
        <v>1506.726637</v>
      </c>
      <c r="C45" s="446">
        <v>3922.802965</v>
      </c>
      <c r="D45" s="446">
        <v>6875.120741</v>
      </c>
      <c r="E45" s="446">
        <v>1804.347621</v>
      </c>
      <c r="F45" s="446">
        <v>1463.682773</v>
      </c>
      <c r="G45" s="446">
        <v>3357.047864</v>
      </c>
      <c r="H45" s="446">
        <v>469.7671</v>
      </c>
      <c r="I45" s="446">
        <v>134.313522</v>
      </c>
      <c r="J45" s="446">
        <v>425.918633</v>
      </c>
      <c r="K45" s="446">
        <v>16.981048</v>
      </c>
      <c r="L45" s="446">
        <v>43.520617</v>
      </c>
      <c r="M45" s="446">
        <v>7.859037</v>
      </c>
      <c r="N45" s="446">
        <f t="shared" si="11"/>
        <v>19399.495701</v>
      </c>
      <c r="O45" s="453">
        <f t="shared" si="12"/>
        <v>0.0198</v>
      </c>
    </row>
    <row r="46" spans="1:15">
      <c r="A46" s="445" t="s">
        <v>188</v>
      </c>
      <c r="B46" s="446">
        <v>12.71152</v>
      </c>
      <c r="C46" s="446">
        <v>83.8174000000001</v>
      </c>
      <c r="D46" s="446">
        <v>148.878185</v>
      </c>
      <c r="E46" s="446">
        <v>51.740939</v>
      </c>
      <c r="F46" s="446">
        <v>50.68203</v>
      </c>
      <c r="G46" s="446">
        <v>1.574439</v>
      </c>
      <c r="H46" s="446">
        <v>0.145652</v>
      </c>
      <c r="I46" s="446">
        <v>0.323576</v>
      </c>
      <c r="J46" s="446">
        <v>2.36767</v>
      </c>
      <c r="K46" s="446">
        <v>0.035244</v>
      </c>
      <c r="L46" s="446">
        <v>-8.499131</v>
      </c>
      <c r="M46" s="446">
        <v>0.025892</v>
      </c>
      <c r="N46" s="446">
        <f t="shared" si="11"/>
        <v>349.550165</v>
      </c>
      <c r="O46" s="453">
        <f t="shared" si="12"/>
        <v>0.0004</v>
      </c>
    </row>
    <row r="47" spans="1:15">
      <c r="A47" s="445" t="s">
        <v>201</v>
      </c>
      <c r="B47" s="446">
        <v>-0.0326</v>
      </c>
      <c r="C47" s="446">
        <v>0.0929</v>
      </c>
      <c r="D47" s="446">
        <v>0.01039</v>
      </c>
      <c r="E47" s="446">
        <v>0</v>
      </c>
      <c r="F47" s="446">
        <v>0</v>
      </c>
      <c r="G47" s="105">
        <v>0</v>
      </c>
      <c r="H47" s="446">
        <v>0</v>
      </c>
      <c r="I47" s="446">
        <v>0</v>
      </c>
      <c r="J47" s="446">
        <v>0</v>
      </c>
      <c r="K47" s="446">
        <v>0</v>
      </c>
      <c r="L47" s="446">
        <v>0</v>
      </c>
      <c r="M47" s="446">
        <v>0</v>
      </c>
      <c r="N47" s="446">
        <f t="shared" si="11"/>
        <v>0.07069</v>
      </c>
      <c r="O47" s="453">
        <f t="shared" si="12"/>
        <v>0</v>
      </c>
    </row>
    <row r="48" spans="1:15">
      <c r="A48" s="445" t="s">
        <v>189</v>
      </c>
      <c r="B48" s="446">
        <v>4837.37368</v>
      </c>
      <c r="C48" s="446">
        <v>3461.29498400001</v>
      </c>
      <c r="D48" s="446">
        <v>2134.656666</v>
      </c>
      <c r="E48" s="446">
        <v>1960.207275</v>
      </c>
      <c r="F48" s="446">
        <v>2142.248095</v>
      </c>
      <c r="G48" s="446">
        <v>2936.797509</v>
      </c>
      <c r="H48" s="446">
        <v>2748.642144</v>
      </c>
      <c r="I48" s="446">
        <v>5407.391189</v>
      </c>
      <c r="J48" s="446">
        <v>4117.67603600001</v>
      </c>
      <c r="K48" s="446">
        <v>2612.059231</v>
      </c>
      <c r="L48" s="446">
        <v>4213.34909399999</v>
      </c>
      <c r="M48" s="446">
        <v>2303.078791</v>
      </c>
      <c r="N48" s="446">
        <f t="shared" si="11"/>
        <v>20221.220353</v>
      </c>
      <c r="O48" s="453">
        <f t="shared" si="12"/>
        <v>0.0206</v>
      </c>
    </row>
    <row r="49" spans="1:15">
      <c r="A49" s="445" t="s">
        <v>195</v>
      </c>
      <c r="B49" s="446">
        <v>596.39153</v>
      </c>
      <c r="C49" s="446">
        <v>1019.331132</v>
      </c>
      <c r="D49" s="446">
        <v>2227.229471</v>
      </c>
      <c r="E49" s="446">
        <v>714.04104</v>
      </c>
      <c r="F49" s="446">
        <v>539.451366</v>
      </c>
      <c r="G49" s="446">
        <v>623.041333</v>
      </c>
      <c r="H49" s="446">
        <v>598.590615</v>
      </c>
      <c r="I49" s="446">
        <v>714.524214000001</v>
      </c>
      <c r="J49" s="446">
        <v>717.488399000002</v>
      </c>
      <c r="K49" s="446">
        <v>985.475882000002</v>
      </c>
      <c r="L49" s="446">
        <v>818.135651000001</v>
      </c>
      <c r="M49" s="446">
        <v>424.118144</v>
      </c>
      <c r="N49" s="446">
        <f t="shared" si="11"/>
        <v>6318.076487</v>
      </c>
      <c r="O49" s="453">
        <f t="shared" si="12"/>
        <v>0.0064</v>
      </c>
    </row>
    <row r="50" spans="1:15">
      <c r="A50" s="445" t="s">
        <v>200</v>
      </c>
      <c r="B50" s="446">
        <v>21.991233</v>
      </c>
      <c r="C50" s="446">
        <v>1.70992</v>
      </c>
      <c r="D50" s="446">
        <v>1.814556</v>
      </c>
      <c r="E50" s="446">
        <v>1.564706</v>
      </c>
      <c r="F50" s="446">
        <v>0.236379</v>
      </c>
      <c r="G50" s="446">
        <v>1.547379</v>
      </c>
      <c r="H50" s="446">
        <v>1.344699</v>
      </c>
      <c r="I50" s="446">
        <v>1.439396</v>
      </c>
      <c r="J50" s="446">
        <v>1.727021</v>
      </c>
      <c r="K50" s="446">
        <v>5.998978</v>
      </c>
      <c r="L50" s="446">
        <v>1.401985</v>
      </c>
      <c r="M50" s="446">
        <v>2.255709</v>
      </c>
      <c r="N50" s="446">
        <f t="shared" si="11"/>
        <v>30.208872</v>
      </c>
      <c r="O50" s="453">
        <f t="shared" si="12"/>
        <v>0</v>
      </c>
    </row>
    <row r="51" spans="1:16">
      <c r="A51" s="445" t="s">
        <v>196</v>
      </c>
      <c r="B51" s="446">
        <v>366.343253</v>
      </c>
      <c r="C51" s="446">
        <v>399.733445</v>
      </c>
      <c r="D51" s="446">
        <v>586.345716</v>
      </c>
      <c r="E51" s="446">
        <v>546.638171</v>
      </c>
      <c r="F51" s="446">
        <v>611.256322</v>
      </c>
      <c r="G51" s="446">
        <v>1.308647</v>
      </c>
      <c r="H51" s="446">
        <v>2.119582</v>
      </c>
      <c r="I51" s="446">
        <v>1.426591</v>
      </c>
      <c r="J51" s="446">
        <v>0.842911</v>
      </c>
      <c r="K51" s="446">
        <v>0.932406</v>
      </c>
      <c r="L51" s="446">
        <v>0.903982</v>
      </c>
      <c r="M51" s="446">
        <v>23.07937</v>
      </c>
      <c r="N51" s="446">
        <f t="shared" si="11"/>
        <v>2513.745136</v>
      </c>
      <c r="O51" s="453">
        <f t="shared" si="12"/>
        <v>0.0026</v>
      </c>
      <c r="P51" s="461"/>
    </row>
    <row r="52" ht="14.25" spans="1:15">
      <c r="A52" s="445" t="s">
        <v>197</v>
      </c>
      <c r="B52" s="446">
        <v>243.517732</v>
      </c>
      <c r="C52" s="446">
        <v>433.009968</v>
      </c>
      <c r="D52" s="446">
        <v>480.770913</v>
      </c>
      <c r="E52" s="446">
        <v>421.790585</v>
      </c>
      <c r="F52" s="446">
        <v>1422.35332</v>
      </c>
      <c r="G52" s="446">
        <v>384.921427</v>
      </c>
      <c r="H52" s="446">
        <v>610.658898999999</v>
      </c>
      <c r="I52" s="446">
        <v>664.998592999999</v>
      </c>
      <c r="J52" s="446">
        <v>446.075661</v>
      </c>
      <c r="K52" s="446">
        <v>484.106149</v>
      </c>
      <c r="L52" s="446">
        <v>492.490031</v>
      </c>
      <c r="M52" s="446">
        <v>583.040576</v>
      </c>
      <c r="N52" s="446">
        <f t="shared" si="11"/>
        <v>3997.022844</v>
      </c>
      <c r="O52" s="453">
        <f t="shared" si="12"/>
        <v>0.0041</v>
      </c>
    </row>
    <row r="53" ht="14.25" spans="1:15">
      <c r="A53" s="447" t="s">
        <v>198</v>
      </c>
      <c r="B53" s="448">
        <f t="shared" ref="B53:N53" si="13">SUM(B39:B52)</f>
        <v>134581.583145</v>
      </c>
      <c r="C53" s="448">
        <f t="shared" si="13"/>
        <v>131899.16725139</v>
      </c>
      <c r="D53" s="448">
        <f t="shared" si="13"/>
        <v>153310.228378</v>
      </c>
      <c r="E53" s="448">
        <f t="shared" si="13"/>
        <v>125253.294059</v>
      </c>
      <c r="F53" s="448">
        <f t="shared" si="13"/>
        <v>147871.432749</v>
      </c>
      <c r="G53" s="448">
        <f t="shared" si="13"/>
        <v>157366.9013201</v>
      </c>
      <c r="H53" s="448">
        <f t="shared" si="13"/>
        <v>131413.514385</v>
      </c>
      <c r="I53" s="448">
        <f t="shared" si="13"/>
        <v>147212.081362</v>
      </c>
      <c r="J53" s="448">
        <f t="shared" si="13"/>
        <v>125977.377588999</v>
      </c>
      <c r="K53" s="448">
        <f t="shared" si="13"/>
        <v>96322.610264999</v>
      </c>
      <c r="L53" s="448">
        <f t="shared" si="13"/>
        <v>114517.741372</v>
      </c>
      <c r="M53" s="448">
        <f t="shared" si="13"/>
        <v>94727.6460699992</v>
      </c>
      <c r="N53" s="448">
        <f t="shared" si="13"/>
        <v>981696.12128749</v>
      </c>
      <c r="O53" s="458">
        <f>N53/$N$53</f>
        <v>1</v>
      </c>
    </row>
    <row r="54" spans="3:14">
      <c r="C54" s="106">
        <f>C53-'GMV销售额波动分析（分月、年）'!H33/10000</f>
        <v>0.000607000227319077</v>
      </c>
      <c r="D54" s="449">
        <f>D53-'GMV销售额波动分析（分月、年）'!H34/10000</f>
        <v>-3.20142135024071e-10</v>
      </c>
      <c r="E54" s="106"/>
      <c r="F54" s="106"/>
      <c r="H54" s="106"/>
      <c r="I54" s="106"/>
      <c r="J54" s="106"/>
      <c r="K54" s="106"/>
      <c r="N54" s="106"/>
    </row>
    <row r="55" ht="14.25" spans="1:1">
      <c r="A55" s="105" t="s">
        <v>168</v>
      </c>
    </row>
    <row r="56" ht="14.25" spans="1:15">
      <c r="A56" s="443" t="s">
        <v>175</v>
      </c>
      <c r="B56" s="444" t="s">
        <v>148</v>
      </c>
      <c r="C56" s="444" t="s">
        <v>149</v>
      </c>
      <c r="D56" s="444" t="s">
        <v>150</v>
      </c>
      <c r="E56" s="444" t="s">
        <v>151</v>
      </c>
      <c r="F56" s="444" t="s">
        <v>152</v>
      </c>
      <c r="G56" s="444" t="s">
        <v>153</v>
      </c>
      <c r="H56" s="444" t="s">
        <v>154</v>
      </c>
      <c r="I56" s="444" t="s">
        <v>155</v>
      </c>
      <c r="J56" s="444" t="s">
        <v>156</v>
      </c>
      <c r="K56" s="444" t="s">
        <v>157</v>
      </c>
      <c r="L56" s="444" t="s">
        <v>158</v>
      </c>
      <c r="M56" s="444" t="s">
        <v>159</v>
      </c>
      <c r="N56" s="444" t="s">
        <v>15</v>
      </c>
      <c r="O56" s="452" t="s">
        <v>176</v>
      </c>
    </row>
    <row r="57" spans="1:15">
      <c r="A57" s="445" t="s">
        <v>177</v>
      </c>
      <c r="B57" s="446">
        <v>57263.075532</v>
      </c>
      <c r="C57" s="446">
        <v>48717.5994500002</v>
      </c>
      <c r="D57" s="446">
        <v>91475.4110179998</v>
      </c>
      <c r="E57" s="446">
        <v>78598.8825899995</v>
      </c>
      <c r="F57" s="446">
        <v>92474.12578954</v>
      </c>
      <c r="G57" s="446">
        <v>101701.0688701</v>
      </c>
      <c r="H57" s="446">
        <v>85493.0754239999</v>
      </c>
      <c r="I57" s="446">
        <v>92410.8454319988</v>
      </c>
      <c r="J57" s="446">
        <v>111531.344223999</v>
      </c>
      <c r="K57" s="446">
        <v>95225.3393350005</v>
      </c>
      <c r="L57" s="446">
        <v>115027.848426869</v>
      </c>
      <c r="M57" s="446">
        <v>126045.778887</v>
      </c>
      <c r="N57" s="446">
        <f t="shared" ref="N57:N70" si="14">(SUM(B57:M57))</f>
        <v>1095964.39497851</v>
      </c>
      <c r="O57" s="453">
        <f t="shared" ref="O57:O70" si="15">ROUND(N57/$N$71,4)</f>
        <v>0.6789</v>
      </c>
    </row>
    <row r="58" spans="1:15">
      <c r="A58" s="445" t="s">
        <v>180</v>
      </c>
      <c r="B58" s="446">
        <v>22124.244616</v>
      </c>
      <c r="C58" s="446">
        <v>15918.936089</v>
      </c>
      <c r="D58" s="446">
        <v>16249.324258</v>
      </c>
      <c r="E58" s="446">
        <v>18825.561151</v>
      </c>
      <c r="F58" s="446">
        <v>17618.259534</v>
      </c>
      <c r="G58" s="446">
        <v>17614.562245</v>
      </c>
      <c r="H58" s="446">
        <v>14434.315172</v>
      </c>
      <c r="I58" s="446">
        <v>13427.52047</v>
      </c>
      <c r="J58" s="446">
        <v>12965.870266</v>
      </c>
      <c r="K58" s="446">
        <v>17372.104124</v>
      </c>
      <c r="L58" s="446">
        <v>22491.503741</v>
      </c>
      <c r="M58" s="446">
        <v>18102.673621</v>
      </c>
      <c r="N58" s="446">
        <f t="shared" si="14"/>
        <v>207144.875287</v>
      </c>
      <c r="O58" s="453">
        <f t="shared" si="15"/>
        <v>0.1283</v>
      </c>
    </row>
    <row r="59" spans="1:15">
      <c r="A59" s="445" t="s">
        <v>181</v>
      </c>
      <c r="B59" s="446">
        <v>8746.35597399999</v>
      </c>
      <c r="C59" s="446">
        <v>5855.76160999999</v>
      </c>
      <c r="D59" s="446">
        <v>6581.21682399999</v>
      </c>
      <c r="E59" s="446">
        <f>7204.459017-1230</f>
        <v>5974.459017</v>
      </c>
      <c r="F59" s="446">
        <v>6556.944492</v>
      </c>
      <c r="G59" s="446">
        <v>8538.97368947999</v>
      </c>
      <c r="H59" s="446">
        <v>6582.80386400001</v>
      </c>
      <c r="I59" s="446">
        <v>13196.389174</v>
      </c>
      <c r="J59" s="446">
        <v>9146.86973700001</v>
      </c>
      <c r="K59" s="446">
        <v>10329.912158</v>
      </c>
      <c r="L59" s="446">
        <v>13111.602604</v>
      </c>
      <c r="M59" s="446">
        <v>8129.64596900001</v>
      </c>
      <c r="N59" s="446">
        <f t="shared" si="14"/>
        <v>102750.93511248</v>
      </c>
      <c r="O59" s="453">
        <f t="shared" si="15"/>
        <v>0.0637</v>
      </c>
    </row>
    <row r="60" spans="1:15">
      <c r="A60" s="450" t="s">
        <v>182</v>
      </c>
      <c r="B60" s="451">
        <v>4235.200211</v>
      </c>
      <c r="C60" s="451">
        <v>2673.211967</v>
      </c>
      <c r="D60" s="451">
        <v>3599.143313</v>
      </c>
      <c r="E60" s="451">
        <v>2921.211667</v>
      </c>
      <c r="F60" s="451">
        <v>2648.338312</v>
      </c>
      <c r="G60" s="451">
        <v>2776.363581</v>
      </c>
      <c r="H60" s="451">
        <v>618.362436999999</v>
      </c>
      <c r="I60" s="451">
        <v>1007.456587</v>
      </c>
      <c r="J60" s="451">
        <v>765.441637</v>
      </c>
      <c r="K60" s="451">
        <v>396.260251</v>
      </c>
      <c r="L60" s="451">
        <v>548.887929000001</v>
      </c>
      <c r="M60" s="451">
        <v>390.41837</v>
      </c>
      <c r="N60" s="451">
        <f t="shared" si="14"/>
        <v>22580.296262</v>
      </c>
      <c r="O60" s="463">
        <f t="shared" si="15"/>
        <v>0.014</v>
      </c>
    </row>
    <row r="61" spans="1:15">
      <c r="A61" s="445" t="s">
        <v>183</v>
      </c>
      <c r="B61" s="446">
        <v>4932.994836</v>
      </c>
      <c r="C61" s="446">
        <v>4116.317506</v>
      </c>
      <c r="D61" s="446">
        <v>3888.439556</v>
      </c>
      <c r="E61" s="446">
        <v>4108.64525799999</v>
      </c>
      <c r="F61" s="446">
        <v>2829.755486</v>
      </c>
      <c r="G61" s="446">
        <v>2751.273767</v>
      </c>
      <c r="H61" s="446">
        <v>3017.338512</v>
      </c>
      <c r="I61" s="446">
        <v>3257.275699</v>
      </c>
      <c r="J61" s="446">
        <v>3254.256122</v>
      </c>
      <c r="K61" s="446">
        <v>5111.411756</v>
      </c>
      <c r="L61" s="446">
        <v>5544.341719</v>
      </c>
      <c r="M61" s="446">
        <v>5757.18108900001</v>
      </c>
      <c r="N61" s="446">
        <f t="shared" si="14"/>
        <v>48569.231306</v>
      </c>
      <c r="O61" s="453">
        <f t="shared" si="15"/>
        <v>0.0301</v>
      </c>
    </row>
    <row r="62" spans="1:15">
      <c r="A62" s="445" t="s">
        <v>185</v>
      </c>
      <c r="B62" s="446">
        <v>2004.808146</v>
      </c>
      <c r="C62" s="446">
        <v>1023.707553</v>
      </c>
      <c r="D62" s="446">
        <v>1344.138254</v>
      </c>
      <c r="E62" s="446">
        <v>1672.282655</v>
      </c>
      <c r="F62" s="446">
        <v>2011.360639</v>
      </c>
      <c r="G62" s="446">
        <v>2435.52206</v>
      </c>
      <c r="H62" s="446">
        <v>3601.984531</v>
      </c>
      <c r="I62" s="446">
        <v>2434.933913</v>
      </c>
      <c r="J62" s="446">
        <v>2175.476998</v>
      </c>
      <c r="K62" s="446">
        <v>6071.204874</v>
      </c>
      <c r="L62" s="446">
        <v>9962.73840300001</v>
      </c>
      <c r="M62" s="446">
        <v>4767.958312</v>
      </c>
      <c r="N62" s="446">
        <f t="shared" si="14"/>
        <v>39506.116338</v>
      </c>
      <c r="O62" s="453">
        <f t="shared" si="15"/>
        <v>0.0245</v>
      </c>
    </row>
    <row r="63" spans="1:15">
      <c r="A63" s="445" t="s">
        <v>187</v>
      </c>
      <c r="B63" s="446">
        <v>15.320737</v>
      </c>
      <c r="C63" s="446">
        <v>0.681875</v>
      </c>
      <c r="D63" s="446">
        <v>10.537209</v>
      </c>
      <c r="E63" s="446">
        <v>6.692</v>
      </c>
      <c r="F63" s="446">
        <v>47.113218</v>
      </c>
      <c r="G63" s="446">
        <v>32.665575</v>
      </c>
      <c r="H63" s="446">
        <v>21.139845</v>
      </c>
      <c r="I63" s="446">
        <v>37.186951</v>
      </c>
      <c r="J63" s="446">
        <v>19.218547</v>
      </c>
      <c r="K63" s="446">
        <v>23.587517</v>
      </c>
      <c r="L63" s="446">
        <v>61.0179790000001</v>
      </c>
      <c r="M63" s="446">
        <v>305.43281</v>
      </c>
      <c r="N63" s="446">
        <f t="shared" si="14"/>
        <v>580.594263</v>
      </c>
      <c r="O63" s="453">
        <f t="shared" si="15"/>
        <v>0.0004</v>
      </c>
    </row>
    <row r="64" spans="1:15">
      <c r="A64" s="445" t="s">
        <v>188</v>
      </c>
      <c r="B64" s="446">
        <v>13.984349</v>
      </c>
      <c r="C64" s="446">
        <v>23.39396</v>
      </c>
      <c r="D64" s="446">
        <v>15.520214</v>
      </c>
      <c r="E64" s="446">
        <v>27.460133</v>
      </c>
      <c r="F64" s="446">
        <v>18.239973</v>
      </c>
      <c r="G64" s="446">
        <v>9.805075</v>
      </c>
      <c r="H64" s="446">
        <v>4.419838</v>
      </c>
      <c r="I64" s="446">
        <v>3.884783</v>
      </c>
      <c r="J64" s="446">
        <v>2.431087</v>
      </c>
      <c r="K64" s="446">
        <v>6.385332</v>
      </c>
      <c r="L64" s="446">
        <v>4.667189</v>
      </c>
      <c r="M64" s="446">
        <v>6.160662</v>
      </c>
      <c r="N64" s="446">
        <f t="shared" si="14"/>
        <v>136.352595</v>
      </c>
      <c r="O64" s="453">
        <f t="shared" si="15"/>
        <v>0.0001</v>
      </c>
    </row>
    <row r="65" spans="1:15">
      <c r="A65" s="445" t="s">
        <v>201</v>
      </c>
      <c r="B65" s="446">
        <v>5.38078</v>
      </c>
      <c r="C65" s="446">
        <v>116.032782</v>
      </c>
      <c r="D65" s="446">
        <v>66.165154</v>
      </c>
      <c r="E65" s="446">
        <v>56.72909</v>
      </c>
      <c r="F65" s="446">
        <v>19.445032</v>
      </c>
      <c r="G65" s="446">
        <v>13.031364</v>
      </c>
      <c r="H65" s="446">
        <v>1.46989</v>
      </c>
      <c r="I65" s="446">
        <v>2.976927</v>
      </c>
      <c r="J65" s="446">
        <v>-0.0257</v>
      </c>
      <c r="K65" s="446">
        <v>0</v>
      </c>
      <c r="L65" s="446">
        <v>0.0001</v>
      </c>
      <c r="M65" s="446">
        <v>0</v>
      </c>
      <c r="N65" s="446">
        <f t="shared" si="14"/>
        <v>281.205419</v>
      </c>
      <c r="O65" s="453">
        <f t="shared" si="15"/>
        <v>0.0002</v>
      </c>
    </row>
    <row r="66" spans="1:15">
      <c r="A66" s="445" t="s">
        <v>189</v>
      </c>
      <c r="B66" s="446">
        <v>6843.248528</v>
      </c>
      <c r="C66" s="446">
        <v>6390.41073900001</v>
      </c>
      <c r="D66" s="446">
        <v>7490.31448100002</v>
      </c>
      <c r="E66" s="446">
        <v>6722.675556</v>
      </c>
      <c r="F66" s="446">
        <v>7874.75793800001</v>
      </c>
      <c r="G66" s="446">
        <v>6572.11311750002</v>
      </c>
      <c r="H66" s="446">
        <v>5765.77929000001</v>
      </c>
      <c r="I66" s="446">
        <v>6176.596975</v>
      </c>
      <c r="J66" s="446">
        <v>7665.488801</v>
      </c>
      <c r="K66" s="446">
        <v>7271.712676</v>
      </c>
      <c r="L66" s="446">
        <f>6261.54231499998+435.150349</f>
        <v>6696.69266399998</v>
      </c>
      <c r="M66" s="446">
        <f>6862.42295999999+369.545598</f>
        <v>7231.96855799999</v>
      </c>
      <c r="N66" s="446">
        <f t="shared" si="14"/>
        <v>82701.7593235</v>
      </c>
      <c r="O66" s="453">
        <f t="shared" si="15"/>
        <v>0.0512</v>
      </c>
    </row>
    <row r="67" spans="1:15">
      <c r="A67" s="445" t="s">
        <v>195</v>
      </c>
      <c r="B67" s="446">
        <v>641.175795999999</v>
      </c>
      <c r="C67" s="446">
        <v>685.873339</v>
      </c>
      <c r="D67" s="446">
        <v>1217.898951</v>
      </c>
      <c r="E67" s="446">
        <v>1686.175683</v>
      </c>
      <c r="F67" s="446">
        <v>1768.00321</v>
      </c>
      <c r="G67" s="446">
        <v>1086.622834</v>
      </c>
      <c r="H67" s="446">
        <v>784.629016999998</v>
      </c>
      <c r="I67" s="446">
        <v>1457.233397</v>
      </c>
      <c r="J67" s="446">
        <v>1217.286401</v>
      </c>
      <c r="K67" s="446">
        <v>1232.221083</v>
      </c>
      <c r="L67" s="446">
        <v>1401.254819</v>
      </c>
      <c r="M67" s="446">
        <v>519.025573000001</v>
      </c>
      <c r="N67" s="446">
        <f t="shared" si="14"/>
        <v>13697.400103</v>
      </c>
      <c r="O67" s="453">
        <f t="shared" si="15"/>
        <v>0.0085</v>
      </c>
    </row>
    <row r="68" spans="1:15">
      <c r="A68" s="445" t="s">
        <v>200</v>
      </c>
      <c r="B68" s="446">
        <v>31.954731</v>
      </c>
      <c r="C68" s="446">
        <v>30.162219</v>
      </c>
      <c r="D68" s="446">
        <v>43.5868650000001</v>
      </c>
      <c r="E68" s="446">
        <v>28.625395</v>
      </c>
      <c r="F68" s="446">
        <v>28.74178822</v>
      </c>
      <c r="G68" s="446">
        <v>28.93555264</v>
      </c>
      <c r="H68" s="446">
        <v>37.382823</v>
      </c>
      <c r="I68" s="446">
        <v>26.452599</v>
      </c>
      <c r="J68" s="446">
        <v>24.123822</v>
      </c>
      <c r="K68" s="446">
        <v>18.806453</v>
      </c>
      <c r="L68" s="446">
        <v>14.366787</v>
      </c>
      <c r="M68" s="446">
        <v>13.333285</v>
      </c>
      <c r="N68" s="446">
        <f t="shared" si="14"/>
        <v>326.47231986</v>
      </c>
      <c r="O68" s="453">
        <f t="shared" si="15"/>
        <v>0.0002</v>
      </c>
    </row>
    <row r="69" spans="1:16">
      <c r="A69" s="445" t="s">
        <v>202</v>
      </c>
      <c r="B69" s="446">
        <v>1.361804</v>
      </c>
      <c r="C69" s="446">
        <v>0.492491</v>
      </c>
      <c r="D69" s="446">
        <v>0</v>
      </c>
      <c r="E69" s="446"/>
      <c r="F69" s="446"/>
      <c r="G69" s="446"/>
      <c r="H69" s="446"/>
      <c r="I69" s="446"/>
      <c r="J69" s="446"/>
      <c r="K69" s="446"/>
      <c r="L69" s="446"/>
      <c r="M69" s="446"/>
      <c r="N69" s="446">
        <f t="shared" si="14"/>
        <v>1.854295</v>
      </c>
      <c r="O69" s="453">
        <f t="shared" si="15"/>
        <v>0</v>
      </c>
      <c r="P69" s="461"/>
    </row>
    <row r="70" ht="14.25" spans="1:15">
      <c r="A70" s="445" t="s">
        <v>203</v>
      </c>
      <c r="B70" s="446">
        <v>0.604221</v>
      </c>
      <c r="C70" s="446">
        <v>0.852804</v>
      </c>
      <c r="D70" s="446">
        <v>0.021165</v>
      </c>
      <c r="E70" s="446"/>
      <c r="F70" s="446"/>
      <c r="G70" s="446"/>
      <c r="H70" s="446"/>
      <c r="I70" s="446"/>
      <c r="J70" s="446"/>
      <c r="K70" s="446"/>
      <c r="L70" s="446">
        <v>0.000607</v>
      </c>
      <c r="M70" s="446"/>
      <c r="N70" s="446">
        <f t="shared" si="14"/>
        <v>1.478797</v>
      </c>
      <c r="O70" s="453">
        <f t="shared" si="15"/>
        <v>0</v>
      </c>
    </row>
    <row r="71" ht="14.25" spans="1:15">
      <c r="A71" s="447" t="s">
        <v>198</v>
      </c>
      <c r="B71" s="448">
        <f t="shared" ref="B71:N71" si="16">SUM(B57:B70)</f>
        <v>106859.710261</v>
      </c>
      <c r="C71" s="448">
        <f t="shared" si="16"/>
        <v>85553.4343840002</v>
      </c>
      <c r="D71" s="448">
        <f t="shared" si="16"/>
        <v>131981.717262</v>
      </c>
      <c r="E71" s="448">
        <f t="shared" si="16"/>
        <v>120629.400194999</v>
      </c>
      <c r="F71" s="448">
        <f t="shared" si="16"/>
        <v>133895.08541176</v>
      </c>
      <c r="G71" s="448">
        <f t="shared" si="16"/>
        <v>143560.93773072</v>
      </c>
      <c r="H71" s="448">
        <f t="shared" si="16"/>
        <v>120362.700643</v>
      </c>
      <c r="I71" s="448">
        <f t="shared" si="16"/>
        <v>133438.752906999</v>
      </c>
      <c r="J71" s="448">
        <f t="shared" si="16"/>
        <v>148767.781941999</v>
      </c>
      <c r="K71" s="448">
        <f t="shared" si="16"/>
        <v>143058.945559001</v>
      </c>
      <c r="L71" s="448">
        <f t="shared" si="16"/>
        <v>174864.922967869</v>
      </c>
      <c r="M71" s="448">
        <f t="shared" si="16"/>
        <v>171269.577136</v>
      </c>
      <c r="N71" s="448">
        <f t="shared" si="16"/>
        <v>1614242.96639935</v>
      </c>
      <c r="O71" s="458">
        <f>N71/$N$71</f>
        <v>1</v>
      </c>
    </row>
    <row r="72" spans="2:14">
      <c r="B72" s="461">
        <f>B71-'GMV销售额波动分析（分月、年）'!H47/10000</f>
        <v>0</v>
      </c>
      <c r="C72" s="461">
        <f>C71-'GMV销售额波动分析（分月、年）'!H48/10000</f>
        <v>1.89174897968769e-10</v>
      </c>
      <c r="D72" s="461">
        <f>D71-'GMV销售额波动分析（分月、年）'!H49/10000</f>
        <v>0</v>
      </c>
      <c r="E72" s="461">
        <f>E71-'GMV销售额波动分析（分月、年）'!H50/10000</f>
        <v>-8.14907252788544e-10</v>
      </c>
      <c r="F72" s="461">
        <f>F71-'GMV销售额波动分析（分月、年）'!H51/10000</f>
        <v>-2.39990185946226e-7</v>
      </c>
      <c r="G72" s="461">
        <f>G71-'GMV销售额波动分析（分月、年）'!H52/10000</f>
        <v>-2.91038304567337e-10</v>
      </c>
      <c r="H72" s="461">
        <f>H71-'GMV销售额波动分析（分月、年）'!H53/10000</f>
        <v>-2.7648638933897e-10</v>
      </c>
      <c r="I72" s="461">
        <f>I71-'GMV销售额波动分析（分月、年）'!H54/10000</f>
        <v>-1.51339918375015e-9</v>
      </c>
      <c r="J72" s="500">
        <f>J71-'GMV销售额波动分析（分月、年）'!H55/10000</f>
        <v>-1.22236087918282e-9</v>
      </c>
      <c r="K72" s="461">
        <f>K71-'GMV销售额波动分析（分月、年）'!H56/10000</f>
        <v>4.36557456851006e-10</v>
      </c>
      <c r="L72" s="461">
        <f>L71-'GMV销售额波动分析（分月、年）'!H57/10000</f>
        <v>-2.91038304567337e-10</v>
      </c>
      <c r="M72" s="461"/>
      <c r="N72" s="494"/>
    </row>
    <row r="73" ht="14.25" spans="1:1">
      <c r="A73" s="105" t="s">
        <v>169</v>
      </c>
    </row>
    <row r="74" ht="14.25" spans="1:15">
      <c r="A74" s="443" t="s">
        <v>175</v>
      </c>
      <c r="B74" s="444" t="s">
        <v>148</v>
      </c>
      <c r="C74" s="444" t="s">
        <v>149</v>
      </c>
      <c r="D74" s="444" t="s">
        <v>150</v>
      </c>
      <c r="E74" s="444" t="s">
        <v>151</v>
      </c>
      <c r="F74" s="444" t="s">
        <v>152</v>
      </c>
      <c r="G74" s="444" t="s">
        <v>153</v>
      </c>
      <c r="H74" s="444" t="s">
        <v>154</v>
      </c>
      <c r="I74" s="444" t="s">
        <v>155</v>
      </c>
      <c r="J74" s="444" t="s">
        <v>156</v>
      </c>
      <c r="K74" s="444" t="s">
        <v>157</v>
      </c>
      <c r="L74" s="444" t="s">
        <v>158</v>
      </c>
      <c r="M74" s="444" t="s">
        <v>159</v>
      </c>
      <c r="N74" s="444" t="s">
        <v>15</v>
      </c>
      <c r="O74" s="452" t="s">
        <v>176</v>
      </c>
    </row>
    <row r="75" spans="1:15">
      <c r="A75" s="445" t="s">
        <v>177</v>
      </c>
      <c r="B75" s="446">
        <f>39423.9753359997+1.8+11366675/10000</f>
        <v>40562.4428359997</v>
      </c>
      <c r="C75" s="446">
        <f>40951.919165+23497269/10000</f>
        <v>43301.646065</v>
      </c>
      <c r="D75" s="446">
        <f>58250.0285839998+19871254/10000</f>
        <v>60237.1539839998</v>
      </c>
      <c r="E75" s="446">
        <f>48818.376555+19827588/10000</f>
        <v>50801.135355</v>
      </c>
      <c r="F75" s="446">
        <f>68007.927959+21357735/10000</f>
        <v>70143.701459</v>
      </c>
      <c r="G75" s="446">
        <f>96605.077184+21327047/10000</f>
        <v>98737.781884</v>
      </c>
      <c r="H75" s="446">
        <f>99417.66+15565600/10000</f>
        <v>100974.22</v>
      </c>
      <c r="I75" s="446">
        <v>105358.420929001</v>
      </c>
      <c r="J75" s="446">
        <f>107367.065018+6695591/10000</f>
        <v>108036.624118</v>
      </c>
      <c r="K75" s="446">
        <v>85420.4747670005</v>
      </c>
      <c r="L75" s="446">
        <v>109719.606124</v>
      </c>
      <c r="M75" s="446">
        <f>107009.96952662-1098882/10000</f>
        <v>106900.08132662</v>
      </c>
      <c r="N75" s="446">
        <f t="shared" ref="N75:N87" si="17">(SUM(B75:M75))</f>
        <v>980193.288847621</v>
      </c>
      <c r="O75" s="501">
        <f t="shared" ref="O75:O88" si="18">ROUND(N75/$N$88,4)</f>
        <v>0.4562</v>
      </c>
    </row>
    <row r="76" spans="1:15">
      <c r="A76" s="445" t="s">
        <v>180</v>
      </c>
      <c r="B76" s="446">
        <v>61176.689828</v>
      </c>
      <c r="C76" s="446">
        <v>57422.6958300001</v>
      </c>
      <c r="D76" s="446">
        <v>81422.115599</v>
      </c>
      <c r="E76" s="446">
        <v>79200.967452</v>
      </c>
      <c r="F76" s="446">
        <v>102417.813369</v>
      </c>
      <c r="G76" s="446">
        <v>110457.437419</v>
      </c>
      <c r="H76" s="446">
        <v>101706.99620419</v>
      </c>
      <c r="I76" s="446">
        <v>145034.008256</v>
      </c>
      <c r="J76" s="446">
        <v>51975.0548100001</v>
      </c>
      <c r="K76" s="446">
        <v>39140.547767</v>
      </c>
      <c r="L76" s="446">
        <f>45786.486366-1490350.88/10000</f>
        <v>45637.451278</v>
      </c>
      <c r="M76" s="446">
        <v>29471.5936947</v>
      </c>
      <c r="N76" s="446">
        <f t="shared" si="17"/>
        <v>905063.37150689</v>
      </c>
      <c r="O76" s="501">
        <f t="shared" si="18"/>
        <v>0.4212</v>
      </c>
    </row>
    <row r="77" spans="1:15">
      <c r="A77" s="445" t="s">
        <v>181</v>
      </c>
      <c r="B77" s="446">
        <v>15572.999289</v>
      </c>
      <c r="C77" s="446">
        <v>16729.527382</v>
      </c>
      <c r="D77" s="446">
        <v>15594.689004</v>
      </c>
      <c r="E77" s="446">
        <v>16881.119455</v>
      </c>
      <c r="F77" s="446">
        <v>14957.635328</v>
      </c>
      <c r="G77" s="446">
        <v>9213.63688500001</v>
      </c>
      <c r="H77" s="446">
        <v>10097.42566378</v>
      </c>
      <c r="I77" s="446">
        <v>9429.074488</v>
      </c>
      <c r="J77" s="446">
        <v>8711.30033700001</v>
      </c>
      <c r="K77" s="446">
        <v>7934.583662</v>
      </c>
      <c r="L77" s="446">
        <v>11842.619873</v>
      </c>
      <c r="M77" s="446">
        <v>7885.96013166001</v>
      </c>
      <c r="N77" s="446">
        <f t="shared" si="17"/>
        <v>144850.57149844</v>
      </c>
      <c r="O77" s="501">
        <f t="shared" si="18"/>
        <v>0.0674</v>
      </c>
    </row>
    <row r="78" spans="1:15">
      <c r="A78" s="450" t="s">
        <v>182</v>
      </c>
      <c r="B78" s="451">
        <v>396.842547</v>
      </c>
      <c r="C78" s="451">
        <v>332.539453</v>
      </c>
      <c r="D78" s="451">
        <v>391.186904</v>
      </c>
      <c r="E78" s="451">
        <v>404.833635</v>
      </c>
      <c r="F78" s="451">
        <v>537.521824</v>
      </c>
      <c r="G78" s="451">
        <v>691.686641</v>
      </c>
      <c r="H78" s="451">
        <v>347.58918629</v>
      </c>
      <c r="I78" s="451">
        <v>351.366804</v>
      </c>
      <c r="J78" s="451">
        <v>270.783659</v>
      </c>
      <c r="K78" s="451">
        <v>293.539611</v>
      </c>
      <c r="L78" s="451">
        <v>1828.934876</v>
      </c>
      <c r="M78" s="451">
        <v>5697.90915380001</v>
      </c>
      <c r="N78" s="451">
        <f t="shared" si="17"/>
        <v>11544.73429409</v>
      </c>
      <c r="O78" s="502">
        <f t="shared" si="18"/>
        <v>0.0054</v>
      </c>
    </row>
    <row r="79" spans="1:15">
      <c r="A79" s="445" t="s">
        <v>185</v>
      </c>
      <c r="B79" s="446">
        <v>4.99998</v>
      </c>
      <c r="C79" s="446">
        <v>1.30409</v>
      </c>
      <c r="D79" s="446">
        <v>8.797984</v>
      </c>
      <c r="E79" s="446">
        <v>10.566873</v>
      </c>
      <c r="F79" s="446">
        <v>11.817944</v>
      </c>
      <c r="G79" s="446">
        <v>209.58694</v>
      </c>
      <c r="H79" s="446">
        <v>267.65737456</v>
      </c>
      <c r="I79" s="446">
        <v>748.74644</v>
      </c>
      <c r="J79" s="446">
        <v>251.181793</v>
      </c>
      <c r="K79" s="446">
        <v>1574.629874</v>
      </c>
      <c r="L79" s="446">
        <v>2197.256594</v>
      </c>
      <c r="M79" s="446">
        <v>1003.5322628</v>
      </c>
      <c r="N79" s="446">
        <f t="shared" si="17"/>
        <v>6290.07814936</v>
      </c>
      <c r="O79" s="501">
        <f t="shared" si="18"/>
        <v>0.0029</v>
      </c>
    </row>
    <row r="80" spans="1:15">
      <c r="A80" s="445" t="s">
        <v>187</v>
      </c>
      <c r="B80" s="446">
        <v>11.41402</v>
      </c>
      <c r="C80" s="446">
        <v>69.565727</v>
      </c>
      <c r="D80" s="446">
        <v>0.007144</v>
      </c>
      <c r="E80" s="446">
        <v>0.006292</v>
      </c>
      <c r="F80" s="446">
        <v>1.073629</v>
      </c>
      <c r="G80" s="446">
        <v>52.738715</v>
      </c>
      <c r="H80" s="446">
        <v>54.05723442</v>
      </c>
      <c r="I80" s="446">
        <v>1.377599</v>
      </c>
      <c r="J80" s="446">
        <v>-0.050824</v>
      </c>
      <c r="K80" s="446">
        <v>3.458081</v>
      </c>
      <c r="L80" s="446">
        <v>182.345536</v>
      </c>
      <c r="M80" s="446">
        <v>21.25146</v>
      </c>
      <c r="N80" s="446">
        <f t="shared" si="17"/>
        <v>397.24461342</v>
      </c>
      <c r="O80" s="501">
        <f t="shared" si="18"/>
        <v>0.0002</v>
      </c>
    </row>
    <row r="81" spans="1:15">
      <c r="A81" s="445" t="s">
        <v>189</v>
      </c>
      <c r="B81" s="446">
        <v>8093.482413</v>
      </c>
      <c r="C81" s="446">
        <v>7839.796938</v>
      </c>
      <c r="D81" s="446">
        <v>9038.038883</v>
      </c>
      <c r="E81" s="446">
        <v>8604.20891</v>
      </c>
      <c r="F81" s="446">
        <v>5654.22605</v>
      </c>
      <c r="G81" s="446">
        <v>6522.93744499999</v>
      </c>
      <c r="H81" s="446">
        <v>5880.65818178</v>
      </c>
      <c r="I81" s="446">
        <v>6786.14172900002</v>
      </c>
      <c r="J81" s="446">
        <v>8013.04335099996</v>
      </c>
      <c r="K81" s="446">
        <v>6656.72799600001</v>
      </c>
      <c r="L81" s="446">
        <v>6529.41880600001</v>
      </c>
      <c r="M81" s="446">
        <v>11977.97440534</v>
      </c>
      <c r="N81" s="446">
        <f t="shared" si="17"/>
        <v>91596.65510812</v>
      </c>
      <c r="O81" s="501">
        <f t="shared" si="18"/>
        <v>0.0426</v>
      </c>
    </row>
    <row r="82" spans="1:15">
      <c r="A82" s="445" t="s">
        <v>201</v>
      </c>
      <c r="B82" s="446">
        <v>179.04565</v>
      </c>
      <c r="C82" s="446">
        <v>110.750487</v>
      </c>
      <c r="D82" s="446">
        <v>27.409568</v>
      </c>
      <c r="E82" s="446">
        <v>160.572945</v>
      </c>
      <c r="F82" s="446">
        <v>67.4845080000001</v>
      </c>
      <c r="G82" s="446">
        <v>138.022322</v>
      </c>
      <c r="H82" s="446">
        <v>51.69140432</v>
      </c>
      <c r="I82" s="446">
        <v>240.159925</v>
      </c>
      <c r="J82" s="446">
        <v>104.456135</v>
      </c>
      <c r="K82" s="446">
        <v>42.425316</v>
      </c>
      <c r="L82" s="446">
        <v>23.733068</v>
      </c>
      <c r="M82" s="446">
        <v>65.64071266</v>
      </c>
      <c r="N82" s="446">
        <f t="shared" si="17"/>
        <v>1211.39204098</v>
      </c>
      <c r="O82" s="501">
        <f t="shared" si="18"/>
        <v>0.0006</v>
      </c>
    </row>
    <row r="83" spans="1:15">
      <c r="A83" s="445" t="s">
        <v>188</v>
      </c>
      <c r="B83" s="446">
        <v>176.456885</v>
      </c>
      <c r="C83" s="446">
        <v>365.177864</v>
      </c>
      <c r="D83" s="446">
        <v>143.585979</v>
      </c>
      <c r="E83" s="446">
        <v>76.936761</v>
      </c>
      <c r="F83" s="446">
        <v>31.692688</v>
      </c>
      <c r="G83" s="446">
        <v>25.153484</v>
      </c>
      <c r="H83" s="446">
        <v>17.94134648</v>
      </c>
      <c r="I83" s="446">
        <v>12.194873</v>
      </c>
      <c r="J83" s="446">
        <v>8.075669</v>
      </c>
      <c r="K83" s="446">
        <v>9.757343</v>
      </c>
      <c r="L83" s="446">
        <v>15.530333</v>
      </c>
      <c r="M83" s="446">
        <v>31.2558164</v>
      </c>
      <c r="N83" s="446">
        <f t="shared" si="17"/>
        <v>913.75904188</v>
      </c>
      <c r="O83" s="501">
        <f t="shared" si="18"/>
        <v>0.0004</v>
      </c>
    </row>
    <row r="84" spans="1:15">
      <c r="A84" s="445" t="s">
        <v>195</v>
      </c>
      <c r="B84" s="446">
        <v>356.474027</v>
      </c>
      <c r="C84" s="446">
        <v>316.987258</v>
      </c>
      <c r="D84" s="446">
        <v>276.193861</v>
      </c>
      <c r="E84" s="446">
        <v>329.629433</v>
      </c>
      <c r="F84" s="446">
        <v>505.641555999999</v>
      </c>
      <c r="G84" s="446">
        <v>634.277972999999</v>
      </c>
      <c r="H84" s="446">
        <v>765.0515118</v>
      </c>
      <c r="I84" s="446">
        <v>605.179016999998</v>
      </c>
      <c r="J84" s="446">
        <v>256.051565</v>
      </c>
      <c r="K84" s="446">
        <v>448.391746999999</v>
      </c>
      <c r="L84" s="446">
        <v>382.92694</v>
      </c>
      <c r="M84" s="446">
        <v>959.513459999999</v>
      </c>
      <c r="N84" s="446">
        <f t="shared" si="17"/>
        <v>5836.31834879999</v>
      </c>
      <c r="O84" s="501">
        <f t="shared" si="18"/>
        <v>0.0027</v>
      </c>
    </row>
    <row r="85" spans="1:15">
      <c r="A85" s="445" t="s">
        <v>200</v>
      </c>
      <c r="B85" s="446">
        <v>30.220819</v>
      </c>
      <c r="C85" s="446">
        <v>8.815927</v>
      </c>
      <c r="D85" s="446">
        <v>20.533129</v>
      </c>
      <c r="E85" s="446">
        <v>40.769859</v>
      </c>
      <c r="F85" s="446">
        <v>15.823194</v>
      </c>
      <c r="G85" s="446">
        <v>19.139784</v>
      </c>
      <c r="H85" s="446">
        <v>64.819123</v>
      </c>
      <c r="I85" s="446">
        <v>102.589424</v>
      </c>
      <c r="J85" s="446">
        <v>85.2227200000002</v>
      </c>
      <c r="K85" s="446">
        <v>87.7702890000001</v>
      </c>
      <c r="L85" s="446">
        <v>35.354799</v>
      </c>
      <c r="M85" s="446">
        <v>38.590306</v>
      </c>
      <c r="N85" s="446">
        <f t="shared" si="17"/>
        <v>549.649373</v>
      </c>
      <c r="O85" s="501">
        <f t="shared" si="18"/>
        <v>0.0003</v>
      </c>
    </row>
    <row r="86" spans="1:15">
      <c r="A86" s="445" t="s">
        <v>204</v>
      </c>
      <c r="B86" s="446">
        <v>11.19466</v>
      </c>
      <c r="C86" s="446">
        <v>15.14335</v>
      </c>
      <c r="D86" s="446">
        <v>10.103145</v>
      </c>
      <c r="E86" s="446">
        <v>11.250786</v>
      </c>
      <c r="F86" s="446">
        <v>10.332308</v>
      </c>
      <c r="G86" s="446">
        <v>111.236536</v>
      </c>
      <c r="H86" s="446">
        <v>4.803363</v>
      </c>
      <c r="I86" s="446">
        <v>105.815941</v>
      </c>
      <c r="J86" s="446">
        <v>0.90577</v>
      </c>
      <c r="K86" s="446">
        <v>0</v>
      </c>
      <c r="L86" s="446">
        <v>0.050483</v>
      </c>
      <c r="M86" s="446">
        <v>0.524047</v>
      </c>
      <c r="N86" s="446">
        <f t="shared" si="17"/>
        <v>281.360389</v>
      </c>
      <c r="O86" s="501">
        <f t="shared" si="18"/>
        <v>0.0001</v>
      </c>
    </row>
    <row r="87" ht="14.25" spans="1:15">
      <c r="A87" s="445" t="s">
        <v>205</v>
      </c>
      <c r="B87" s="446">
        <v>0.0311</v>
      </c>
      <c r="C87" s="446">
        <v>0.0055</v>
      </c>
      <c r="D87" s="446">
        <v>0.0025</v>
      </c>
      <c r="E87" s="446">
        <v>0.006</v>
      </c>
      <c r="F87" s="446">
        <v>3.1065</v>
      </c>
      <c r="G87" s="446">
        <v>0.0015</v>
      </c>
      <c r="H87" s="446">
        <v>0.0035</v>
      </c>
      <c r="I87" s="446">
        <v>0.001</v>
      </c>
      <c r="J87" s="446">
        <v>0.002</v>
      </c>
      <c r="K87" s="446">
        <v>0.001</v>
      </c>
      <c r="L87" s="446">
        <v>0.001</v>
      </c>
      <c r="M87" s="446">
        <v>0</v>
      </c>
      <c r="N87" s="446">
        <f t="shared" si="17"/>
        <v>3.1616</v>
      </c>
      <c r="O87" s="501">
        <f t="shared" si="18"/>
        <v>0</v>
      </c>
    </row>
    <row r="88" ht="14.25" spans="1:15">
      <c r="A88" s="447" t="s">
        <v>198</v>
      </c>
      <c r="B88" s="448">
        <f t="shared" ref="B88:N88" si="19">SUM(B75:B87)</f>
        <v>126572.294054</v>
      </c>
      <c r="C88" s="448">
        <f t="shared" si="19"/>
        <v>126513.955871</v>
      </c>
      <c r="D88" s="448">
        <f t="shared" si="19"/>
        <v>167169.817684</v>
      </c>
      <c r="E88" s="448">
        <f t="shared" si="19"/>
        <v>156522.003756</v>
      </c>
      <c r="F88" s="448">
        <f t="shared" si="19"/>
        <v>194357.870357</v>
      </c>
      <c r="G88" s="448">
        <f t="shared" si="19"/>
        <v>226813.637528</v>
      </c>
      <c r="H88" s="448">
        <f t="shared" si="19"/>
        <v>220232.91409362</v>
      </c>
      <c r="I88" s="448">
        <f t="shared" si="19"/>
        <v>268775.076425001</v>
      </c>
      <c r="J88" s="448">
        <f t="shared" si="19"/>
        <v>177712.651103</v>
      </c>
      <c r="K88" s="448">
        <f t="shared" si="19"/>
        <v>141612.307453</v>
      </c>
      <c r="L88" s="448">
        <f t="shared" si="19"/>
        <v>178395.22971</v>
      </c>
      <c r="M88" s="448">
        <f t="shared" si="19"/>
        <v>164053.82677698</v>
      </c>
      <c r="N88" s="448">
        <f t="shared" si="19"/>
        <v>2148731.5848116</v>
      </c>
      <c r="O88" s="503">
        <f t="shared" si="18"/>
        <v>1</v>
      </c>
    </row>
    <row r="89" spans="12:14">
      <c r="L89" s="106">
        <f>L88-'GMV销售额波动分析（分月、年）'!H72/10000</f>
        <v>3.49245965480804e-10</v>
      </c>
      <c r="N89" s="106">
        <f>N88-SUM('GMV销售额波动分析（分月、年）'!H62:H73)/10000</f>
        <v>-3.01506370306015e-5</v>
      </c>
    </row>
    <row r="90" ht="14.25" spans="1:1">
      <c r="A90" s="105" t="s">
        <v>206</v>
      </c>
    </row>
    <row r="91" ht="14.25" spans="1:15">
      <c r="A91" s="443" t="s">
        <v>175</v>
      </c>
      <c r="B91" s="444" t="s">
        <v>148</v>
      </c>
      <c r="C91" s="444" t="s">
        <v>149</v>
      </c>
      <c r="D91" s="444" t="s">
        <v>150</v>
      </c>
      <c r="E91" s="444" t="s">
        <v>151</v>
      </c>
      <c r="F91" s="444" t="s">
        <v>152</v>
      </c>
      <c r="G91" s="444" t="s">
        <v>153</v>
      </c>
      <c r="H91" s="444" t="s">
        <v>154</v>
      </c>
      <c r="I91" s="444" t="s">
        <v>155</v>
      </c>
      <c r="J91" s="444" t="s">
        <v>156</v>
      </c>
      <c r="K91" s="444" t="s">
        <v>157</v>
      </c>
      <c r="L91" s="444" t="s">
        <v>158</v>
      </c>
      <c r="M91" s="444" t="s">
        <v>159</v>
      </c>
      <c r="N91" s="444" t="s">
        <v>15</v>
      </c>
      <c r="O91" s="452" t="s">
        <v>176</v>
      </c>
    </row>
    <row r="92" spans="1:15">
      <c r="A92" s="445" t="s">
        <v>207</v>
      </c>
      <c r="B92" s="446">
        <f>78680.400901+85.91-74719884.22/10000</f>
        <v>71294.322479</v>
      </c>
      <c r="C92" s="446">
        <f>92825.248135-25783045.72/10000</f>
        <v>90246.943563</v>
      </c>
      <c r="D92" s="446">
        <f>105162.588587+7.89-109693990.11/10000</f>
        <v>94201.079576</v>
      </c>
      <c r="E92" s="446">
        <f>97371.774742+0.6026-63605902.13/10000</f>
        <v>91011.787129</v>
      </c>
      <c r="F92" s="446">
        <f>68842.153984-0.52-50369337.9/10000</f>
        <v>63804.700194</v>
      </c>
      <c r="G92" s="446">
        <f>59099.8122899998+31484467.16/10000+8.29-34408693.89/10000</f>
        <v>58815.6796169998</v>
      </c>
      <c r="H92" s="446">
        <f>37665.855537-40538243.73/10000</f>
        <v>33612.031164</v>
      </c>
      <c r="I92" s="446">
        <f>42558.544539-44690221.03/10000</f>
        <v>38089.522436</v>
      </c>
      <c r="J92" s="446">
        <f>45183.57061+134070.57/10000-78063313.07/10000</f>
        <v>37390.64636</v>
      </c>
      <c r="K92" s="446">
        <f>41079.293538-10179102.11/10000</f>
        <v>40061.383327</v>
      </c>
      <c r="L92" s="446">
        <f>46761.208714+83997.87/10000-73096942.4/10000</f>
        <v>39459.914261</v>
      </c>
      <c r="M92" s="446">
        <f>55434.034117-99213147.59/10000</f>
        <v>45512.719358</v>
      </c>
      <c r="N92" s="446">
        <f t="shared" ref="N92:N105" si="20">(SUM(B92:J92))</f>
        <v>578466.712518</v>
      </c>
      <c r="O92" s="501">
        <f t="shared" ref="O92:O106" si="21">N92/$N$106</f>
        <v>0.539766246181484</v>
      </c>
    </row>
    <row r="93" spans="1:15">
      <c r="A93" s="445" t="s">
        <v>180</v>
      </c>
      <c r="B93" s="446">
        <v>17676.32764</v>
      </c>
      <c r="C93" s="446">
        <v>15046.748249</v>
      </c>
      <c r="D93" s="446">
        <v>22011.813144</v>
      </c>
      <c r="E93" s="446">
        <v>18856.75431</v>
      </c>
      <c r="F93" s="446">
        <v>36867.657973</v>
      </c>
      <c r="G93" s="446">
        <v>49393.267301</v>
      </c>
      <c r="H93" s="446">
        <v>50846.398667</v>
      </c>
      <c r="I93" s="446">
        <f>41494.864346+72.719472</f>
        <v>41567.583818</v>
      </c>
      <c r="J93" s="446">
        <v>51591.896018</v>
      </c>
      <c r="K93" s="446">
        <v>57234.206567</v>
      </c>
      <c r="L93" s="446">
        <v>62757.925718</v>
      </c>
      <c r="M93" s="446">
        <v>59950.40661</v>
      </c>
      <c r="N93" s="446">
        <f t="shared" si="20"/>
        <v>303858.44712</v>
      </c>
      <c r="O93" s="501">
        <f t="shared" si="21"/>
        <v>0.28352976899668</v>
      </c>
    </row>
    <row r="94" spans="1:15">
      <c r="A94" s="445" t="s">
        <v>181</v>
      </c>
      <c r="B94" s="446">
        <v>12208.547389</v>
      </c>
      <c r="C94" s="446">
        <f>12603.12774-91.11</f>
        <v>12512.01774</v>
      </c>
      <c r="D94" s="446">
        <v>13439.305915</v>
      </c>
      <c r="E94" s="446">
        <v>13470.142379</v>
      </c>
      <c r="F94" s="446">
        <v>14860.018481</v>
      </c>
      <c r="G94" s="446">
        <v>16925.179597</v>
      </c>
      <c r="H94" s="446">
        <v>16200.158007</v>
      </c>
      <c r="I94" s="446">
        <v>15361.31817504</v>
      </c>
      <c r="J94" s="446">
        <v>14191.907152</v>
      </c>
      <c r="K94" s="446">
        <v>16833.535986</v>
      </c>
      <c r="L94" s="446">
        <v>23264.896348</v>
      </c>
      <c r="M94" s="446">
        <v>19603.237424</v>
      </c>
      <c r="N94" s="446">
        <f t="shared" si="20"/>
        <v>129168.59483504</v>
      </c>
      <c r="O94" s="501">
        <f t="shared" si="21"/>
        <v>0.120526982884045</v>
      </c>
    </row>
    <row r="95" spans="1:15">
      <c r="A95" s="445" t="s">
        <v>182</v>
      </c>
      <c r="B95" s="446">
        <v>608.582261</v>
      </c>
      <c r="C95" s="446">
        <v>503.593948</v>
      </c>
      <c r="D95" s="446">
        <v>254.744999</v>
      </c>
      <c r="E95" s="446">
        <v>333.546205</v>
      </c>
      <c r="F95" s="446">
        <v>308.757633</v>
      </c>
      <c r="G95" s="446">
        <v>349.664227</v>
      </c>
      <c r="H95" s="446">
        <v>10.906277</v>
      </c>
      <c r="I95" s="446">
        <v>10.597887</v>
      </c>
      <c r="J95" s="446">
        <v>334.460233</v>
      </c>
      <c r="K95" s="446">
        <v>669.264094</v>
      </c>
      <c r="L95" s="446">
        <v>480.252365</v>
      </c>
      <c r="M95" s="446">
        <v>409.157721</v>
      </c>
      <c r="N95" s="446">
        <f t="shared" si="20"/>
        <v>2714.85367</v>
      </c>
      <c r="O95" s="501">
        <f t="shared" si="21"/>
        <v>0.00253322506321801</v>
      </c>
    </row>
    <row r="96" spans="1:15">
      <c r="A96" s="445" t="s">
        <v>183</v>
      </c>
      <c r="B96" s="446">
        <v>2351.696414</v>
      </c>
      <c r="C96" s="446">
        <v>2279.52215</v>
      </c>
      <c r="D96" s="446">
        <v>4459.047262</v>
      </c>
      <c r="E96" s="446">
        <v>4231.754246</v>
      </c>
      <c r="F96" s="446">
        <v>4074.668833</v>
      </c>
      <c r="G96" s="446">
        <v>6094.13915499999</v>
      </c>
      <c r="H96" s="446">
        <v>6568.246399</v>
      </c>
      <c r="I96" s="446">
        <v>6790.007964</v>
      </c>
      <c r="J96" s="446">
        <v>3917.434956</v>
      </c>
      <c r="K96" s="446">
        <v>4764.886368</v>
      </c>
      <c r="L96" s="446">
        <v>3378.436763</v>
      </c>
      <c r="M96" s="446">
        <v>-0.01655</v>
      </c>
      <c r="N96" s="446">
        <f t="shared" si="20"/>
        <v>40766.517379</v>
      </c>
      <c r="O96" s="501">
        <f t="shared" si="21"/>
        <v>0.0380391638436246</v>
      </c>
    </row>
    <row r="97" spans="1:15">
      <c r="A97" s="445" t="s">
        <v>208</v>
      </c>
      <c r="B97" s="446">
        <v>4001.105558</v>
      </c>
      <c r="C97" s="446">
        <v>4641.30334</v>
      </c>
      <c r="D97" s="446">
        <v>888.475235</v>
      </c>
      <c r="E97" s="446"/>
      <c r="F97" s="446"/>
      <c r="G97" s="446"/>
      <c r="H97" s="446"/>
      <c r="I97" s="446"/>
      <c r="J97" s="446"/>
      <c r="K97" s="446"/>
      <c r="L97" s="446"/>
      <c r="M97" s="446"/>
      <c r="N97" s="446">
        <f t="shared" si="20"/>
        <v>9530.884133</v>
      </c>
      <c r="O97" s="501">
        <f t="shared" si="21"/>
        <v>0.00889325079548117</v>
      </c>
    </row>
    <row r="98" spans="1:15">
      <c r="A98" s="445" t="s">
        <v>201</v>
      </c>
      <c r="B98" s="446">
        <v>176.965766</v>
      </c>
      <c r="C98" s="446">
        <v>264.600297</v>
      </c>
      <c r="D98" s="446">
        <v>111.696288</v>
      </c>
      <c r="E98" s="446">
        <v>122.031221</v>
      </c>
      <c r="F98" s="446">
        <v>271.526898</v>
      </c>
      <c r="G98" s="446">
        <v>636.00335</v>
      </c>
      <c r="H98" s="446">
        <v>0.027307</v>
      </c>
      <c r="I98" s="446">
        <v>0.407394</v>
      </c>
      <c r="J98" s="446">
        <v>112.806869</v>
      </c>
      <c r="K98" s="446">
        <v>434.716503</v>
      </c>
      <c r="L98" s="446">
        <v>185.123516</v>
      </c>
      <c r="M98" s="446">
        <v>689.010282</v>
      </c>
      <c r="N98" s="446">
        <f t="shared" si="20"/>
        <v>1696.06539</v>
      </c>
      <c r="O98" s="501">
        <f t="shared" si="21"/>
        <v>0.00158259555654233</v>
      </c>
    </row>
    <row r="99" spans="1:15">
      <c r="A99" s="445" t="s">
        <v>188</v>
      </c>
      <c r="B99" s="446">
        <v>88.226893</v>
      </c>
      <c r="C99" s="446">
        <v>144.049771</v>
      </c>
      <c r="D99" s="446">
        <v>194.451793</v>
      </c>
      <c r="E99" s="446">
        <v>148.454055</v>
      </c>
      <c r="F99" s="446">
        <v>32.871628</v>
      </c>
      <c r="G99" s="446">
        <v>55.179119</v>
      </c>
      <c r="H99" s="446">
        <v>76.697604</v>
      </c>
      <c r="I99" s="446">
        <v>142.834473</v>
      </c>
      <c r="J99" s="446">
        <v>117.741053</v>
      </c>
      <c r="K99" s="446">
        <v>149.261963</v>
      </c>
      <c r="L99" s="446">
        <v>222.245207</v>
      </c>
      <c r="M99" s="446">
        <v>244.634043</v>
      </c>
      <c r="N99" s="446">
        <f t="shared" si="20"/>
        <v>1000.506389</v>
      </c>
      <c r="O99" s="501">
        <f t="shared" si="21"/>
        <v>0.000933570707155112</v>
      </c>
    </row>
    <row r="100" spans="1:15">
      <c r="A100" s="445" t="s">
        <v>189</v>
      </c>
      <c r="B100" s="446">
        <v>218.590095</v>
      </c>
      <c r="C100" s="446">
        <v>75.498498</v>
      </c>
      <c r="D100" s="446">
        <v>119.343017</v>
      </c>
      <c r="E100" s="446">
        <v>82.905622</v>
      </c>
      <c r="F100" s="446">
        <v>230.031951</v>
      </c>
      <c r="G100" s="446">
        <v>476.282138</v>
      </c>
      <c r="H100" s="446">
        <v>102.148096</v>
      </c>
      <c r="I100" s="446">
        <v>393.482379</v>
      </c>
      <c r="J100" s="446">
        <v>168.016417</v>
      </c>
      <c r="K100" s="446">
        <v>354.048841</v>
      </c>
      <c r="L100" s="446">
        <v>1536.101755</v>
      </c>
      <c r="M100" s="446">
        <v>7470.357291</v>
      </c>
      <c r="N100" s="446">
        <f t="shared" si="20"/>
        <v>1866.298213</v>
      </c>
      <c r="O100" s="501">
        <f t="shared" si="21"/>
        <v>0.00174143949666745</v>
      </c>
    </row>
    <row r="101" spans="1:15">
      <c r="A101" s="445" t="s">
        <v>209</v>
      </c>
      <c r="B101" s="446">
        <v>49.645955</v>
      </c>
      <c r="C101" s="446">
        <v>50.866252</v>
      </c>
      <c r="D101" s="446">
        <v>210.11419</v>
      </c>
      <c r="E101" s="446">
        <v>119.915725</v>
      </c>
      <c r="F101" s="446">
        <v>32.158862</v>
      </c>
      <c r="G101" s="446">
        <v>22.375904</v>
      </c>
      <c r="H101" s="446">
        <f>170.154629+8.35/10000</f>
        <v>170.155464</v>
      </c>
      <c r="I101" s="446">
        <v>13.872562</v>
      </c>
      <c r="J101" s="446">
        <v>20.104893</v>
      </c>
      <c r="K101" s="446">
        <v>15.716167</v>
      </c>
      <c r="L101" s="446">
        <v>25.751411</v>
      </c>
      <c r="M101" s="446">
        <v>24.026338</v>
      </c>
      <c r="N101" s="446">
        <f t="shared" si="20"/>
        <v>689.209807</v>
      </c>
      <c r="O101" s="501">
        <f t="shared" si="21"/>
        <v>0.000643100427916636</v>
      </c>
    </row>
    <row r="102" spans="1:15">
      <c r="A102" s="445" t="s">
        <v>204</v>
      </c>
      <c r="B102" s="446">
        <v>64.371113</v>
      </c>
      <c r="C102" s="446">
        <v>144.494881</v>
      </c>
      <c r="D102" s="446">
        <v>51.030485</v>
      </c>
      <c r="E102" s="446">
        <v>75.733586</v>
      </c>
      <c r="F102" s="446">
        <v>74.506003</v>
      </c>
      <c r="G102" s="446">
        <v>211.594682</v>
      </c>
      <c r="H102" s="446">
        <v>58.798072</v>
      </c>
      <c r="I102" s="446">
        <v>21.061007</v>
      </c>
      <c r="J102" s="446">
        <v>26.467035</v>
      </c>
      <c r="K102" s="446">
        <v>9.645272</v>
      </c>
      <c r="L102" s="446">
        <v>3.994273</v>
      </c>
      <c r="M102" s="446">
        <v>3.359208</v>
      </c>
      <c r="N102" s="446">
        <f t="shared" si="20"/>
        <v>728.056864</v>
      </c>
      <c r="O102" s="501">
        <f t="shared" si="21"/>
        <v>0.000679348546742377</v>
      </c>
    </row>
    <row r="103" spans="1:15">
      <c r="A103" s="445" t="s">
        <v>210</v>
      </c>
      <c r="B103" s="446">
        <v>10.49314</v>
      </c>
      <c r="C103" s="446">
        <v>27.677465</v>
      </c>
      <c r="D103" s="446">
        <v>144.01537</v>
      </c>
      <c r="E103" s="446">
        <v>2.0875</v>
      </c>
      <c r="F103" s="446">
        <v>0.17729</v>
      </c>
      <c r="G103" s="446"/>
      <c r="H103" s="446"/>
      <c r="I103" s="446"/>
      <c r="J103" s="446"/>
      <c r="K103" s="446"/>
      <c r="L103" s="446"/>
      <c r="M103" s="446"/>
      <c r="N103" s="446">
        <f t="shared" si="20"/>
        <v>184.450765</v>
      </c>
      <c r="O103" s="501">
        <f t="shared" si="21"/>
        <v>0.00017211067616316</v>
      </c>
    </row>
    <row r="104" spans="1:15">
      <c r="A104" s="445" t="s">
        <v>195</v>
      </c>
      <c r="B104" s="446">
        <v>38.563642</v>
      </c>
      <c r="C104" s="446">
        <v>33.873994</v>
      </c>
      <c r="D104" s="446">
        <v>78.748283</v>
      </c>
      <c r="E104" s="446">
        <v>122.11397</v>
      </c>
      <c r="F104" s="446">
        <v>131.273892</v>
      </c>
      <c r="G104" s="446">
        <v>149.407141</v>
      </c>
      <c r="H104" s="446">
        <v>130.736675</v>
      </c>
      <c r="I104" s="446">
        <v>70.859398</v>
      </c>
      <c r="J104" s="446">
        <v>82.148039</v>
      </c>
      <c r="K104" s="446">
        <v>72.61943</v>
      </c>
      <c r="L104" s="446">
        <v>113.46603</v>
      </c>
      <c r="M104" s="446">
        <v>211.680456</v>
      </c>
      <c r="N104" s="446">
        <f t="shared" si="20"/>
        <v>837.725034</v>
      </c>
      <c r="O104" s="501">
        <f t="shared" si="21"/>
        <v>0.000781679718382008</v>
      </c>
    </row>
    <row r="105" ht="14.25" spans="1:15">
      <c r="A105" s="445" t="s">
        <v>205</v>
      </c>
      <c r="B105" s="446">
        <v>68.125834</v>
      </c>
      <c r="C105" s="446">
        <v>7.349344</v>
      </c>
      <c r="D105" s="446">
        <v>39.8535</v>
      </c>
      <c r="E105" s="446">
        <v>12.769822</v>
      </c>
      <c r="F105" s="446">
        <v>11.290725</v>
      </c>
      <c r="G105" s="446">
        <v>13.800103</v>
      </c>
      <c r="H105" s="446">
        <v>35.37</v>
      </c>
      <c r="I105" s="446">
        <v>0.9138</v>
      </c>
      <c r="J105" s="446">
        <v>0.7717</v>
      </c>
      <c r="K105" s="446">
        <v>0.4323</v>
      </c>
      <c r="L105" s="446">
        <v>38.96075</v>
      </c>
      <c r="M105" s="446">
        <v>0.0447</v>
      </c>
      <c r="N105" s="446">
        <f t="shared" si="20"/>
        <v>190.244828</v>
      </c>
      <c r="O105" s="501">
        <f t="shared" si="21"/>
        <v>0.000177517105898824</v>
      </c>
    </row>
    <row r="106" ht="14.25" spans="1:15">
      <c r="A106" s="498" t="s">
        <v>198</v>
      </c>
      <c r="B106" s="499">
        <f t="shared" ref="B106:N106" si="22">SUM(B92:B105)</f>
        <v>108855.564179</v>
      </c>
      <c r="C106" s="499">
        <f t="shared" si="22"/>
        <v>125978.539492</v>
      </c>
      <c r="D106" s="499">
        <f t="shared" si="22"/>
        <v>136203.719057</v>
      </c>
      <c r="E106" s="499">
        <f t="shared" si="22"/>
        <v>128589.99577</v>
      </c>
      <c r="F106" s="499">
        <f t="shared" si="22"/>
        <v>120699.640363</v>
      </c>
      <c r="G106" s="499">
        <f t="shared" si="22"/>
        <v>133142.572334</v>
      </c>
      <c r="H106" s="499">
        <f t="shared" si="22"/>
        <v>107811.673732</v>
      </c>
      <c r="I106" s="499">
        <f t="shared" si="22"/>
        <v>102462.46129304</v>
      </c>
      <c r="J106" s="499">
        <f t="shared" si="22"/>
        <v>107954.400725</v>
      </c>
      <c r="K106" s="499">
        <f t="shared" si="22"/>
        <v>120599.716818</v>
      </c>
      <c r="L106" s="499">
        <f t="shared" si="22"/>
        <v>131467.068397</v>
      </c>
      <c r="M106" s="499">
        <f t="shared" si="22"/>
        <v>134118.616881</v>
      </c>
      <c r="N106" s="499">
        <f t="shared" si="22"/>
        <v>1071698.56694504</v>
      </c>
      <c r="O106" s="504">
        <f t="shared" si="21"/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9"/>
  <sheetViews>
    <sheetView workbookViewId="0">
      <pane ySplit="5" topLeftCell="A57" activePane="bottomLeft" state="frozen"/>
      <selection/>
      <selection pane="bottomLeft" activeCell="I96" sqref="I96"/>
    </sheetView>
  </sheetViews>
  <sheetFormatPr defaultColWidth="8.89166666666667" defaultRowHeight="13.5"/>
  <cols>
    <col min="1" max="1" width="9" style="1"/>
    <col min="2" max="2" width="10.3833333333333" style="1"/>
    <col min="3" max="3" width="11.2583333333333" style="1"/>
    <col min="4" max="5" width="10.3833333333333" style="1"/>
    <col min="6" max="6" width="16.6333333333333" style="130" customWidth="1"/>
    <col min="7" max="7" width="3" style="1" customWidth="1"/>
    <col min="8" max="8" width="10.3833333333333" style="1" customWidth="1"/>
    <col min="9" max="11" width="8.89166666666667" style="244" customWidth="1"/>
    <col min="12" max="12" width="10.3833333333333" style="244" customWidth="1"/>
    <col min="13" max="13" width="9.63333333333333" style="244" customWidth="1"/>
    <col min="14" max="14" width="8.125" style="1" customWidth="1"/>
    <col min="15" max="15" width="11.875" style="4" customWidth="1"/>
    <col min="16" max="16" width="12.6333333333333" style="284"/>
    <col min="17" max="20" width="13.2583333333333" style="284" customWidth="1"/>
    <col min="21" max="21" width="12.1333333333333" style="20"/>
    <col min="22" max="22" width="10.3833333333333" style="20"/>
    <col min="23" max="29" width="8.89166666666667" style="20"/>
    <col min="57" max="57" width="12.6333333333333"/>
  </cols>
  <sheetData>
    <row r="1" spans="1:1">
      <c r="A1" s="1" t="s">
        <v>211</v>
      </c>
    </row>
    <row r="2" spans="1:1">
      <c r="A2" s="1" t="s">
        <v>10</v>
      </c>
    </row>
    <row r="3" spans="1:1">
      <c r="A3" s="1" t="s">
        <v>16</v>
      </c>
    </row>
    <row r="4" spans="1:8">
      <c r="A4" s="1" t="s">
        <v>212</v>
      </c>
      <c r="H4" s="1" t="s">
        <v>213</v>
      </c>
    </row>
    <row r="5" spans="1:20">
      <c r="A5" s="1" t="s">
        <v>11</v>
      </c>
      <c r="B5" s="1" t="s">
        <v>12</v>
      </c>
      <c r="C5" s="1" t="s">
        <v>13</v>
      </c>
      <c r="D5" s="1" t="s">
        <v>14</v>
      </c>
      <c r="E5" s="1" t="s">
        <v>20</v>
      </c>
      <c r="F5" s="130" t="s">
        <v>214</v>
      </c>
      <c r="H5" s="1" t="s">
        <v>11</v>
      </c>
      <c r="I5" s="244" t="s">
        <v>12</v>
      </c>
      <c r="J5" s="244" t="s">
        <v>13</v>
      </c>
      <c r="K5" s="244" t="s">
        <v>14</v>
      </c>
      <c r="L5" s="244" t="s">
        <v>20</v>
      </c>
      <c r="M5" s="244" t="s">
        <v>214</v>
      </c>
      <c r="O5" s="439" t="s">
        <v>215</v>
      </c>
      <c r="P5" s="284" t="s">
        <v>12</v>
      </c>
      <c r="Q5" s="284" t="s">
        <v>13</v>
      </c>
      <c r="R5" s="284" t="s">
        <v>14</v>
      </c>
      <c r="S5" s="284" t="s">
        <v>20</v>
      </c>
      <c r="T5" s="284" t="s">
        <v>214</v>
      </c>
    </row>
    <row r="6" hidden="1" spans="1:21">
      <c r="A6" s="310">
        <v>43831</v>
      </c>
      <c r="B6" s="432">
        <v>26733.73063878</v>
      </c>
      <c r="C6" s="432">
        <v>68544.6317821998</v>
      </c>
      <c r="D6" s="432">
        <v>10654.40913894</v>
      </c>
      <c r="E6" s="432">
        <v>2922.79406056</v>
      </c>
      <c r="F6" s="432">
        <f t="shared" ref="F6:F69" si="0">SUM(B6:E6)</f>
        <v>108855.56562048</v>
      </c>
      <c r="H6" s="259">
        <v>43831</v>
      </c>
      <c r="I6" s="244">
        <v>4766.008922</v>
      </c>
      <c r="J6" s="244">
        <v>0</v>
      </c>
      <c r="K6" s="244">
        <v>1558.231819</v>
      </c>
      <c r="L6" s="244">
        <v>0</v>
      </c>
      <c r="M6" s="244">
        <f t="shared" ref="M6:M69" si="1">SUM(I6:L6)</f>
        <v>6324.240741</v>
      </c>
      <c r="O6" s="21" t="s">
        <v>216</v>
      </c>
      <c r="P6" s="284">
        <f>B6</f>
        <v>26733.73063878</v>
      </c>
      <c r="Q6" s="284">
        <f>C6</f>
        <v>68544.6317821998</v>
      </c>
      <c r="R6" s="284">
        <f>D6</f>
        <v>10654.40913894</v>
      </c>
      <c r="S6" s="284">
        <f>E6</f>
        <v>2922.79406056</v>
      </c>
      <c r="T6" s="284">
        <f>SUM(P6:S6)</f>
        <v>108855.56562048</v>
      </c>
      <c r="U6" s="20">
        <f>F6-T6</f>
        <v>0</v>
      </c>
    </row>
    <row r="7" hidden="1" spans="1:21">
      <c r="A7" s="310">
        <v>43862</v>
      </c>
      <c r="B7" s="432">
        <v>19821.24027674</v>
      </c>
      <c r="C7" s="432">
        <v>92007.2905163401</v>
      </c>
      <c r="D7" s="432">
        <v>12820.08744732</v>
      </c>
      <c r="E7" s="432">
        <v>1329.92120562</v>
      </c>
      <c r="F7" s="432">
        <f t="shared" si="0"/>
        <v>125978.53944602</v>
      </c>
      <c r="H7" s="259">
        <v>43862</v>
      </c>
      <c r="I7" s="244">
        <v>1147.841978</v>
      </c>
      <c r="J7" s="244">
        <v>0</v>
      </c>
      <c r="K7" s="244">
        <v>1533.889052</v>
      </c>
      <c r="L7" s="244">
        <v>0</v>
      </c>
      <c r="M7" s="244">
        <f t="shared" si="1"/>
        <v>2681.73103</v>
      </c>
      <c r="O7" s="21" t="s">
        <v>217</v>
      </c>
      <c r="P7" s="284">
        <f>SUM(B6:B7)</f>
        <v>46554.97091552</v>
      </c>
      <c r="Q7" s="284">
        <f>SUM(C6:C7)</f>
        <v>160551.92229854</v>
      </c>
      <c r="R7" s="284">
        <f>SUM(D6:D7)</f>
        <v>23474.49658626</v>
      </c>
      <c r="S7" s="284">
        <f>SUM(E6:E7)</f>
        <v>4252.71526618</v>
      </c>
      <c r="T7" s="284">
        <f>SUM(P7:S7)</f>
        <v>234834.1050665</v>
      </c>
      <c r="U7" s="20">
        <f>F6+F7-T7</f>
        <v>0</v>
      </c>
    </row>
    <row r="8" hidden="1" spans="1:21">
      <c r="A8" s="310">
        <v>43891</v>
      </c>
      <c r="B8" s="432">
        <v>17486.65122394</v>
      </c>
      <c r="C8" s="432">
        <v>97094.8752367</v>
      </c>
      <c r="D8" s="432">
        <v>15877.68983042</v>
      </c>
      <c r="E8" s="432">
        <v>5744.5057813</v>
      </c>
      <c r="F8" s="432">
        <f t="shared" si="0"/>
        <v>136203.72207236</v>
      </c>
      <c r="H8" s="259">
        <v>43891</v>
      </c>
      <c r="I8" s="244">
        <v>9868.899662</v>
      </c>
      <c r="J8" s="244">
        <v>0</v>
      </c>
      <c r="K8" s="244">
        <v>1669.544338</v>
      </c>
      <c r="L8" s="244">
        <v>0</v>
      </c>
      <c r="M8" s="244">
        <f t="shared" si="1"/>
        <v>11538.444</v>
      </c>
      <c r="O8" s="21" t="s">
        <v>218</v>
      </c>
      <c r="P8" s="284">
        <f>SUM(B6:B8)</f>
        <v>64041.62213946</v>
      </c>
      <c r="Q8" s="284">
        <f>SUM(C6:C8)</f>
        <v>257646.79753524</v>
      </c>
      <c r="R8" s="284">
        <f>SUM(D6:D8)</f>
        <v>39352.18641668</v>
      </c>
      <c r="S8" s="284">
        <f>SUM(E6:E8)</f>
        <v>9997.22104748</v>
      </c>
      <c r="T8" s="284">
        <f>SUM(P8:S8)</f>
        <v>371037.82713886</v>
      </c>
      <c r="U8" s="20">
        <f>F6+F7+F8-T8</f>
        <v>0</v>
      </c>
    </row>
    <row r="9" hidden="1" spans="1:21">
      <c r="A9" s="310">
        <v>43922</v>
      </c>
      <c r="B9" s="432">
        <v>15860.84112638</v>
      </c>
      <c r="C9" s="432">
        <v>93890.90385678</v>
      </c>
      <c r="D9" s="432">
        <v>15845.44652286</v>
      </c>
      <c r="E9" s="432">
        <v>2992.8042875</v>
      </c>
      <c r="F9" s="432">
        <f t="shared" si="0"/>
        <v>128589.99579352</v>
      </c>
      <c r="H9" s="259">
        <v>43922</v>
      </c>
      <c r="I9" s="244">
        <v>6360.5902</v>
      </c>
      <c r="J9" s="244">
        <v>0</v>
      </c>
      <c r="K9" s="244">
        <v>1162.316703</v>
      </c>
      <c r="L9" s="244">
        <v>0</v>
      </c>
      <c r="M9" s="244">
        <f t="shared" si="1"/>
        <v>7522.906903</v>
      </c>
      <c r="O9" s="21" t="s">
        <v>219</v>
      </c>
      <c r="P9" s="284">
        <f>SUM(B6:B9)</f>
        <v>79902.46326584</v>
      </c>
      <c r="Q9" s="284">
        <f>SUM(C6:C9)</f>
        <v>351537.70139202</v>
      </c>
      <c r="R9" s="284">
        <f>SUM(D6:D9)</f>
        <v>55197.63293954</v>
      </c>
      <c r="S9" s="284">
        <f>SUM(E6:E9)</f>
        <v>12990.02533498</v>
      </c>
      <c r="T9" s="284">
        <f>SUM(F6:F9)</f>
        <v>499627.82293238</v>
      </c>
      <c r="U9" s="20">
        <f>F6+F7+F8+F9-T9</f>
        <v>0</v>
      </c>
    </row>
    <row r="10" hidden="1" spans="1:21">
      <c r="A10" s="310">
        <v>43952</v>
      </c>
      <c r="B10" s="432">
        <v>16779.8830402</v>
      </c>
      <c r="C10" s="432">
        <v>83018.5203723198</v>
      </c>
      <c r="D10" s="432">
        <v>17482.74949648</v>
      </c>
      <c r="E10" s="432">
        <v>3418.48359812</v>
      </c>
      <c r="F10" s="432">
        <f t="shared" si="0"/>
        <v>120699.63650712</v>
      </c>
      <c r="H10" s="259">
        <v>43952</v>
      </c>
      <c r="I10" s="244">
        <v>5036.93379</v>
      </c>
      <c r="J10" s="244">
        <v>0</v>
      </c>
      <c r="K10" s="244">
        <v>1174.85885</v>
      </c>
      <c r="L10" s="244">
        <v>0</v>
      </c>
      <c r="M10" s="244">
        <f t="shared" si="1"/>
        <v>6211.79264</v>
      </c>
      <c r="O10" s="21" t="s">
        <v>220</v>
      </c>
      <c r="P10" s="284">
        <f>SUM(B6:B10)</f>
        <v>96682.34630604</v>
      </c>
      <c r="Q10" s="284">
        <f>SUM(C6:C10)</f>
        <v>434556.22176434</v>
      </c>
      <c r="R10" s="284">
        <f>SUM(D6:D10)</f>
        <v>72680.38243602</v>
      </c>
      <c r="S10" s="284">
        <f>SUM(E6:E10)</f>
        <v>16408.5089331</v>
      </c>
      <c r="T10" s="284">
        <f t="shared" ref="T10:T20" si="2">SUM(P10:S10)</f>
        <v>620327.4594395</v>
      </c>
      <c r="U10" s="20">
        <f>F6+F7+F8+F9+F10-T10</f>
        <v>0</v>
      </c>
    </row>
    <row r="11" hidden="1" spans="1:21">
      <c r="A11" s="310">
        <v>43983</v>
      </c>
      <c r="B11" s="432">
        <v>14015.74567416</v>
      </c>
      <c r="C11" s="432">
        <v>85266.8282968202</v>
      </c>
      <c r="D11" s="432">
        <v>26479.39562748</v>
      </c>
      <c r="E11" s="432">
        <v>7380.60223166</v>
      </c>
      <c r="F11" s="432">
        <f t="shared" si="0"/>
        <v>133142.57183012</v>
      </c>
      <c r="H11" s="259">
        <v>43983</v>
      </c>
      <c r="I11" s="244">
        <v>3440.860389</v>
      </c>
      <c r="J11" s="244">
        <v>0</v>
      </c>
      <c r="K11" s="244">
        <v>2146.614323</v>
      </c>
      <c r="L11" s="244">
        <v>0.7181</v>
      </c>
      <c r="M11" s="244">
        <f t="shared" si="1"/>
        <v>5588.192812</v>
      </c>
      <c r="O11" s="21" t="s">
        <v>221</v>
      </c>
      <c r="P11" s="284">
        <f>SUM(B6:B11)</f>
        <v>110698.0919802</v>
      </c>
      <c r="Q11" s="284">
        <f>SUM(C6:C11)</f>
        <v>519823.05006116</v>
      </c>
      <c r="R11" s="284">
        <f>SUM(D6:D11)</f>
        <v>99159.7780635</v>
      </c>
      <c r="S11" s="284">
        <f>SUM(E6:E11)</f>
        <v>23789.11116476</v>
      </c>
      <c r="T11" s="284">
        <f t="shared" si="2"/>
        <v>753470.03126962</v>
      </c>
      <c r="U11" s="20">
        <f>F6+F7+F8+F9+F10+F11-T11</f>
        <v>0</v>
      </c>
    </row>
    <row r="12" hidden="1" spans="1:21">
      <c r="A12" s="310">
        <v>44013</v>
      </c>
      <c r="B12" s="432">
        <v>16231.545185</v>
      </c>
      <c r="C12" s="432">
        <v>64424.9757960002</v>
      </c>
      <c r="D12" s="432">
        <v>22574.644208</v>
      </c>
      <c r="E12" s="432">
        <v>4580.508543</v>
      </c>
      <c r="F12" s="432">
        <f t="shared" si="0"/>
        <v>107811.673732</v>
      </c>
      <c r="H12" s="259">
        <v>44013</v>
      </c>
      <c r="I12" s="244">
        <v>4053.824373</v>
      </c>
      <c r="J12" s="244">
        <v>0</v>
      </c>
      <c r="K12" s="244">
        <v>1813.252658</v>
      </c>
      <c r="L12" s="244">
        <v>3.5087</v>
      </c>
      <c r="M12" s="244">
        <f t="shared" si="1"/>
        <v>5870.585731</v>
      </c>
      <c r="O12" s="21" t="s">
        <v>222</v>
      </c>
      <c r="P12" s="284">
        <f>SUM(B6:B12)</f>
        <v>126929.6371652</v>
      </c>
      <c r="Q12" s="284">
        <f>SUM(C6:C12)</f>
        <v>584248.02585716</v>
      </c>
      <c r="R12" s="284">
        <f>SUM(D6:D12)</f>
        <v>121734.4222715</v>
      </c>
      <c r="S12" s="284">
        <f>SUM(E6:E12)</f>
        <v>28369.61970776</v>
      </c>
      <c r="T12" s="284">
        <f t="shared" si="2"/>
        <v>861281.70500162</v>
      </c>
      <c r="U12" s="20">
        <f>F6+F7+F8+F9+F10+F11+F12-T12</f>
        <v>0</v>
      </c>
    </row>
    <row r="13" hidden="1" spans="1:21">
      <c r="A13" s="310">
        <v>44044</v>
      </c>
      <c r="B13" s="432">
        <v>14517.382432</v>
      </c>
      <c r="C13" s="432">
        <v>57241.8850249999</v>
      </c>
      <c r="D13" s="432">
        <v>26337.264653</v>
      </c>
      <c r="E13" s="432">
        <v>4365.929183</v>
      </c>
      <c r="F13" s="432">
        <f t="shared" si="0"/>
        <v>102462.461293</v>
      </c>
      <c r="H13" s="259">
        <v>44044</v>
      </c>
      <c r="I13" s="244">
        <v>4469.022103</v>
      </c>
      <c r="J13" s="244">
        <v>0</v>
      </c>
      <c r="K13" s="244">
        <v>2259.027864</v>
      </c>
      <c r="L13" s="244">
        <v>1.6854</v>
      </c>
      <c r="M13" s="244">
        <f t="shared" si="1"/>
        <v>6729.735367</v>
      </c>
      <c r="O13" s="21" t="s">
        <v>223</v>
      </c>
      <c r="P13" s="284">
        <f>SUM(B6:B13)</f>
        <v>141447.0195972</v>
      </c>
      <c r="Q13" s="284">
        <f>SUM(C6:C13)</f>
        <v>641489.91088216</v>
      </c>
      <c r="R13" s="284">
        <f>SUM(D6:D13)</f>
        <v>148071.6869245</v>
      </c>
      <c r="S13" s="284">
        <f>SUM(E6:E13)</f>
        <v>32735.54889076</v>
      </c>
      <c r="T13" s="284">
        <f t="shared" si="2"/>
        <v>963744.16629462</v>
      </c>
      <c r="U13" s="20">
        <f>F6+F7+F8+F9+F10+F11+F12+F13-T13</f>
        <v>0</v>
      </c>
    </row>
    <row r="14" hidden="1" spans="1:21">
      <c r="A14" s="310">
        <v>44075</v>
      </c>
      <c r="B14" s="432">
        <v>13843.132179</v>
      </c>
      <c r="C14" s="432">
        <v>67326.284943</v>
      </c>
      <c r="D14" s="432">
        <v>21292.801281</v>
      </c>
      <c r="E14" s="432">
        <v>5492.182322</v>
      </c>
      <c r="F14" s="432">
        <f t="shared" si="0"/>
        <v>107954.400725</v>
      </c>
      <c r="H14" s="259">
        <v>44075</v>
      </c>
      <c r="I14" s="244">
        <v>7806.331307</v>
      </c>
      <c r="J14" s="244">
        <v>0</v>
      </c>
      <c r="K14" s="244">
        <v>2382.159106</v>
      </c>
      <c r="L14" s="244">
        <v>8.0147</v>
      </c>
      <c r="M14" s="244">
        <f t="shared" si="1"/>
        <v>10196.505113</v>
      </c>
      <c r="O14" s="21" t="s">
        <v>224</v>
      </c>
      <c r="P14" s="284">
        <f>SUM(B6:B14)</f>
        <v>155290.1517762</v>
      </c>
      <c r="Q14" s="284">
        <f>SUM(C6:C14)</f>
        <v>708816.19582516</v>
      </c>
      <c r="R14" s="284">
        <f>SUM(D6:D14)</f>
        <v>169364.4882055</v>
      </c>
      <c r="S14" s="284">
        <f>SUM(E6:E14)</f>
        <v>38227.73121276</v>
      </c>
      <c r="T14" s="284">
        <f t="shared" si="2"/>
        <v>1071698.56701962</v>
      </c>
      <c r="U14" s="20">
        <f>F6+F7+F8+F9+F10+F11+F12+F13+F14-T14</f>
        <v>0</v>
      </c>
    </row>
    <row r="15" hidden="1" spans="1:21">
      <c r="A15" s="310">
        <v>44105</v>
      </c>
      <c r="B15" s="432">
        <v>12454.221301</v>
      </c>
      <c r="C15" s="432">
        <v>80743.042744</v>
      </c>
      <c r="D15" s="432">
        <v>20441.245832</v>
      </c>
      <c r="E15" s="432">
        <v>6961.206941</v>
      </c>
      <c r="F15" s="432">
        <f t="shared" si="0"/>
        <v>120599.716818</v>
      </c>
      <c r="H15" s="259">
        <v>44105</v>
      </c>
      <c r="I15" s="244">
        <v>1017.609633</v>
      </c>
      <c r="J15" s="244">
        <v>0</v>
      </c>
      <c r="K15" s="244">
        <v>2938.283477</v>
      </c>
      <c r="L15" s="244">
        <v>3.6837</v>
      </c>
      <c r="M15" s="244">
        <f t="shared" si="1"/>
        <v>3959.57681</v>
      </c>
      <c r="O15" s="21" t="s">
        <v>225</v>
      </c>
      <c r="P15" s="284">
        <f>SUM(B6:B15)</f>
        <v>167744.3730772</v>
      </c>
      <c r="Q15" s="284">
        <f>SUM(C6:C15)</f>
        <v>789559.23856916</v>
      </c>
      <c r="R15" s="284">
        <f>SUM(D6:D15)</f>
        <v>189805.7340375</v>
      </c>
      <c r="S15" s="284">
        <f>SUM(E6:E15)</f>
        <v>45188.93815376</v>
      </c>
      <c r="T15" s="284">
        <f t="shared" si="2"/>
        <v>1192298.28383762</v>
      </c>
      <c r="U15" s="20">
        <f>F6+F7+F8+F9+F10+F11+F12+F13+F14+F15-T15</f>
        <v>0</v>
      </c>
    </row>
    <row r="16" hidden="1" spans="1:21">
      <c r="A16" s="310">
        <v>44136</v>
      </c>
      <c r="B16" s="432">
        <v>7898.85868</v>
      </c>
      <c r="C16" s="432">
        <v>80478.3723489999</v>
      </c>
      <c r="D16" s="432">
        <v>34128.761004</v>
      </c>
      <c r="E16" s="432">
        <v>8961.07636500002</v>
      </c>
      <c r="F16" s="432">
        <f t="shared" si="0"/>
        <v>131467.068398</v>
      </c>
      <c r="H16" s="259">
        <v>44136</v>
      </c>
      <c r="I16" s="244">
        <v>7317.300247</v>
      </c>
      <c r="J16" s="244">
        <v>0</v>
      </c>
      <c r="K16" s="244">
        <v>6164.386062</v>
      </c>
      <c r="L16" s="244">
        <v>3.0146</v>
      </c>
      <c r="M16" s="244">
        <f t="shared" si="1"/>
        <v>13484.700909</v>
      </c>
      <c r="O16" s="21" t="s">
        <v>226</v>
      </c>
      <c r="P16" s="284">
        <f>SUM(B6:B16)</f>
        <v>175643.2317572</v>
      </c>
      <c r="Q16" s="284">
        <f>SUM(C6:C16)</f>
        <v>870037.61091816</v>
      </c>
      <c r="R16" s="284">
        <f>SUM(D6:D16)</f>
        <v>223934.4950415</v>
      </c>
      <c r="S16" s="284">
        <f>SUM(E6:E16)</f>
        <v>54150.01451876</v>
      </c>
      <c r="T16" s="284">
        <f t="shared" si="2"/>
        <v>1323765.35223562</v>
      </c>
      <c r="U16" s="20">
        <f>F6+F7+F8+F9+F10+F11+F12+F13+F14+F15+F16-T16</f>
        <v>0</v>
      </c>
    </row>
    <row r="17" hidden="1" spans="1:21">
      <c r="A17" s="310">
        <v>44166</v>
      </c>
      <c r="B17" s="432">
        <v>8347.762386</v>
      </c>
      <c r="C17" s="432">
        <v>80236.0366579999</v>
      </c>
      <c r="D17" s="432">
        <v>34262.0111029999</v>
      </c>
      <c r="E17" s="432">
        <v>11272.806734</v>
      </c>
      <c r="F17" s="432">
        <f t="shared" si="0"/>
        <v>134118.616881</v>
      </c>
      <c r="H17" s="259">
        <v>44166</v>
      </c>
      <c r="I17" s="244">
        <v>9920.182611</v>
      </c>
      <c r="J17" s="244">
        <v>0</v>
      </c>
      <c r="K17" s="244">
        <v>1953.6526527</v>
      </c>
      <c r="L17" s="244">
        <v>6.60804</v>
      </c>
      <c r="M17" s="244">
        <f t="shared" si="1"/>
        <v>11880.4433037</v>
      </c>
      <c r="O17" s="21" t="s">
        <v>227</v>
      </c>
      <c r="P17" s="284">
        <f>SUM(B6:B17)</f>
        <v>183990.9941432</v>
      </c>
      <c r="Q17" s="284">
        <f>SUM(C6:C17)</f>
        <v>950273.64757616</v>
      </c>
      <c r="R17" s="284">
        <f>SUM(D6:D17)</f>
        <v>258196.5061445</v>
      </c>
      <c r="S17" s="284">
        <f>SUM(E6:E17)</f>
        <v>65422.82125276</v>
      </c>
      <c r="T17" s="284">
        <f t="shared" si="2"/>
        <v>1457883.96911662</v>
      </c>
      <c r="U17" s="20">
        <f>F6+F7+F8+F9+F10+F11+F12+F13+F14+F15+F16+F17-T17</f>
        <v>0</v>
      </c>
    </row>
    <row r="18" hidden="1" spans="1:21">
      <c r="A18" s="291">
        <v>44197</v>
      </c>
      <c r="B18" s="433">
        <v>13565.984183</v>
      </c>
      <c r="C18" s="433">
        <v>73685.445295</v>
      </c>
      <c r="D18" s="433">
        <v>26771.901947</v>
      </c>
      <c r="E18" s="433">
        <v>12548.962629</v>
      </c>
      <c r="F18" s="433">
        <f t="shared" si="0"/>
        <v>126572.294054</v>
      </c>
      <c r="H18" s="259">
        <v>44197</v>
      </c>
      <c r="I18" s="244">
        <v>4288.146054</v>
      </c>
      <c r="K18" s="244">
        <v>2011.235041</v>
      </c>
      <c r="L18" s="244">
        <v>9.82059</v>
      </c>
      <c r="M18" s="244">
        <f t="shared" si="1"/>
        <v>6309.201685</v>
      </c>
      <c r="O18" s="21" t="s">
        <v>228</v>
      </c>
      <c r="P18" s="284">
        <f>B18</f>
        <v>13565.984183</v>
      </c>
      <c r="Q18" s="284">
        <f>C18</f>
        <v>73685.445295</v>
      </c>
      <c r="R18" s="284">
        <f>D18</f>
        <v>26771.901947</v>
      </c>
      <c r="S18" s="284">
        <f>E18</f>
        <v>12548.962629</v>
      </c>
      <c r="T18" s="284">
        <f t="shared" si="2"/>
        <v>126572.294054</v>
      </c>
      <c r="U18" s="20">
        <f>F18-T18</f>
        <v>0</v>
      </c>
    </row>
    <row r="19" hidden="1" spans="1:21">
      <c r="A19" s="291">
        <v>44228</v>
      </c>
      <c r="B19" s="433">
        <v>17056.523926</v>
      </c>
      <c r="C19" s="433">
        <v>77106.7645949999</v>
      </c>
      <c r="D19" s="433">
        <v>25385.119807</v>
      </c>
      <c r="E19" s="433">
        <v>6965.547543</v>
      </c>
      <c r="F19" s="433">
        <f t="shared" si="0"/>
        <v>126513.955871</v>
      </c>
      <c r="H19" s="259">
        <v>44228</v>
      </c>
      <c r="I19" s="244">
        <v>10337.842685</v>
      </c>
      <c r="K19" s="244">
        <v>2618.877465</v>
      </c>
      <c r="L19" s="244">
        <v>9.288253</v>
      </c>
      <c r="M19" s="244">
        <f t="shared" si="1"/>
        <v>12966.008403</v>
      </c>
      <c r="O19" s="21" t="s">
        <v>229</v>
      </c>
      <c r="P19" s="284">
        <f>SUM(B18:B19)</f>
        <v>30622.508109</v>
      </c>
      <c r="Q19" s="284">
        <f>SUM(C18:C19)</f>
        <v>150792.20989</v>
      </c>
      <c r="R19" s="284">
        <f>SUM(D18:D19)</f>
        <v>52157.021754</v>
      </c>
      <c r="S19" s="284">
        <f>SUM(E18:E19)</f>
        <v>19514.510172</v>
      </c>
      <c r="T19" s="284">
        <f t="shared" si="2"/>
        <v>253086.249925</v>
      </c>
      <c r="U19" s="20">
        <f>F18+F19-T19</f>
        <v>0</v>
      </c>
    </row>
    <row r="20" hidden="1" spans="1:21">
      <c r="A20" s="291">
        <v>44256</v>
      </c>
      <c r="B20" s="433">
        <v>11768.771635</v>
      </c>
      <c r="C20" s="433">
        <v>111377.332737</v>
      </c>
      <c r="D20" s="433">
        <v>28416.000476</v>
      </c>
      <c r="E20" s="433">
        <v>15607.712836</v>
      </c>
      <c r="F20" s="433">
        <f t="shared" si="0"/>
        <v>167169.817684</v>
      </c>
      <c r="H20" s="259">
        <v>44256</v>
      </c>
      <c r="I20" s="244">
        <v>9167.841109</v>
      </c>
      <c r="K20" s="244">
        <v>2259.091209</v>
      </c>
      <c r="L20" s="244">
        <v>1206.6146</v>
      </c>
      <c r="M20" s="244">
        <f t="shared" si="1"/>
        <v>12633.546918</v>
      </c>
      <c r="O20" s="21" t="s">
        <v>230</v>
      </c>
      <c r="P20" s="284">
        <f>SUM(B18:B20)</f>
        <v>42391.279744</v>
      </c>
      <c r="Q20" s="284">
        <f>SUM(C18:C20)</f>
        <v>262169.542627</v>
      </c>
      <c r="R20" s="284">
        <f>SUM(D18:D20)</f>
        <v>80573.02223</v>
      </c>
      <c r="S20" s="284">
        <f>SUM(E18:E20)</f>
        <v>35122.223008</v>
      </c>
      <c r="T20" s="284">
        <f t="shared" si="2"/>
        <v>420256.067609</v>
      </c>
      <c r="U20" s="20">
        <f>F18+F19+F20-T20</f>
        <v>0</v>
      </c>
    </row>
    <row r="21" hidden="1" spans="1:21">
      <c r="A21" s="291">
        <v>44287</v>
      </c>
      <c r="B21" s="433">
        <v>12167.361049</v>
      </c>
      <c r="C21" s="433">
        <v>100911.747534</v>
      </c>
      <c r="D21" s="433">
        <v>33260.077295</v>
      </c>
      <c r="E21" s="433">
        <v>10182.817878</v>
      </c>
      <c r="F21" s="433">
        <f t="shared" si="0"/>
        <v>156522.003756</v>
      </c>
      <c r="H21" s="259">
        <v>44287</v>
      </c>
      <c r="I21" s="244">
        <v>5026.132374</v>
      </c>
      <c r="K21" s="244">
        <v>2142.902245</v>
      </c>
      <c r="L21" s="244">
        <v>15.599387</v>
      </c>
      <c r="M21" s="244">
        <f t="shared" si="1"/>
        <v>7184.634006</v>
      </c>
      <c r="O21" s="21" t="s">
        <v>231</v>
      </c>
      <c r="P21" s="284">
        <f>SUM(B18:B21)</f>
        <v>54558.640793</v>
      </c>
      <c r="Q21" s="284">
        <f>SUM(C18:C21)</f>
        <v>363081.290161</v>
      </c>
      <c r="R21" s="284">
        <f>SUM(D18:D21)</f>
        <v>113833.099525</v>
      </c>
      <c r="S21" s="284">
        <f>SUM(E18:E21)</f>
        <v>45305.040886</v>
      </c>
      <c r="T21" s="284">
        <f>SUM(F18:F21)</f>
        <v>576778.071365</v>
      </c>
      <c r="U21" s="20">
        <f>F18+F19+F20+F21-T21</f>
        <v>0</v>
      </c>
    </row>
    <row r="22" hidden="1" spans="1:21">
      <c r="A22" s="291">
        <v>44317</v>
      </c>
      <c r="B22" s="433">
        <v>14671.451855</v>
      </c>
      <c r="C22" s="433">
        <v>129551.310828</v>
      </c>
      <c r="D22" s="433">
        <v>40443.049235</v>
      </c>
      <c r="E22" s="433">
        <v>9692.058439</v>
      </c>
      <c r="F22" s="433">
        <f t="shared" si="0"/>
        <v>194357.870357</v>
      </c>
      <c r="H22" s="259">
        <v>44317</v>
      </c>
      <c r="I22" s="244">
        <v>9897.22538</v>
      </c>
      <c r="K22" s="244">
        <v>1594.036057</v>
      </c>
      <c r="L22" s="244">
        <v>13.442304</v>
      </c>
      <c r="M22" s="244">
        <f t="shared" si="1"/>
        <v>11504.703741</v>
      </c>
      <c r="O22" s="21" t="s">
        <v>232</v>
      </c>
      <c r="P22" s="284">
        <f>SUM(B18:B22)</f>
        <v>69230.092648</v>
      </c>
      <c r="Q22" s="284">
        <f>SUM(C18:C22)</f>
        <v>492632.600989</v>
      </c>
      <c r="R22" s="284">
        <f>SUM(D18:D22)</f>
        <v>154276.14876</v>
      </c>
      <c r="S22" s="284">
        <f>SUM(E18:E22)</f>
        <v>54997.099325</v>
      </c>
      <c r="T22" s="284">
        <f t="shared" ref="T22:T32" si="3">SUM(P22:S22)</f>
        <v>771135.941722</v>
      </c>
      <c r="U22" s="20">
        <f>F18+F19+F20+F21+F22-T22</f>
        <v>0</v>
      </c>
    </row>
    <row r="23" hidden="1" spans="1:21">
      <c r="A23" s="291">
        <v>44348</v>
      </c>
      <c r="B23" s="433">
        <v>11644.243195</v>
      </c>
      <c r="C23" s="433">
        <v>142202.388595</v>
      </c>
      <c r="D23" s="433">
        <v>60471.741769</v>
      </c>
      <c r="E23" s="433">
        <v>12495.263969</v>
      </c>
      <c r="F23" s="433">
        <f t="shared" si="0"/>
        <v>226813.637528</v>
      </c>
      <c r="H23" s="259">
        <v>44348</v>
      </c>
      <c r="I23" s="244">
        <v>14562.2491</v>
      </c>
      <c r="K23" s="244">
        <v>4742.922099</v>
      </c>
      <c r="L23" s="244">
        <v>10.22323</v>
      </c>
      <c r="M23" s="244">
        <f t="shared" si="1"/>
        <v>19315.394429</v>
      </c>
      <c r="O23" s="21" t="s">
        <v>233</v>
      </c>
      <c r="P23" s="284">
        <f>SUM(B18:B23)</f>
        <v>80874.335843</v>
      </c>
      <c r="Q23" s="284">
        <f>SUM(C18:C23)</f>
        <v>634834.989584</v>
      </c>
      <c r="R23" s="284">
        <f>SUM(D18:D23)</f>
        <v>214747.890529</v>
      </c>
      <c r="S23" s="284">
        <f>SUM(E18:E23)</f>
        <v>67492.363294</v>
      </c>
      <c r="T23" s="284">
        <f t="shared" si="3"/>
        <v>997949.57925</v>
      </c>
      <c r="U23" s="20">
        <f>F18+F19+F20+F21+F22+F23-T23</f>
        <v>0</v>
      </c>
    </row>
    <row r="24" hidden="1" spans="1:21">
      <c r="A24" s="291">
        <v>44378</v>
      </c>
      <c r="B24" s="433">
        <v>15576.25414393</v>
      </c>
      <c r="C24" s="433">
        <v>147091.74775084</v>
      </c>
      <c r="D24" s="433">
        <v>48060.16055</v>
      </c>
      <c r="E24" s="433">
        <v>9504.751679</v>
      </c>
      <c r="F24" s="433">
        <f t="shared" si="0"/>
        <v>220232.91412377</v>
      </c>
      <c r="H24" s="259">
        <v>44378</v>
      </c>
      <c r="I24" s="244">
        <v>11482.455794</v>
      </c>
      <c r="K24" s="244">
        <v>1096.071163</v>
      </c>
      <c r="L24" s="244">
        <v>9.51328</v>
      </c>
      <c r="M24" s="244">
        <f t="shared" si="1"/>
        <v>12588.040237</v>
      </c>
      <c r="O24" s="21" t="s">
        <v>234</v>
      </c>
      <c r="P24" s="284">
        <f>SUM(B18:B24)</f>
        <v>96450.58998693</v>
      </c>
      <c r="Q24" s="284">
        <f>SUM(C18:C24)</f>
        <v>781926.73733484</v>
      </c>
      <c r="R24" s="284">
        <f>SUM(D18:D24)</f>
        <v>262808.051079</v>
      </c>
      <c r="S24" s="284">
        <f>SUM(E18:E24)</f>
        <v>76997.114973</v>
      </c>
      <c r="T24" s="284">
        <f t="shared" si="3"/>
        <v>1218182.49337377</v>
      </c>
      <c r="U24" s="20">
        <f>F18+F19+F20+F21+F22+F23+F24-T24</f>
        <v>0</v>
      </c>
    </row>
    <row r="25" hidden="1" spans="1:21">
      <c r="A25" s="291">
        <v>44409</v>
      </c>
      <c r="B25" s="433">
        <v>13651.966909</v>
      </c>
      <c r="C25" s="433">
        <v>185372.924390001</v>
      </c>
      <c r="D25" s="433">
        <v>57744.7332260002</v>
      </c>
      <c r="E25" s="433">
        <v>12005.4519</v>
      </c>
      <c r="F25" s="433">
        <f t="shared" si="0"/>
        <v>268775.076425001</v>
      </c>
      <c r="H25" s="259">
        <v>44409</v>
      </c>
      <c r="I25" s="244">
        <v>11398.244202</v>
      </c>
      <c r="K25" s="244">
        <v>1746.996494</v>
      </c>
      <c r="L25" s="244">
        <v>8.1921625</v>
      </c>
      <c r="M25" s="244">
        <f t="shared" si="1"/>
        <v>13153.4328585</v>
      </c>
      <c r="O25" s="21" t="s">
        <v>235</v>
      </c>
      <c r="P25" s="284">
        <f>SUM(B18:B25)</f>
        <v>110102.55689593</v>
      </c>
      <c r="Q25" s="284">
        <f>SUM(C18:C25)</f>
        <v>967299.661724841</v>
      </c>
      <c r="R25" s="284">
        <f>SUM(D18:D25)</f>
        <v>320552.784305</v>
      </c>
      <c r="S25" s="284">
        <f>SUM(E18:E25)</f>
        <v>89002.566873</v>
      </c>
      <c r="T25" s="284">
        <f t="shared" si="3"/>
        <v>1486957.56979877</v>
      </c>
      <c r="U25" s="20">
        <f>F18+F19+F20+F21+F22+F23+F24+F25-T25</f>
        <v>0</v>
      </c>
    </row>
    <row r="26" hidden="1" spans="1:21">
      <c r="A26" s="291">
        <v>44440</v>
      </c>
      <c r="B26" s="433">
        <v>8556.610559</v>
      </c>
      <c r="C26" s="433">
        <v>86568.6917739997</v>
      </c>
      <c r="D26" s="433">
        <v>65861.5747360004</v>
      </c>
      <c r="E26" s="433">
        <v>16725.7740339999</v>
      </c>
      <c r="F26" s="433">
        <f t="shared" si="0"/>
        <v>177712.651103</v>
      </c>
      <c r="H26" s="259">
        <v>44440</v>
      </c>
      <c r="I26" s="244">
        <v>9632.040565</v>
      </c>
      <c r="K26" s="244">
        <v>6784.240306</v>
      </c>
      <c r="L26" s="244">
        <v>6.62331</v>
      </c>
      <c r="M26" s="244">
        <f t="shared" si="1"/>
        <v>16422.904181</v>
      </c>
      <c r="O26" s="21" t="s">
        <v>236</v>
      </c>
      <c r="P26" s="284">
        <f>SUM(B18:B26)</f>
        <v>118659.16745493</v>
      </c>
      <c r="Q26" s="284">
        <f>SUM(C18:C26)</f>
        <v>1053868.35349884</v>
      </c>
      <c r="R26" s="284">
        <f>SUM(D18:D26)</f>
        <v>386414.359041001</v>
      </c>
      <c r="S26" s="284">
        <f>SUM(E18:E26)</f>
        <v>105728.340907</v>
      </c>
      <c r="T26" s="284">
        <f t="shared" si="3"/>
        <v>1664670.22090177</v>
      </c>
      <c r="U26" s="20">
        <f>F18+F19+F20+F21+F22+F23+F24+F25+F26-T26</f>
        <v>0</v>
      </c>
    </row>
    <row r="27" hidden="1" spans="1:21">
      <c r="A27" s="291">
        <v>44470</v>
      </c>
      <c r="B27" s="433">
        <v>8610.337457</v>
      </c>
      <c r="C27" s="433">
        <v>75021.6564680005</v>
      </c>
      <c r="D27" s="433">
        <v>42225.6292120003</v>
      </c>
      <c r="E27" s="433">
        <v>15754.6843160001</v>
      </c>
      <c r="F27" s="433">
        <f t="shared" si="0"/>
        <v>141612.307453001</v>
      </c>
      <c r="H27" s="259">
        <v>44470</v>
      </c>
      <c r="I27" s="244">
        <v>6518.157776</v>
      </c>
      <c r="K27" s="244">
        <v>5265.769223</v>
      </c>
      <c r="L27" s="244">
        <v>3.68368846</v>
      </c>
      <c r="M27" s="244">
        <f t="shared" si="1"/>
        <v>11787.61068746</v>
      </c>
      <c r="O27" s="21" t="s">
        <v>237</v>
      </c>
      <c r="P27" s="284">
        <f>SUM(B18:B27)</f>
        <v>127269.50491193</v>
      </c>
      <c r="Q27" s="284">
        <f>SUM(C18:C27)</f>
        <v>1128890.00996684</v>
      </c>
      <c r="R27" s="284">
        <f>SUM(D18:D27)</f>
        <v>428639.988253001</v>
      </c>
      <c r="S27" s="284">
        <f>SUM(E18:E27)</f>
        <v>121483.025223</v>
      </c>
      <c r="T27" s="284">
        <f t="shared" si="3"/>
        <v>1806282.52835477</v>
      </c>
      <c r="U27" s="20">
        <f>F18+F19+F20+F21+F22+F23+F24+F25+F26+F27-T27</f>
        <v>0</v>
      </c>
    </row>
    <row r="28" hidden="1" spans="1:21">
      <c r="A28" s="291">
        <v>44501</v>
      </c>
      <c r="B28" s="433">
        <v>7465.076293</v>
      </c>
      <c r="C28" s="433">
        <v>92817.3205229999</v>
      </c>
      <c r="D28" s="433">
        <v>59975.2599009998</v>
      </c>
      <c r="E28" s="433">
        <v>18137.572993</v>
      </c>
      <c r="F28" s="433">
        <f t="shared" si="0"/>
        <v>178395.22971</v>
      </c>
      <c r="H28" s="259">
        <v>44501</v>
      </c>
      <c r="I28" s="244">
        <v>12228.259433</v>
      </c>
      <c r="K28" s="244">
        <v>13763.025373</v>
      </c>
      <c r="L28" s="244">
        <v>1.764252</v>
      </c>
      <c r="M28" s="244">
        <f t="shared" si="1"/>
        <v>25993.049058</v>
      </c>
      <c r="O28" s="21" t="s">
        <v>238</v>
      </c>
      <c r="P28" s="284">
        <f>SUM(B18:B28)</f>
        <v>134734.58120493</v>
      </c>
      <c r="Q28" s="284">
        <f>SUM(C18:C28)</f>
        <v>1221707.33048984</v>
      </c>
      <c r="R28" s="284">
        <f>SUM(D18:D28)</f>
        <v>488615.248154001</v>
      </c>
      <c r="S28" s="284">
        <f>SUM(E18:E28)</f>
        <v>139620.598216</v>
      </c>
      <c r="T28" s="284">
        <f t="shared" si="3"/>
        <v>1984677.75806477</v>
      </c>
      <c r="U28" s="20">
        <f>F18+F19+F20+F21+F22+F23+F24+F25+F26+F27+F28-T28</f>
        <v>0</v>
      </c>
    </row>
    <row r="29" hidden="1" spans="1:21">
      <c r="A29" s="291">
        <v>44531</v>
      </c>
      <c r="B29" s="433">
        <v>15048.80797766</v>
      </c>
      <c r="C29" s="433">
        <v>63988.1304109999</v>
      </c>
      <c r="D29" s="433">
        <v>69189.4459714402</v>
      </c>
      <c r="E29" s="433">
        <v>15827.4424168802</v>
      </c>
      <c r="F29" s="433">
        <f t="shared" si="0"/>
        <v>164053.82677698</v>
      </c>
      <c r="H29" s="259">
        <v>44531</v>
      </c>
      <c r="I29" s="244">
        <v>7541.204416</v>
      </c>
      <c r="K29" s="244">
        <v>6390.664002</v>
      </c>
      <c r="L29" s="244">
        <v>5.19598</v>
      </c>
      <c r="M29" s="244">
        <f t="shared" si="1"/>
        <v>13937.064398</v>
      </c>
      <c r="O29" s="21" t="s">
        <v>239</v>
      </c>
      <c r="P29" s="284">
        <f>SUM(B18:B29)</f>
        <v>149783.38918259</v>
      </c>
      <c r="Q29" s="284">
        <f>SUM(C18:C29)</f>
        <v>1285695.46090084</v>
      </c>
      <c r="R29" s="284">
        <f>SUM(D18:D29)</f>
        <v>557804.694125441</v>
      </c>
      <c r="S29" s="284">
        <f>SUM(E18:E29)</f>
        <v>155448.04063288</v>
      </c>
      <c r="T29" s="284">
        <f t="shared" si="3"/>
        <v>2148731.58484175</v>
      </c>
      <c r="U29" s="20">
        <f>F18+F19+F20+F21+F22+F23+F24+F25+F26+F27+F28+F29-T29</f>
        <v>0</v>
      </c>
    </row>
    <row r="30" hidden="1" spans="1:21">
      <c r="A30" s="293">
        <v>44562</v>
      </c>
      <c r="B30" s="434">
        <v>15562.122011</v>
      </c>
      <c r="C30" s="434">
        <v>41149.968324</v>
      </c>
      <c r="D30" s="434">
        <v>32432.044829</v>
      </c>
      <c r="E30" s="434">
        <v>17715.575097</v>
      </c>
      <c r="F30" s="434">
        <f t="shared" si="0"/>
        <v>106859.710261</v>
      </c>
      <c r="H30" s="259">
        <v>44562</v>
      </c>
      <c r="I30" s="244">
        <v>4387.85456700013</v>
      </c>
      <c r="J30" s="244">
        <v>0</v>
      </c>
      <c r="K30" s="244">
        <f>4192.779187-10700876.86/10000</f>
        <v>3122.691501</v>
      </c>
      <c r="L30" s="244">
        <v>5.083477</v>
      </c>
      <c r="M30" s="244">
        <f t="shared" si="1"/>
        <v>7515.62954500013</v>
      </c>
      <c r="O30" s="21" t="s">
        <v>240</v>
      </c>
      <c r="P30" s="284">
        <f>B30</f>
        <v>15562.122011</v>
      </c>
      <c r="Q30" s="284">
        <f>C30</f>
        <v>41149.968324</v>
      </c>
      <c r="R30" s="284">
        <f>D30</f>
        <v>32432.044829</v>
      </c>
      <c r="S30" s="284">
        <f>E30</f>
        <v>17715.575097</v>
      </c>
      <c r="T30" s="284">
        <f t="shared" si="3"/>
        <v>106859.710261</v>
      </c>
      <c r="U30" s="20">
        <f>F30-T30</f>
        <v>0</v>
      </c>
    </row>
    <row r="31" hidden="1" spans="1:21">
      <c r="A31" s="293">
        <v>44593</v>
      </c>
      <c r="B31" s="434">
        <v>14076.504802</v>
      </c>
      <c r="C31" s="434">
        <v>31152.277129</v>
      </c>
      <c r="D31" s="434">
        <v>25233.803133</v>
      </c>
      <c r="E31" s="434">
        <v>15090.84932</v>
      </c>
      <c r="F31" s="434">
        <f t="shared" si="0"/>
        <v>85553.434384</v>
      </c>
      <c r="H31" s="259">
        <v>44593</v>
      </c>
      <c r="I31" s="244">
        <v>5990.082113</v>
      </c>
      <c r="J31" s="244">
        <v>0</v>
      </c>
      <c r="K31" s="244">
        <v>4623.525203</v>
      </c>
      <c r="L31" s="244">
        <v>5.140155</v>
      </c>
      <c r="M31" s="244">
        <f t="shared" si="1"/>
        <v>10618.747471</v>
      </c>
      <c r="O31" s="21" t="s">
        <v>241</v>
      </c>
      <c r="P31" s="284">
        <f>SUM(B30:B31)</f>
        <v>29638.626813</v>
      </c>
      <c r="Q31" s="284">
        <f>SUM(C30:C31)</f>
        <v>72302.245453</v>
      </c>
      <c r="R31" s="284">
        <f>SUM(D30:D31)</f>
        <v>57665.847962</v>
      </c>
      <c r="S31" s="284">
        <f>SUM(E30:E31)</f>
        <v>32806.424417</v>
      </c>
      <c r="T31" s="284">
        <f t="shared" si="3"/>
        <v>192413.144645</v>
      </c>
      <c r="U31" s="20">
        <f>F30+F31-T31</f>
        <v>0</v>
      </c>
    </row>
    <row r="32" hidden="1" spans="1:21">
      <c r="A32" s="293">
        <v>44621</v>
      </c>
      <c r="B32" s="434">
        <v>12114.914354</v>
      </c>
      <c r="C32" s="434">
        <v>42817.482</v>
      </c>
      <c r="D32" s="434">
        <v>44380.459011</v>
      </c>
      <c r="E32" s="434">
        <v>32668.861897</v>
      </c>
      <c r="F32" s="434">
        <f t="shared" si="0"/>
        <v>131981.717262</v>
      </c>
      <c r="H32" s="259">
        <v>44621</v>
      </c>
      <c r="I32" s="244">
        <v>2088.91519199987</v>
      </c>
      <c r="J32" s="244">
        <v>0</v>
      </c>
      <c r="K32" s="244">
        <v>4915.63103</v>
      </c>
      <c r="L32" s="244">
        <v>11.129806</v>
      </c>
      <c r="M32" s="244">
        <f t="shared" si="1"/>
        <v>7015.67602799987</v>
      </c>
      <c r="O32" s="21" t="s">
        <v>242</v>
      </c>
      <c r="P32" s="284">
        <f>SUM(B30:B32)</f>
        <v>41753.541167</v>
      </c>
      <c r="Q32" s="284">
        <f>SUM(C30:C32)</f>
        <v>115119.727453</v>
      </c>
      <c r="R32" s="284">
        <f>SUM(D30:D32)</f>
        <v>102046.306973</v>
      </c>
      <c r="S32" s="284">
        <f>SUM(E30:E32)</f>
        <v>65475.286314</v>
      </c>
      <c r="T32" s="284">
        <f t="shared" si="3"/>
        <v>324394.861907</v>
      </c>
      <c r="U32" s="20">
        <f>F30+F31+F32-T32</f>
        <v>0</v>
      </c>
    </row>
    <row r="33" hidden="1" spans="1:21">
      <c r="A33" s="293">
        <v>44652</v>
      </c>
      <c r="B33" s="434">
        <v>14206.269228</v>
      </c>
      <c r="C33" s="434">
        <v>45294.4424830002</v>
      </c>
      <c r="D33" s="434">
        <v>34967.36069</v>
      </c>
      <c r="E33" s="434">
        <v>26161.3277940001</v>
      </c>
      <c r="F33" s="434">
        <f t="shared" si="0"/>
        <v>120629.400195</v>
      </c>
      <c r="H33" s="259">
        <v>44652</v>
      </c>
      <c r="I33" s="244">
        <v>2976.72080299973</v>
      </c>
      <c r="J33" s="244">
        <v>0</v>
      </c>
      <c r="K33" s="244">
        <v>3104.26195099995</v>
      </c>
      <c r="L33" s="244">
        <v>76.552124</v>
      </c>
      <c r="M33" s="244">
        <f t="shared" si="1"/>
        <v>6157.53487799968</v>
      </c>
      <c r="O33" s="21" t="s">
        <v>243</v>
      </c>
      <c r="P33" s="284">
        <f>SUM(B30:B33)</f>
        <v>55959.810395</v>
      </c>
      <c r="Q33" s="284">
        <f>SUM(C30:C33)</f>
        <v>160414.169936</v>
      </c>
      <c r="R33" s="284">
        <f>SUM(D30:D33)</f>
        <v>137013.667663</v>
      </c>
      <c r="S33" s="284">
        <f>SUM(E30:E33)</f>
        <v>91636.6141080001</v>
      </c>
      <c r="T33" s="284">
        <f>SUM(F30:F33)</f>
        <v>445024.262102</v>
      </c>
      <c r="U33" s="20">
        <f>F30+F31+F32+F33-T33</f>
        <v>0</v>
      </c>
    </row>
    <row r="34" hidden="1" spans="1:57">
      <c r="A34" s="293">
        <v>44682</v>
      </c>
      <c r="B34" s="434">
        <v>9219.14032</v>
      </c>
      <c r="C34" s="434">
        <v>53111.000425</v>
      </c>
      <c r="D34" s="434">
        <v>39081.807579</v>
      </c>
      <c r="E34" s="434">
        <v>32483.137088</v>
      </c>
      <c r="F34" s="434">
        <f t="shared" si="0"/>
        <v>133895.085412</v>
      </c>
      <c r="H34" s="259">
        <v>44682</v>
      </c>
      <c r="I34" s="244">
        <v>6742.32180799988</v>
      </c>
      <c r="J34" s="244">
        <v>0</v>
      </c>
      <c r="K34" s="244">
        <v>2621.473487</v>
      </c>
      <c r="L34" s="244">
        <v>146.843327</v>
      </c>
      <c r="M34" s="244">
        <f t="shared" si="1"/>
        <v>9510.63862199988</v>
      </c>
      <c r="O34" s="21" t="s">
        <v>244</v>
      </c>
      <c r="P34" s="284">
        <f>SUM(B$30:B34)</f>
        <v>65178.950715</v>
      </c>
      <c r="Q34" s="284">
        <f>SUM(C$30:C34)</f>
        <v>213525.170361</v>
      </c>
      <c r="R34" s="284">
        <f>SUM(D$30:D34)</f>
        <v>176095.475242</v>
      </c>
      <c r="S34" s="284">
        <f>SUM(E$30:E34)</f>
        <v>124119.751196</v>
      </c>
      <c r="T34" s="284">
        <f>SUM(F$30:F34)</f>
        <v>578919.347514</v>
      </c>
      <c r="U34" s="20">
        <f>SUM(F$30:F34)-T34</f>
        <v>0</v>
      </c>
      <c r="BE34">
        <f>利润组成!I34</f>
        <v>2273.8984373</v>
      </c>
    </row>
    <row r="35" hidden="1" spans="1:21">
      <c r="A35" s="293">
        <v>44713</v>
      </c>
      <c r="B35" s="434">
        <v>10707.16530448</v>
      </c>
      <c r="C35" s="434">
        <v>48364.9744806201</v>
      </c>
      <c r="D35" s="434">
        <v>50326.2101516201</v>
      </c>
      <c r="E35" s="434">
        <v>34162.5877940001</v>
      </c>
      <c r="F35" s="434">
        <f t="shared" si="0"/>
        <v>143560.93773072</v>
      </c>
      <c r="H35" s="259">
        <v>44713</v>
      </c>
      <c r="I35" s="244">
        <v>6466.83228099958</v>
      </c>
      <c r="J35" s="244">
        <v>0</v>
      </c>
      <c r="K35" s="244">
        <v>3633.94626599992</v>
      </c>
      <c r="L35" s="244">
        <v>67.908485</v>
      </c>
      <c r="M35" s="244">
        <f t="shared" si="1"/>
        <v>10168.6870319995</v>
      </c>
      <c r="O35" s="21" t="s">
        <v>245</v>
      </c>
      <c r="P35" s="284">
        <f>SUM(B$30:B35)</f>
        <v>75886.11601948</v>
      </c>
      <c r="Q35" s="284">
        <f>SUM(C$30:C35)</f>
        <v>261890.14484162</v>
      </c>
      <c r="R35" s="284">
        <f>SUM(D$30:D35)</f>
        <v>226421.68539362</v>
      </c>
      <c r="S35" s="284">
        <f>SUM(E$30:E35)</f>
        <v>158282.33899</v>
      </c>
      <c r="T35" s="284">
        <f>SUM(F$30:F35)</f>
        <v>722480.285244721</v>
      </c>
      <c r="U35" s="20">
        <f>SUM(F$30:F35)-T35</f>
        <v>0</v>
      </c>
    </row>
    <row r="36" hidden="1" spans="1:21">
      <c r="A36" s="293">
        <v>44743</v>
      </c>
      <c r="B36" s="434">
        <v>12671.200537</v>
      </c>
      <c r="C36" s="434">
        <v>41179.4533600002</v>
      </c>
      <c r="D36" s="434">
        <v>39099.959833</v>
      </c>
      <c r="E36" s="434">
        <v>27412.086913</v>
      </c>
      <c r="F36" s="434">
        <f t="shared" si="0"/>
        <v>120362.700643</v>
      </c>
      <c r="H36" s="259">
        <v>44743</v>
      </c>
      <c r="I36" s="244">
        <v>10035.940361</v>
      </c>
      <c r="J36" s="244">
        <v>0</v>
      </c>
      <c r="K36" s="244">
        <v>2294.125629</v>
      </c>
      <c r="L36" s="244">
        <v>136.803834</v>
      </c>
      <c r="M36" s="244">
        <f t="shared" si="1"/>
        <v>12466.869824</v>
      </c>
      <c r="O36" s="21" t="s">
        <v>246</v>
      </c>
      <c r="P36" s="284">
        <f>SUM(B$30:B36)</f>
        <v>88557.31655648</v>
      </c>
      <c r="Q36" s="284">
        <f>SUM(C$30:C36)</f>
        <v>303069.598201621</v>
      </c>
      <c r="R36" s="284">
        <f>SUM(D$30:D36)</f>
        <v>265521.64522662</v>
      </c>
      <c r="S36" s="284">
        <f>SUM(E$30:E36)</f>
        <v>185694.425903</v>
      </c>
      <c r="T36" s="284">
        <f>SUM(F$30:F36)</f>
        <v>842842.985887721</v>
      </c>
      <c r="U36" s="20">
        <f>SUM(F$30:F36)-T36</f>
        <v>0</v>
      </c>
    </row>
    <row r="37" hidden="1" spans="1:21">
      <c r="A37" s="293">
        <v>44774</v>
      </c>
      <c r="B37" s="313">
        <v>9372.450044</v>
      </c>
      <c r="C37" s="313">
        <v>38654.479149</v>
      </c>
      <c r="D37" s="313">
        <v>51219.4032320002</v>
      </c>
      <c r="E37" s="313">
        <v>34192.4204820001</v>
      </c>
      <c r="F37" s="434">
        <f t="shared" si="0"/>
        <v>133438.752907</v>
      </c>
      <c r="H37" s="259">
        <v>44774</v>
      </c>
      <c r="I37" s="244">
        <v>10958.182382</v>
      </c>
      <c r="J37" s="244">
        <v>11.8727</v>
      </c>
      <c r="K37" s="244">
        <v>2692.03076699999</v>
      </c>
      <c r="L37" s="244">
        <v>48.074971</v>
      </c>
      <c r="M37" s="244">
        <f t="shared" si="1"/>
        <v>13710.16082</v>
      </c>
      <c r="O37" s="21" t="s">
        <v>247</v>
      </c>
      <c r="P37" s="284">
        <f>SUM(B$30:B37)</f>
        <v>97929.76660048</v>
      </c>
      <c r="Q37" s="284">
        <f>SUM(C$30:C37)</f>
        <v>341724.077350621</v>
      </c>
      <c r="R37" s="284">
        <f>SUM(D$30:D37)</f>
        <v>316741.04845862</v>
      </c>
      <c r="S37" s="284">
        <f>SUM(E$30:E37)</f>
        <v>219886.846385</v>
      </c>
      <c r="T37" s="284">
        <f>SUM(F$30:F37)</f>
        <v>976281.738794721</v>
      </c>
      <c r="U37" s="20">
        <f>SUM(F$30:F37)-T37</f>
        <v>0</v>
      </c>
    </row>
    <row r="38" hidden="1" spans="1:21">
      <c r="A38" s="293">
        <v>44805</v>
      </c>
      <c r="B38" s="313">
        <v>10606.298729</v>
      </c>
      <c r="C38" s="313">
        <v>49317.6495290003</v>
      </c>
      <c r="D38" s="313">
        <v>60488.7920939998</v>
      </c>
      <c r="E38" s="313">
        <v>28355.0415900001</v>
      </c>
      <c r="F38" s="434">
        <f t="shared" si="0"/>
        <v>148767.781942</v>
      </c>
      <c r="H38" s="259">
        <v>44805</v>
      </c>
      <c r="I38" s="244">
        <v>4801.892947</v>
      </c>
      <c r="J38" s="244">
        <v>6.47468</v>
      </c>
      <c r="K38" s="244">
        <v>2407.45361000001</v>
      </c>
      <c r="L38" s="244">
        <v>48.727836</v>
      </c>
      <c r="M38" s="244">
        <f t="shared" si="1"/>
        <v>7264.54907300001</v>
      </c>
      <c r="O38" s="21" t="s">
        <v>248</v>
      </c>
      <c r="P38" s="284">
        <f>SUM(B$30:B38)</f>
        <v>108536.06532948</v>
      </c>
      <c r="Q38" s="284">
        <f>SUM(C$30:C38)</f>
        <v>391041.726879621</v>
      </c>
      <c r="R38" s="284">
        <f>SUM(D$30:D38)</f>
        <v>377229.84055262</v>
      </c>
      <c r="S38" s="284">
        <f>SUM(E$30:E38)</f>
        <v>248241.887975</v>
      </c>
      <c r="T38" s="284">
        <f>SUM(F$30:F38)</f>
        <v>1125049.52073672</v>
      </c>
      <c r="U38" s="20">
        <f>SUM(F$30:F38)-T38</f>
        <v>0</v>
      </c>
    </row>
    <row r="39" hidden="1" spans="1:21">
      <c r="A39" s="293">
        <v>44835</v>
      </c>
      <c r="B39" s="313">
        <v>13056.390888</v>
      </c>
      <c r="C39" s="313">
        <v>43886.8058340002</v>
      </c>
      <c r="D39" s="313">
        <v>51416.646171</v>
      </c>
      <c r="E39" s="313">
        <v>34699.1026659999</v>
      </c>
      <c r="F39" s="434">
        <f t="shared" si="0"/>
        <v>143058.945559</v>
      </c>
      <c r="H39" s="259">
        <v>44835</v>
      </c>
      <c r="I39" s="244">
        <v>3925.700556</v>
      </c>
      <c r="J39" s="244">
        <v>9.18</v>
      </c>
      <c r="K39" s="244">
        <v>5752.12427</v>
      </c>
      <c r="L39" s="244">
        <v>100.506071</v>
      </c>
      <c r="M39" s="244">
        <f t="shared" si="1"/>
        <v>9787.510897</v>
      </c>
      <c r="O39" s="21" t="s">
        <v>249</v>
      </c>
      <c r="P39" s="284">
        <f>SUM(B$30:B39)</f>
        <v>121592.45621748</v>
      </c>
      <c r="Q39" s="284">
        <f>SUM(C$30:C39)</f>
        <v>434928.532713621</v>
      </c>
      <c r="R39" s="284">
        <f>SUM(D$30:D39)</f>
        <v>428646.48672362</v>
      </c>
      <c r="S39" s="284">
        <f>SUM(E$30:E39)</f>
        <v>282940.990641</v>
      </c>
      <c r="T39" s="284">
        <f>SUM(F$30:F39)</f>
        <v>1268108.46629572</v>
      </c>
      <c r="U39" s="20">
        <f>SUM(F$30:F39)-T39</f>
        <v>0</v>
      </c>
    </row>
    <row r="40" hidden="1" spans="1:21">
      <c r="A40" s="293">
        <v>44866</v>
      </c>
      <c r="B40" s="313">
        <v>17466.71962687</v>
      </c>
      <c r="C40" s="313">
        <v>45892.11013562</v>
      </c>
      <c r="D40" s="313">
        <v>70039.8559530894</v>
      </c>
      <c r="E40" s="313">
        <v>41466.2372522898</v>
      </c>
      <c r="F40" s="434">
        <f t="shared" si="0"/>
        <v>174864.922967869</v>
      </c>
      <c r="H40" s="259">
        <v>44866</v>
      </c>
      <c r="I40" s="244">
        <v>2767.059218</v>
      </c>
      <c r="J40" s="244">
        <v>16.5</v>
      </c>
      <c r="K40" s="244">
        <v>14435.5977058</v>
      </c>
      <c r="L40" s="244">
        <v>102.24792</v>
      </c>
      <c r="M40" s="244">
        <f t="shared" si="1"/>
        <v>17321.4048438</v>
      </c>
      <c r="N40" s="2"/>
      <c r="O40" s="21" t="s">
        <v>250</v>
      </c>
      <c r="P40" s="284">
        <f>SUM(B$30:B40)</f>
        <v>139059.17584435</v>
      </c>
      <c r="Q40" s="284">
        <f>SUM(C$30:C40)</f>
        <v>480820.642849241</v>
      </c>
      <c r="R40" s="284">
        <f>SUM(D$30:D40)</f>
        <v>498686.34267671</v>
      </c>
      <c r="S40" s="284">
        <f>SUM(E$30:E40)</f>
        <v>324407.22789329</v>
      </c>
      <c r="T40" s="284">
        <f>SUM(F$30:F40)</f>
        <v>1442973.38926359</v>
      </c>
      <c r="U40" s="20">
        <f>SUM(F$30:F40)-T40</f>
        <v>0</v>
      </c>
    </row>
    <row r="41" hidden="1" spans="1:21">
      <c r="A41" s="293">
        <v>44896</v>
      </c>
      <c r="B41" s="313">
        <v>16322.574053</v>
      </c>
      <c r="C41" s="313">
        <v>36009.2748630003</v>
      </c>
      <c r="D41" s="313">
        <v>77708.1579299998</v>
      </c>
      <c r="E41" s="313">
        <v>41229.5702899995</v>
      </c>
      <c r="F41" s="434">
        <f t="shared" si="0"/>
        <v>171269.577136</v>
      </c>
      <c r="H41" s="259">
        <v>44896</v>
      </c>
      <c r="I41" s="244">
        <v>6465.601523</v>
      </c>
      <c r="J41" s="244">
        <v>12.68</v>
      </c>
      <c r="K41" s="244">
        <v>3854.763885</v>
      </c>
      <c r="L41" s="244">
        <v>48.219133</v>
      </c>
      <c r="M41" s="244">
        <f t="shared" si="1"/>
        <v>10381.264541</v>
      </c>
      <c r="N41" s="2"/>
      <c r="O41" s="21" t="s">
        <v>251</v>
      </c>
      <c r="P41" s="284">
        <f>SUM(B$30:B41)</f>
        <v>155381.74989735</v>
      </c>
      <c r="Q41" s="284">
        <f>SUM(C$30:C41)</f>
        <v>516829.917712241</v>
      </c>
      <c r="R41" s="284">
        <f>SUM(D$30:D41)</f>
        <v>576394.500606709</v>
      </c>
      <c r="S41" s="284">
        <f>SUM(E$30:E41)</f>
        <v>365636.79818329</v>
      </c>
      <c r="T41" s="284">
        <f>SUM(F$30:F41)</f>
        <v>1614242.96639959</v>
      </c>
      <c r="U41" s="20">
        <f>SUM(F$30:F41)-T41</f>
        <v>0</v>
      </c>
    </row>
    <row r="42" spans="1:21">
      <c r="A42" s="435">
        <v>44927</v>
      </c>
      <c r="B42" s="436">
        <v>22985.95735</v>
      </c>
      <c r="C42" s="436">
        <v>29278.749874</v>
      </c>
      <c r="D42" s="436">
        <v>48836.9836129999</v>
      </c>
      <c r="E42" s="436">
        <v>33479.8923079999</v>
      </c>
      <c r="F42" s="437">
        <f t="shared" si="0"/>
        <v>134581.583145</v>
      </c>
      <c r="H42" s="259">
        <v>44927</v>
      </c>
      <c r="I42" s="244">
        <v>8717.32649</v>
      </c>
      <c r="J42" s="244">
        <v>12.262499</v>
      </c>
      <c r="K42" s="244">
        <v>3675.834758</v>
      </c>
      <c r="L42" s="244">
        <v>181.946488</v>
      </c>
      <c r="M42" s="244">
        <f t="shared" si="1"/>
        <v>12587.370235</v>
      </c>
      <c r="N42" s="229"/>
      <c r="O42" s="21" t="s">
        <v>252</v>
      </c>
      <c r="P42" s="284">
        <f>SUM(B$42:B42)</f>
        <v>22985.95735</v>
      </c>
      <c r="Q42" s="284">
        <f>SUM(C$42:C42)</f>
        <v>29278.749874</v>
      </c>
      <c r="R42" s="284">
        <f>SUM(D$42:D42)</f>
        <v>48836.9836129999</v>
      </c>
      <c r="S42" s="284">
        <f>SUM(E$42:E42)</f>
        <v>33479.8923079999</v>
      </c>
      <c r="T42" s="284">
        <f>SUM(F$42:F42)</f>
        <v>134581.583145</v>
      </c>
      <c r="U42" s="20">
        <f>SUM(F$42:F42)-T42</f>
        <v>0</v>
      </c>
    </row>
    <row r="43" spans="1:21">
      <c r="A43" s="435">
        <v>44958</v>
      </c>
      <c r="B43" s="436">
        <v>13458.74276</v>
      </c>
      <c r="C43" s="436">
        <v>38417.380315</v>
      </c>
      <c r="D43" s="436">
        <v>45017.964169</v>
      </c>
      <c r="E43" s="436">
        <v>35005.0794003897</v>
      </c>
      <c r="F43" s="437">
        <f t="shared" si="0"/>
        <v>131899.16664439</v>
      </c>
      <c r="H43" s="259">
        <v>44958</v>
      </c>
      <c r="I43" s="244">
        <v>1957.217972</v>
      </c>
      <c r="J43" s="244">
        <v>8.12</v>
      </c>
      <c r="K43" s="244">
        <v>3062.026686</v>
      </c>
      <c r="L43" s="244">
        <v>183.719134</v>
      </c>
      <c r="M43" s="244">
        <f t="shared" si="1"/>
        <v>5211.083792</v>
      </c>
      <c r="N43" s="229"/>
      <c r="O43" s="21" t="s">
        <v>253</v>
      </c>
      <c r="P43" s="284">
        <f>SUM(B$42:B43)</f>
        <v>36444.70011</v>
      </c>
      <c r="Q43" s="284">
        <f>SUM(C$42:C43)</f>
        <v>67696.130189</v>
      </c>
      <c r="R43" s="284">
        <f>SUM(D$42:D43)</f>
        <v>93854.9477819999</v>
      </c>
      <c r="S43" s="284">
        <f>SUM(E$42:E43)</f>
        <v>68484.9717083896</v>
      </c>
      <c r="T43" s="284">
        <f>SUM(F$42:F43)</f>
        <v>266480.749789389</v>
      </c>
      <c r="U43" s="20">
        <f>SUM(F$42:F43)-T43</f>
        <v>0</v>
      </c>
    </row>
    <row r="44" spans="1:21">
      <c r="A44" s="435">
        <v>44986</v>
      </c>
      <c r="B44" s="436">
        <v>17676.955783</v>
      </c>
      <c r="C44" s="436">
        <v>40696.0165010002</v>
      </c>
      <c r="D44" s="436">
        <v>46753.233011</v>
      </c>
      <c r="E44" s="436">
        <v>48184.0230830001</v>
      </c>
      <c r="F44" s="437">
        <f t="shared" si="0"/>
        <v>153310.228378</v>
      </c>
      <c r="H44" s="259">
        <v>44986</v>
      </c>
      <c r="I44" s="244">
        <v>2461.808095</v>
      </c>
      <c r="J44" s="244">
        <v>9.03</v>
      </c>
      <c r="K44" s="244">
        <v>3598.419564</v>
      </c>
      <c r="L44" s="244">
        <v>346.838164</v>
      </c>
      <c r="M44" s="244">
        <f t="shared" si="1"/>
        <v>6416.095823</v>
      </c>
      <c r="N44" s="229"/>
      <c r="O44" s="21" t="s">
        <v>254</v>
      </c>
      <c r="P44" s="284">
        <f>SUM(B$42:B44)</f>
        <v>54121.655893</v>
      </c>
      <c r="Q44" s="284">
        <f>SUM(C$42:C44)</f>
        <v>108392.14669</v>
      </c>
      <c r="R44" s="284">
        <f>SUM(D$42:D44)</f>
        <v>140608.180793</v>
      </c>
      <c r="S44" s="284">
        <f>SUM(E$42:E44)</f>
        <v>116668.99479139</v>
      </c>
      <c r="T44" s="284">
        <f>SUM(F$42:F44)</f>
        <v>419790.97816739</v>
      </c>
      <c r="U44" s="20">
        <f>SUM(F$42:F44)-T44</f>
        <v>0</v>
      </c>
    </row>
    <row r="45" spans="1:21">
      <c r="A45" s="435">
        <v>45017</v>
      </c>
      <c r="B45" s="436">
        <v>25100.2473979999</v>
      </c>
      <c r="C45" s="436">
        <v>14908.957854</v>
      </c>
      <c r="D45" s="436">
        <v>38626.757</v>
      </c>
      <c r="E45" s="436">
        <v>46617.3318069996</v>
      </c>
      <c r="F45" s="437">
        <f t="shared" si="0"/>
        <v>125253.294058999</v>
      </c>
      <c r="H45" s="259">
        <v>45017</v>
      </c>
      <c r="I45" s="244">
        <v>5390.989582</v>
      </c>
      <c r="J45" s="244">
        <v>9.18</v>
      </c>
      <c r="K45" s="244">
        <v>2658.63272199</v>
      </c>
      <c r="L45" s="244">
        <v>234.831709</v>
      </c>
      <c r="M45" s="244">
        <f t="shared" si="1"/>
        <v>8293.63401299</v>
      </c>
      <c r="N45" s="229"/>
      <c r="O45" s="21" t="s">
        <v>255</v>
      </c>
      <c r="P45" s="284">
        <f>SUM(B$42:B45)</f>
        <v>79221.9032909999</v>
      </c>
      <c r="Q45" s="284">
        <f>SUM(C$42:C45)</f>
        <v>123301.104544</v>
      </c>
      <c r="R45" s="284">
        <f>SUM(D$42:D45)</f>
        <v>179234.937793</v>
      </c>
      <c r="S45" s="284">
        <f>SUM(E$42:E45)</f>
        <v>163286.326598389</v>
      </c>
      <c r="T45" s="284">
        <f>SUM(F$42:F45)</f>
        <v>545044.272226389</v>
      </c>
      <c r="U45" s="20">
        <f>SUM(F$42:F45)-T45</f>
        <v>0</v>
      </c>
    </row>
    <row r="46" spans="1:21">
      <c r="A46" s="435">
        <v>45047</v>
      </c>
      <c r="B46" s="436">
        <v>43935.3869570001</v>
      </c>
      <c r="C46" s="436">
        <v>14554.8242669999</v>
      </c>
      <c r="D46" s="436">
        <v>34806.9152049997</v>
      </c>
      <c r="E46" s="436">
        <v>54574.3063199998</v>
      </c>
      <c r="F46" s="437">
        <f t="shared" si="0"/>
        <v>147871.432749</v>
      </c>
      <c r="H46" s="259">
        <v>45047</v>
      </c>
      <c r="I46" s="244">
        <v>3448.460264</v>
      </c>
      <c r="J46" s="244">
        <v>13.992</v>
      </c>
      <c r="K46" s="244">
        <v>3232.342425</v>
      </c>
      <c r="L46" s="244">
        <v>217.858916</v>
      </c>
      <c r="M46" s="244">
        <f t="shared" si="1"/>
        <v>6912.653605</v>
      </c>
      <c r="N46" s="229"/>
      <c r="O46" s="21" t="s">
        <v>256</v>
      </c>
      <c r="P46" s="284">
        <f>SUM(B$42:B46)</f>
        <v>123157.290248</v>
      </c>
      <c r="Q46" s="284">
        <f>SUM(C$42:C46)</f>
        <v>137855.928811</v>
      </c>
      <c r="R46" s="284">
        <f>SUM(D$42:D46)</f>
        <v>214041.852998</v>
      </c>
      <c r="S46" s="284">
        <f>SUM(E$42:E46)</f>
        <v>217860.632918389</v>
      </c>
      <c r="T46" s="284">
        <f>SUM(F$42:F46)</f>
        <v>692915.704975389</v>
      </c>
      <c r="U46" s="20">
        <f>SUM(F$42:F46)-T46</f>
        <v>0</v>
      </c>
    </row>
    <row r="47" spans="1:21">
      <c r="A47" s="435">
        <v>45078</v>
      </c>
      <c r="B47" s="436">
        <v>32343.390448</v>
      </c>
      <c r="C47" s="436">
        <v>18696.407892</v>
      </c>
      <c r="D47" s="436">
        <v>40582.8570860998</v>
      </c>
      <c r="E47" s="436">
        <v>65744.2458940003</v>
      </c>
      <c r="F47" s="437">
        <f t="shared" si="0"/>
        <v>157366.9013201</v>
      </c>
      <c r="H47" s="259">
        <v>45078</v>
      </c>
      <c r="I47" s="244">
        <v>6201.15236399994</v>
      </c>
      <c r="J47" s="244">
        <v>14.215787</v>
      </c>
      <c r="K47" s="244">
        <v>7663.153656</v>
      </c>
      <c r="L47" s="244">
        <v>103.101226</v>
      </c>
      <c r="M47" s="244">
        <f t="shared" si="1"/>
        <v>13981.6230329999</v>
      </c>
      <c r="N47" s="229"/>
      <c r="O47" s="21" t="s">
        <v>257</v>
      </c>
      <c r="P47" s="284">
        <f>SUM(B$42:B47)</f>
        <v>155500.680696</v>
      </c>
      <c r="Q47" s="284">
        <f>SUM(C$42:C47)</f>
        <v>156552.336703</v>
      </c>
      <c r="R47" s="284">
        <f>SUM(D$42:D47)</f>
        <v>254624.710084099</v>
      </c>
      <c r="S47" s="284">
        <f>SUM(E$42:E47)</f>
        <v>283604.878812389</v>
      </c>
      <c r="T47" s="284">
        <f>SUM(F$42:F47)</f>
        <v>850282.606295489</v>
      </c>
      <c r="U47" s="20">
        <f>SUM(F$42:F47)-T47</f>
        <v>0</v>
      </c>
    </row>
    <row r="48" spans="1:21">
      <c r="A48" s="435">
        <v>45108</v>
      </c>
      <c r="B48" s="436">
        <v>28119.744193</v>
      </c>
      <c r="C48" s="436">
        <v>12591.962399</v>
      </c>
      <c r="D48" s="436">
        <v>35418.1363379996</v>
      </c>
      <c r="E48" s="436">
        <v>55283.6714549998</v>
      </c>
      <c r="F48" s="437">
        <f t="shared" si="0"/>
        <v>131413.514384999</v>
      </c>
      <c r="H48" s="259">
        <v>45108</v>
      </c>
      <c r="I48" s="244">
        <v>4318.770127</v>
      </c>
      <c r="J48" s="244">
        <v>4.58556</v>
      </c>
      <c r="K48" s="244">
        <v>1258.799267</v>
      </c>
      <c r="L48" s="244">
        <v>153.71552</v>
      </c>
      <c r="M48" s="244">
        <f t="shared" si="1"/>
        <v>5735.870474</v>
      </c>
      <c r="N48" s="229"/>
      <c r="O48" s="21" t="s">
        <v>258</v>
      </c>
      <c r="P48" s="284">
        <f>SUM(B$42:B48)</f>
        <v>183620.424889</v>
      </c>
      <c r="Q48" s="284">
        <f>SUM(C$42:C48)</f>
        <v>169144.299102</v>
      </c>
      <c r="R48" s="284">
        <f>SUM(D$42:D48)</f>
        <v>290042.846422099</v>
      </c>
      <c r="S48" s="284">
        <f>SUM(E$42:E48)</f>
        <v>338888.550267389</v>
      </c>
      <c r="T48" s="284">
        <f>SUM(F$42:F48)</f>
        <v>981696.120680488</v>
      </c>
      <c r="U48" s="20">
        <f>SUM(F$42:F48)-T48</f>
        <v>0</v>
      </c>
    </row>
    <row r="49" spans="1:21">
      <c r="A49" s="435">
        <v>45139</v>
      </c>
      <c r="B49" s="436">
        <v>31944.261175</v>
      </c>
      <c r="C49" s="436">
        <v>12342.180405</v>
      </c>
      <c r="D49" s="436">
        <v>41823.4180880004</v>
      </c>
      <c r="E49" s="436">
        <v>61102.2216939997</v>
      </c>
      <c r="F49" s="437">
        <f t="shared" si="0"/>
        <v>147212.081362</v>
      </c>
      <c r="H49" s="259">
        <v>45139</v>
      </c>
      <c r="I49" s="244">
        <v>3321.257446</v>
      </c>
      <c r="J49" s="244">
        <v>5.38556</v>
      </c>
      <c r="K49" s="244">
        <v>3013.432082</v>
      </c>
      <c r="L49" s="244">
        <v>163.526988</v>
      </c>
      <c r="M49" s="244">
        <f t="shared" si="1"/>
        <v>6503.602076</v>
      </c>
      <c r="N49" s="229"/>
      <c r="O49" s="21" t="s">
        <v>259</v>
      </c>
      <c r="P49" s="284">
        <f>SUM(B$42:B49)</f>
        <v>215564.686064</v>
      </c>
      <c r="Q49" s="284">
        <f>SUM(C$42:C49)</f>
        <v>181486.479507</v>
      </c>
      <c r="R49" s="284">
        <f>SUM(D$42:D49)</f>
        <v>331866.264510099</v>
      </c>
      <c r="S49" s="284">
        <f>SUM(E$42:E49)</f>
        <v>399990.771961389</v>
      </c>
      <c r="T49" s="284">
        <f>SUM(F$42:F49)</f>
        <v>1128908.20204249</v>
      </c>
      <c r="U49" s="20">
        <f>SUM(F$42:F49)-T49</f>
        <v>0</v>
      </c>
    </row>
    <row r="50" spans="1:21">
      <c r="A50" s="435">
        <v>45170</v>
      </c>
      <c r="B50" s="436">
        <v>26550.6413660001</v>
      </c>
      <c r="C50" s="436">
        <v>9782.98839299994</v>
      </c>
      <c r="D50" s="436">
        <v>39707.1659690009</v>
      </c>
      <c r="E50" s="436">
        <v>49936.5818609996</v>
      </c>
      <c r="F50" s="437">
        <f t="shared" si="0"/>
        <v>125977.377589001</v>
      </c>
      <c r="H50" s="259">
        <v>45170</v>
      </c>
      <c r="I50" s="244">
        <v>2234.356822</v>
      </c>
      <c r="J50" s="244">
        <v>4.58556</v>
      </c>
      <c r="K50" s="244">
        <v>2310.19337</v>
      </c>
      <c r="L50" s="244">
        <v>487.665862</v>
      </c>
      <c r="M50" s="244">
        <f t="shared" si="1"/>
        <v>5036.801614</v>
      </c>
      <c r="N50" s="229"/>
      <c r="O50" s="21" t="s">
        <v>260</v>
      </c>
      <c r="P50" s="284">
        <f>SUM(B$42:B50)</f>
        <v>242115.32743</v>
      </c>
      <c r="Q50" s="284">
        <f>SUM(C$42:C50)</f>
        <v>191269.4679</v>
      </c>
      <c r="R50" s="284">
        <f>SUM(D$42:D50)</f>
        <v>371573.4304791</v>
      </c>
      <c r="S50" s="284">
        <f>SUM(E$42:E50)</f>
        <v>449927.353822388</v>
      </c>
      <c r="T50" s="284">
        <f>SUM(F$42:F50)</f>
        <v>1254885.57963149</v>
      </c>
      <c r="U50" s="20">
        <f>SUM(F$42:F50)-T50</f>
        <v>0</v>
      </c>
    </row>
    <row r="51" spans="1:21">
      <c r="A51" s="435">
        <v>45200</v>
      </c>
      <c r="B51" s="436">
        <v>12543.917479</v>
      </c>
      <c r="C51" s="436">
        <v>7231.08729799998</v>
      </c>
      <c r="D51" s="436">
        <v>39956.3017420002</v>
      </c>
      <c r="E51" s="436">
        <v>36591.3037459997</v>
      </c>
      <c r="F51" s="437">
        <f t="shared" si="0"/>
        <v>96322.6102649999</v>
      </c>
      <c r="H51" s="259">
        <v>45200</v>
      </c>
      <c r="I51" s="244">
        <v>6299.047966</v>
      </c>
      <c r="J51" s="244">
        <v>4.58556</v>
      </c>
      <c r="K51" s="244">
        <v>5807.46464</v>
      </c>
      <c r="L51" s="244">
        <v>303.72356</v>
      </c>
      <c r="M51" s="244">
        <f t="shared" si="1"/>
        <v>12414.821726</v>
      </c>
      <c r="N51" s="229"/>
      <c r="O51" s="21" t="s">
        <v>261</v>
      </c>
      <c r="P51" s="284">
        <f>SUM(B$42:B51)</f>
        <v>254659.244909</v>
      </c>
      <c r="Q51" s="284">
        <f>SUM(C$42:C51)</f>
        <v>198500.555198</v>
      </c>
      <c r="R51" s="284">
        <f>SUM(D$42:D51)</f>
        <v>411529.7322211</v>
      </c>
      <c r="S51" s="284">
        <f>SUM(E$42:E51)</f>
        <v>486518.657568388</v>
      </c>
      <c r="T51" s="284">
        <f>SUM(F$42:F51)</f>
        <v>1351208.18989649</v>
      </c>
      <c r="U51" s="20">
        <f>SUM(F$42:F51)-T51</f>
        <v>0</v>
      </c>
    </row>
    <row r="52" spans="1:21">
      <c r="A52" s="435">
        <v>45231</v>
      </c>
      <c r="B52" s="436">
        <v>19942.473656</v>
      </c>
      <c r="C52" s="436">
        <v>8024.26683599996</v>
      </c>
      <c r="D52" s="436">
        <v>52214.69905</v>
      </c>
      <c r="E52" s="436">
        <v>34336.3018299998</v>
      </c>
      <c r="F52" s="437">
        <f t="shared" si="0"/>
        <v>114517.741372</v>
      </c>
      <c r="H52" s="259">
        <v>45231</v>
      </c>
      <c r="I52" s="244">
        <v>3365.359165</v>
      </c>
      <c r="J52" s="244">
        <v>4.58556</v>
      </c>
      <c r="K52" s="244">
        <v>17449.895401</v>
      </c>
      <c r="L52" s="244">
        <v>256.440793000004</v>
      </c>
      <c r="M52" s="244">
        <f t="shared" si="1"/>
        <v>21076.280919</v>
      </c>
      <c r="N52" s="229"/>
      <c r="O52" s="21" t="s">
        <v>262</v>
      </c>
      <c r="P52" s="284">
        <f>SUM(B$42:B52)</f>
        <v>274601.718565</v>
      </c>
      <c r="Q52" s="284">
        <f>SUM(C$42:C52)</f>
        <v>206524.822034</v>
      </c>
      <c r="R52" s="284">
        <f>SUM(D$42:D52)</f>
        <v>463744.4312711</v>
      </c>
      <c r="S52" s="284">
        <f>SUM(E$42:E52)</f>
        <v>520854.959398388</v>
      </c>
      <c r="T52" s="284">
        <f>SUM(F$42:F52)</f>
        <v>1465725.93126849</v>
      </c>
      <c r="U52" s="20">
        <f>SUM(F$42:F52)-T52</f>
        <v>0</v>
      </c>
    </row>
    <row r="53" spans="1:21">
      <c r="A53" s="435">
        <v>45261</v>
      </c>
      <c r="B53" s="436">
        <v>13627.58474</v>
      </c>
      <c r="C53" s="436">
        <v>5818.012154</v>
      </c>
      <c r="D53" s="436">
        <v>41859.1625540005</v>
      </c>
      <c r="E53" s="436">
        <v>33422.8866219998</v>
      </c>
      <c r="F53" s="437">
        <f t="shared" si="0"/>
        <v>94727.6460700003</v>
      </c>
      <c r="H53" s="259">
        <v>45261</v>
      </c>
      <c r="I53" s="244">
        <v>3043.306023</v>
      </c>
      <c r="J53" s="244">
        <v>1.40556</v>
      </c>
      <c r="K53" s="244">
        <v>6536.803863</v>
      </c>
      <c r="L53" s="244">
        <v>545.041051999799</v>
      </c>
      <c r="M53" s="244">
        <f t="shared" si="1"/>
        <v>10126.5564979998</v>
      </c>
      <c r="N53" s="229"/>
      <c r="O53" s="21" t="s">
        <v>263</v>
      </c>
      <c r="P53" s="284">
        <f>SUM(B$42:B53)</f>
        <v>288229.303305</v>
      </c>
      <c r="Q53" s="284">
        <f>SUM(C$42:C53)</f>
        <v>212342.834188</v>
      </c>
      <c r="R53" s="284">
        <f>SUM(D$42:D53)</f>
        <v>505603.593825101</v>
      </c>
      <c r="S53" s="284">
        <f>SUM(E$42:E53)</f>
        <v>554277.846020388</v>
      </c>
      <c r="T53" s="284">
        <f>SUM(F$42:F53)</f>
        <v>1560453.57733849</v>
      </c>
      <c r="U53" s="20">
        <f>SUM(F$42:F53)-T53</f>
        <v>0</v>
      </c>
    </row>
    <row r="54" spans="1:21">
      <c r="A54" s="291">
        <v>45292</v>
      </c>
      <c r="B54" s="438">
        <v>23601.283929</v>
      </c>
      <c r="C54" s="438">
        <v>5765.11686100001</v>
      </c>
      <c r="D54" s="438">
        <v>22038.1040769999</v>
      </c>
      <c r="E54" s="438">
        <v>32437.1575989998</v>
      </c>
      <c r="F54" s="312">
        <f t="shared" si="0"/>
        <v>83841.6624659997</v>
      </c>
      <c r="H54" s="259">
        <v>45292</v>
      </c>
      <c r="I54" s="244">
        <v>2606.74523800015</v>
      </c>
      <c r="J54" s="244">
        <v>1.40556</v>
      </c>
      <c r="K54" s="244">
        <v>4146.248135</v>
      </c>
      <c r="L54" s="244">
        <v>408.756209999967</v>
      </c>
      <c r="M54" s="244">
        <f t="shared" si="1"/>
        <v>7163.15514300012</v>
      </c>
      <c r="O54" s="21" t="s">
        <v>264</v>
      </c>
      <c r="P54" s="284">
        <f>B54</f>
        <v>23601.283929</v>
      </c>
      <c r="Q54" s="284">
        <f>C54</f>
        <v>5765.11686100001</v>
      </c>
      <c r="R54" s="284">
        <f>D54</f>
        <v>22038.1040769999</v>
      </c>
      <c r="S54" s="284">
        <f>E54</f>
        <v>32437.1575989998</v>
      </c>
      <c r="T54" s="284">
        <f>SUM(F$54:F54)</f>
        <v>83841.6624659997</v>
      </c>
      <c r="U54" s="20">
        <f>SUM(F$54:F54)-T54</f>
        <v>0</v>
      </c>
    </row>
    <row r="55" spans="1:21">
      <c r="A55" s="291">
        <v>45323</v>
      </c>
      <c r="B55" s="438">
        <v>20769.15207</v>
      </c>
      <c r="C55" s="438">
        <v>5186.91848900001</v>
      </c>
      <c r="D55" s="438">
        <v>20630.6234639997</v>
      </c>
      <c r="E55" s="438">
        <v>29631.355465</v>
      </c>
      <c r="F55" s="312">
        <f t="shared" si="0"/>
        <v>76218.0494879997</v>
      </c>
      <c r="H55" s="292">
        <v>45323</v>
      </c>
      <c r="I55" s="244">
        <v>10232.5186649997</v>
      </c>
      <c r="K55" s="244">
        <v>3119.201877</v>
      </c>
      <c r="L55" s="244">
        <v>2032.22190100032</v>
      </c>
      <c r="M55" s="244">
        <f t="shared" si="1"/>
        <v>15383.942443</v>
      </c>
      <c r="O55" s="21" t="s">
        <v>265</v>
      </c>
      <c r="P55" s="284">
        <f>SUM(B$54:B55)</f>
        <v>44370.435999</v>
      </c>
      <c r="Q55" s="284">
        <f>SUM(C$54:C55)</f>
        <v>10952.03535</v>
      </c>
      <c r="R55" s="284">
        <f>SUM(D$54:D55)</f>
        <v>42668.7275409996</v>
      </c>
      <c r="S55" s="284">
        <f>SUM(E$54:E55)</f>
        <v>62068.5130639998</v>
      </c>
      <c r="T55" s="284">
        <f>SUM(F$54:F55)</f>
        <v>160059.711953999</v>
      </c>
      <c r="U55" s="20">
        <f>SUM(F$54:F55)-T55</f>
        <v>0</v>
      </c>
    </row>
    <row r="56" spans="1:21">
      <c r="A56" s="291">
        <v>45352</v>
      </c>
      <c r="B56" s="438">
        <v>8118.21667241</v>
      </c>
      <c r="C56" s="438">
        <v>6157.9069369</v>
      </c>
      <c r="D56" s="438">
        <v>24007.5751557596</v>
      </c>
      <c r="E56" s="438">
        <v>28549.1904208998</v>
      </c>
      <c r="F56" s="312">
        <f t="shared" si="0"/>
        <v>66832.8891859694</v>
      </c>
      <c r="H56" s="292">
        <v>45352</v>
      </c>
      <c r="I56" s="244">
        <v>3172.751243</v>
      </c>
      <c r="K56" s="244">
        <v>3005.310561</v>
      </c>
      <c r="L56" s="244">
        <v>431.14546</v>
      </c>
      <c r="M56" s="244">
        <f t="shared" si="1"/>
        <v>6609.207264</v>
      </c>
      <c r="O56" s="21" t="s">
        <v>266</v>
      </c>
      <c r="P56" s="284">
        <f>SUM(B$54:B56)</f>
        <v>52488.65267141</v>
      </c>
      <c r="Q56" s="284">
        <f>SUM(C$54:C56)</f>
        <v>17109.9422869</v>
      </c>
      <c r="R56" s="284">
        <f>SUM(D$54:D56)</f>
        <v>66676.3026967592</v>
      </c>
      <c r="S56" s="284">
        <f>SUM(E$54:E56)</f>
        <v>90617.7034848996</v>
      </c>
      <c r="T56" s="284">
        <f>SUM(F$54:F56)</f>
        <v>226892.601139969</v>
      </c>
      <c r="U56" s="20">
        <f>SUM(F$54:F56)-T56</f>
        <v>0</v>
      </c>
    </row>
    <row r="57" spans="1:21">
      <c r="A57" s="291">
        <v>45383</v>
      </c>
      <c r="B57" s="438">
        <v>6779.34474418001</v>
      </c>
      <c r="C57" s="438">
        <v>3106.40787066</v>
      </c>
      <c r="D57" s="438">
        <v>23861.8023681599</v>
      </c>
      <c r="E57" s="438">
        <v>16597.74192865</v>
      </c>
      <c r="F57" s="312">
        <f t="shared" si="0"/>
        <v>50345.2969116499</v>
      </c>
      <c r="H57" s="292">
        <v>45383</v>
      </c>
      <c r="I57" s="244">
        <v>5056.836763</v>
      </c>
      <c r="K57" s="244">
        <v>3485.707579</v>
      </c>
      <c r="L57" s="244">
        <v>389.404992</v>
      </c>
      <c r="M57" s="244">
        <f t="shared" si="1"/>
        <v>8931.949334</v>
      </c>
      <c r="O57" s="21" t="s">
        <v>267</v>
      </c>
      <c r="P57" s="284">
        <f>SUM(B$54:B57)</f>
        <v>59267.99741559</v>
      </c>
      <c r="Q57" s="284">
        <f>SUM(C$54:C57)</f>
        <v>20216.35015756</v>
      </c>
      <c r="R57" s="284">
        <f>SUM(D$54:D57)</f>
        <v>90538.1050649191</v>
      </c>
      <c r="S57" s="284">
        <f>SUM(E$54:E57)</f>
        <v>107215.44541355</v>
      </c>
      <c r="T57" s="284">
        <f>SUM(F$54:F57)</f>
        <v>277237.898051619</v>
      </c>
      <c r="U57" s="20">
        <f>SUM(F$54:F57)-T57</f>
        <v>0</v>
      </c>
    </row>
    <row r="58" spans="1:21">
      <c r="A58" s="291">
        <v>45413</v>
      </c>
      <c r="B58" s="438">
        <v>11730.66290052</v>
      </c>
      <c r="C58" s="438">
        <v>2316.27698383999</v>
      </c>
      <c r="D58" s="438">
        <v>29948.5098251402</v>
      </c>
      <c r="E58" s="438">
        <v>26557.5161373001</v>
      </c>
      <c r="F58" s="312">
        <f t="shared" si="0"/>
        <v>70552.9658468003</v>
      </c>
      <c r="H58" s="292">
        <v>45413</v>
      </c>
      <c r="I58" s="244">
        <v>4967.365972</v>
      </c>
      <c r="K58" s="244">
        <v>6648.84479</v>
      </c>
      <c r="L58" s="244">
        <v>531.37</v>
      </c>
      <c r="M58" s="244">
        <f t="shared" si="1"/>
        <v>12147.580762</v>
      </c>
      <c r="O58" s="21" t="s">
        <v>268</v>
      </c>
      <c r="P58" s="284">
        <f>SUM(B$54:B58)</f>
        <v>70998.66031611</v>
      </c>
      <c r="Q58" s="284">
        <f>SUM(C$54:C58)</f>
        <v>22532.6271414</v>
      </c>
      <c r="R58" s="284">
        <f>SUM(D$54:D58)</f>
        <v>120486.614890059</v>
      </c>
      <c r="S58" s="284">
        <f>SUM(E$54:E58)</f>
        <v>133772.96155085</v>
      </c>
      <c r="T58" s="284">
        <f>SUM(F$54:F58)</f>
        <v>347790.863898419</v>
      </c>
      <c r="U58" s="20">
        <f>SUM(F$54:F58)-T58</f>
        <v>0</v>
      </c>
    </row>
    <row r="59" spans="1:21">
      <c r="A59" s="291">
        <v>45444</v>
      </c>
      <c r="B59" s="438">
        <v>16980.0605305</v>
      </c>
      <c r="C59" s="438">
        <v>1416.86281216001</v>
      </c>
      <c r="D59" s="438">
        <v>34860.4984537806</v>
      </c>
      <c r="E59" s="438">
        <v>30545.3258549391</v>
      </c>
      <c r="F59" s="312">
        <f t="shared" si="0"/>
        <v>83802.7476513797</v>
      </c>
      <c r="H59" s="292">
        <v>45444</v>
      </c>
      <c r="I59" s="244">
        <v>10999.470266</v>
      </c>
      <c r="K59" s="244">
        <v>7520.443318</v>
      </c>
      <c r="L59" s="244">
        <v>723.3</v>
      </c>
      <c r="M59" s="244">
        <f t="shared" si="1"/>
        <v>19243.213584</v>
      </c>
      <c r="O59" s="21" t="s">
        <v>269</v>
      </c>
      <c r="P59" s="284">
        <f>SUM(B$54:B59)</f>
        <v>87978.72084661</v>
      </c>
      <c r="Q59" s="284">
        <f>SUM(C$54:C59)</f>
        <v>23949.48995356</v>
      </c>
      <c r="R59" s="284">
        <f>SUM(D$54:D59)</f>
        <v>155347.11334384</v>
      </c>
      <c r="S59" s="284">
        <f>SUM(E$54:E59)</f>
        <v>164318.287405789</v>
      </c>
      <c r="T59" s="284">
        <f>SUM(F$54:F59)</f>
        <v>431593.611549799</v>
      </c>
      <c r="U59" s="20">
        <f>SUM(F$54:F59)-T59</f>
        <v>0</v>
      </c>
    </row>
    <row r="60" spans="1:21">
      <c r="A60" s="291">
        <v>45474</v>
      </c>
      <c r="B60" s="438">
        <v>21559.69337631</v>
      </c>
      <c r="C60" s="438">
        <v>1491.34984094</v>
      </c>
      <c r="D60" s="438">
        <v>24546.1081938804</v>
      </c>
      <c r="E60" s="438">
        <v>34407.8261066093</v>
      </c>
      <c r="F60" s="312">
        <f t="shared" si="0"/>
        <v>82004.9775177397</v>
      </c>
      <c r="H60" s="292">
        <v>45474</v>
      </c>
      <c r="I60" s="244">
        <v>4406.686861</v>
      </c>
      <c r="K60" s="244">
        <v>1998.94658100001</v>
      </c>
      <c r="L60" s="244">
        <v>1224.30595</v>
      </c>
      <c r="M60" s="244">
        <f t="shared" si="1"/>
        <v>7629.93939200001</v>
      </c>
      <c r="O60" s="21" t="s">
        <v>270</v>
      </c>
      <c r="P60" s="284">
        <f>SUM(B$54:B60)</f>
        <v>109538.41422292</v>
      </c>
      <c r="Q60" s="284">
        <f>SUM(C$54:C60)</f>
        <v>25440.8397945</v>
      </c>
      <c r="R60" s="284">
        <f>SUM(D$54:D60)</f>
        <v>179893.22153772</v>
      </c>
      <c r="S60" s="284">
        <f>SUM(E$54:E60)</f>
        <v>198726.113512398</v>
      </c>
      <c r="T60" s="284">
        <f>SUM(F$54:F60)</f>
        <v>513598.589067538</v>
      </c>
      <c r="U60" s="20">
        <f>SUM(F$54:F60)-T60</f>
        <v>0</v>
      </c>
    </row>
    <row r="61" spans="1:21">
      <c r="A61" s="291">
        <v>45505</v>
      </c>
      <c r="B61" s="438">
        <v>11582.7249522</v>
      </c>
      <c r="C61" s="438">
        <v>2548.11426434001</v>
      </c>
      <c r="D61" s="438">
        <v>30002.1154476599</v>
      </c>
      <c r="E61" s="438">
        <v>31032.8159887593</v>
      </c>
      <c r="F61" s="312">
        <f t="shared" si="0"/>
        <v>75165.7706529592</v>
      </c>
      <c r="H61" s="292">
        <v>45505</v>
      </c>
      <c r="I61" s="244">
        <v>8877.5906</v>
      </c>
      <c r="K61" s="244">
        <v>3003.732055</v>
      </c>
      <c r="L61" s="244">
        <v>799.63586</v>
      </c>
      <c r="M61" s="244">
        <f t="shared" si="1"/>
        <v>12680.958515</v>
      </c>
      <c r="O61" s="21" t="s">
        <v>271</v>
      </c>
      <c r="P61" s="284">
        <f>SUM(B$54:B61)</f>
        <v>121121.13917512</v>
      </c>
      <c r="Q61" s="284">
        <f>SUM(C$54:C61)</f>
        <v>27988.95405884</v>
      </c>
      <c r="R61" s="284">
        <f>SUM(D$54:D61)</f>
        <v>209895.33698538</v>
      </c>
      <c r="S61" s="284">
        <f>SUM(E$54:E61)</f>
        <v>229758.929501157</v>
      </c>
      <c r="T61" s="284">
        <f>SUM(F$54:F61)</f>
        <v>588764.359720498</v>
      </c>
      <c r="U61" s="20">
        <f>SUM(F$54:F61)-T61</f>
        <v>0</v>
      </c>
    </row>
    <row r="62" spans="1:21">
      <c r="A62" s="291">
        <v>45536</v>
      </c>
      <c r="B62" s="438">
        <v>7748.15478723</v>
      </c>
      <c r="C62" s="438">
        <v>1290.6205333</v>
      </c>
      <c r="D62" s="438">
        <v>22928.7958091106</v>
      </c>
      <c r="E62" s="438">
        <v>20650.5332126303</v>
      </c>
      <c r="F62" s="312">
        <f t="shared" si="0"/>
        <v>52618.1043422709</v>
      </c>
      <c r="H62" s="292">
        <v>45536</v>
      </c>
      <c r="I62" s="244">
        <v>2401.159651</v>
      </c>
      <c r="K62" s="244">
        <v>2945.144965</v>
      </c>
      <c r="L62" s="244">
        <v>3606.847419</v>
      </c>
      <c r="M62" s="244">
        <f t="shared" si="1"/>
        <v>8953.152035</v>
      </c>
      <c r="O62" s="21" t="s">
        <v>272</v>
      </c>
      <c r="P62" s="284">
        <f>SUM(B$54:B62)</f>
        <v>128869.29396235</v>
      </c>
      <c r="Q62" s="284">
        <f>SUM(C$54:C62)</f>
        <v>29279.57459214</v>
      </c>
      <c r="R62" s="284">
        <f>SUM(D$54:D62)</f>
        <v>232824.132794491</v>
      </c>
      <c r="S62" s="284">
        <f>SUM(E$54:E62)</f>
        <v>250409.462713788</v>
      </c>
      <c r="T62" s="284">
        <f>SUM(F$54:F62)</f>
        <v>641382.464062768</v>
      </c>
      <c r="U62" s="20">
        <f>SUM(F$54:F62)-T62</f>
        <v>0</v>
      </c>
    </row>
    <row r="63" spans="1:21">
      <c r="A63" s="291">
        <v>45566</v>
      </c>
      <c r="B63" s="438">
        <v>8640.55993538999</v>
      </c>
      <c r="C63" s="438">
        <v>947.171462860005</v>
      </c>
      <c r="D63" s="438">
        <v>23255.9810001407</v>
      </c>
      <c r="E63" s="438">
        <v>26167.6579948104</v>
      </c>
      <c r="F63" s="312">
        <f t="shared" si="0"/>
        <v>59011.3703932011</v>
      </c>
      <c r="H63" s="292">
        <v>45566</v>
      </c>
      <c r="I63" s="244">
        <v>2063.71073</v>
      </c>
      <c r="K63" s="244">
        <v>11952.290063</v>
      </c>
      <c r="L63" s="244">
        <v>438.800863</v>
      </c>
      <c r="M63" s="244">
        <f t="shared" si="1"/>
        <v>14454.801656</v>
      </c>
      <c r="O63" s="21" t="s">
        <v>273</v>
      </c>
      <c r="P63" s="284">
        <f>SUM(B$54:B63)</f>
        <v>137509.85389774</v>
      </c>
      <c r="Q63" s="284">
        <f>SUM(C$54:C63)</f>
        <v>30226.746055</v>
      </c>
      <c r="R63" s="284">
        <f>SUM(D$54:D63)</f>
        <v>256080.113794631</v>
      </c>
      <c r="S63" s="284">
        <f>SUM(E$54:E63)</f>
        <v>276577.120708598</v>
      </c>
      <c r="T63" s="284">
        <f>SUM(F$54:F63)</f>
        <v>700393.83445597</v>
      </c>
      <c r="U63" s="20">
        <f>SUM(F$54:F63)-T63</f>
        <v>0</v>
      </c>
    </row>
    <row r="64" spans="1:21">
      <c r="A64" s="291">
        <v>45597</v>
      </c>
      <c r="B64" s="438">
        <v>8649.11593356</v>
      </c>
      <c r="C64" s="438">
        <v>695.883889560002</v>
      </c>
      <c r="D64" s="438">
        <v>25892.2648392707</v>
      </c>
      <c r="E64" s="438">
        <v>26575.6972926299</v>
      </c>
      <c r="F64" s="312">
        <f t="shared" si="0"/>
        <v>61812.9619550206</v>
      </c>
      <c r="H64" s="292">
        <v>45597</v>
      </c>
      <c r="I64" s="244">
        <v>5278.17322799985</v>
      </c>
      <c r="J64" s="244">
        <v>0</v>
      </c>
      <c r="K64" s="244">
        <v>14752.0491850001</v>
      </c>
      <c r="L64" s="244">
        <v>396.886791</v>
      </c>
      <c r="M64" s="244">
        <f t="shared" si="1"/>
        <v>20427.1092039999</v>
      </c>
      <c r="O64" s="21" t="s">
        <v>274</v>
      </c>
      <c r="P64" s="284">
        <f>SUM(B$54:B64)</f>
        <v>146158.9698313</v>
      </c>
      <c r="Q64" s="284">
        <f>SUM(C$54:C64)</f>
        <v>30922.62994456</v>
      </c>
      <c r="R64" s="284">
        <f>SUM(D$54:D64)</f>
        <v>281972.378633902</v>
      </c>
      <c r="S64" s="284">
        <f>SUM(E$54:E64)</f>
        <v>303152.818001228</v>
      </c>
      <c r="T64" s="284">
        <f>SUM(F$54:F64)</f>
        <v>762206.79641099</v>
      </c>
      <c r="U64" s="20">
        <f>SUM(F$54:F64)-T64</f>
        <v>0</v>
      </c>
    </row>
    <row r="65" spans="1:21">
      <c r="A65" s="291">
        <v>45627</v>
      </c>
      <c r="B65" s="438">
        <v>5261.54453290001</v>
      </c>
      <c r="C65" s="438">
        <v>616.139586360005</v>
      </c>
      <c r="D65" s="438">
        <v>26412.9467807204</v>
      </c>
      <c r="E65" s="438">
        <v>27908.6327793302</v>
      </c>
      <c r="F65" s="312">
        <f t="shared" si="0"/>
        <v>60199.2636793106</v>
      </c>
      <c r="H65" s="292">
        <v>45627</v>
      </c>
      <c r="I65" s="244">
        <v>3527.577147</v>
      </c>
      <c r="J65" s="244">
        <v>0</v>
      </c>
      <c r="K65" s="244">
        <v>2807.24096199991</v>
      </c>
      <c r="L65" s="244">
        <v>376.755443</v>
      </c>
      <c r="M65" s="244">
        <f t="shared" si="1"/>
        <v>6711.57355199991</v>
      </c>
      <c r="O65" s="21" t="s">
        <v>275</v>
      </c>
      <c r="P65" s="284">
        <f>SUM(B$54:B65)</f>
        <v>151420.5143642</v>
      </c>
      <c r="Q65" s="284">
        <f>SUM(C$54:C65)</f>
        <v>31538.76953092</v>
      </c>
      <c r="R65" s="284">
        <f>SUM(D$54:D65)</f>
        <v>308385.325414623</v>
      </c>
      <c r="S65" s="284">
        <f>SUM(E$54:E65)</f>
        <v>331061.450780558</v>
      </c>
      <c r="T65" s="284">
        <f>SUM(F$54:F65)</f>
        <v>822406.060090301</v>
      </c>
      <c r="U65" s="20">
        <f>SUM(F$54:F65)-T65</f>
        <v>0</v>
      </c>
    </row>
    <row r="66" spans="1:21">
      <c r="A66" s="293">
        <v>45658</v>
      </c>
      <c r="B66" s="313">
        <f>('GMV销售额波动分析（分月、年）'!B2+'GMV销售额波动分析（分月、年）'!C2)/10000</f>
        <v>12010.34078154</v>
      </c>
      <c r="C66" s="313">
        <f>'GMV销售额波动分析（分月、年）'!D2/10000</f>
        <v>943.5812474</v>
      </c>
      <c r="D66" s="313">
        <f>'GMV销售额波动分析（分月、年）'!E2/10000</f>
        <v>20356.1853123806</v>
      </c>
      <c r="E66" s="313">
        <f>('GMV销售额波动分析（分月、年）'!F2+'GMV销售额波动分析（分月、年）'!G2)/10000</f>
        <v>36582.36841316</v>
      </c>
      <c r="F66" s="313">
        <f t="shared" si="0"/>
        <v>69892.4757544806</v>
      </c>
      <c r="H66" s="292">
        <v>45658</v>
      </c>
      <c r="I66" s="244">
        <v>3873.48319599995</v>
      </c>
      <c r="J66" s="244">
        <v>0</v>
      </c>
      <c r="K66" s="244">
        <v>6787.75064900036</v>
      </c>
      <c r="L66" s="244">
        <v>7741.794649</v>
      </c>
      <c r="M66" s="244">
        <f t="shared" si="1"/>
        <v>18403.0284940003</v>
      </c>
      <c r="O66" s="21" t="s">
        <v>276</v>
      </c>
      <c r="P66" s="284">
        <f>B66</f>
        <v>12010.34078154</v>
      </c>
      <c r="Q66" s="284">
        <f>C66</f>
        <v>943.5812474</v>
      </c>
      <c r="R66" s="284">
        <f>D66</f>
        <v>20356.1853123806</v>
      </c>
      <c r="S66" s="284">
        <f>E66</f>
        <v>36582.36841316</v>
      </c>
      <c r="T66" s="284">
        <f>F66</f>
        <v>69892.4757544806</v>
      </c>
      <c r="U66" s="20">
        <f t="shared" ref="U66:U77" si="4">SUM(P66:S66)-T66</f>
        <v>0</v>
      </c>
    </row>
    <row r="67" spans="1:21">
      <c r="A67" s="293">
        <v>45689</v>
      </c>
      <c r="B67" s="313">
        <f>('GMV销售额波动分析（分月、年）'!B3+'GMV销售额波动分析（分月、年）'!C3)/10000</f>
        <v>6319.94308737999</v>
      </c>
      <c r="C67" s="313">
        <f>'GMV销售额波动分析（分月、年）'!D3/10000</f>
        <v>1222.45126672</v>
      </c>
      <c r="D67" s="313">
        <f>'GMV销售额波动分析（分月、年）'!E3/10000</f>
        <v>18650.5315145007</v>
      </c>
      <c r="E67" s="313">
        <f>('GMV销售额波动分析（分月、年）'!F3+'GMV销售额波动分析（分月、年）'!G3)/10000</f>
        <v>29014.0135103801</v>
      </c>
      <c r="F67" s="313">
        <f t="shared" si="0"/>
        <v>55206.9393789808</v>
      </c>
      <c r="H67" s="292">
        <v>45689</v>
      </c>
      <c r="I67" s="244">
        <v>7770.247861</v>
      </c>
      <c r="J67" s="244">
        <v>0</v>
      </c>
      <c r="K67" s="244">
        <v>5019.5682219999</v>
      </c>
      <c r="L67" s="244">
        <v>8903.848601</v>
      </c>
      <c r="M67" s="244">
        <f t="shared" si="1"/>
        <v>21693.6646839999</v>
      </c>
      <c r="O67" s="21" t="s">
        <v>277</v>
      </c>
      <c r="P67" s="284">
        <f>SUM(B$66:B67)</f>
        <v>18330.28386892</v>
      </c>
      <c r="Q67" s="284">
        <f>SUM(C$66:C67)</f>
        <v>2166.03251412</v>
      </c>
      <c r="R67" s="284">
        <f>SUM(D$66:D67)</f>
        <v>39006.7168268813</v>
      </c>
      <c r="S67" s="284">
        <f>SUM(E$66:E67)</f>
        <v>65596.3819235401</v>
      </c>
      <c r="T67" s="284">
        <f>SUM($F$66:F67)</f>
        <v>125099.415133461</v>
      </c>
      <c r="U67" s="20">
        <f t="shared" si="4"/>
        <v>0</v>
      </c>
    </row>
    <row r="68" spans="1:21">
      <c r="A68" s="293">
        <v>45717</v>
      </c>
      <c r="B68" s="313">
        <f>('GMV销售额波动分析（分月、年）'!B4+'GMV销售额波动分析（分月、年）'!C4)/10000</f>
        <v>6218.21073487999</v>
      </c>
      <c r="C68" s="313">
        <f>'GMV销售额波动分析（分月、年）'!D4/10000</f>
        <v>458.245863300003</v>
      </c>
      <c r="D68" s="313">
        <f>'GMV销售额波动分析（分月、年）'!E4/10000</f>
        <v>18891.6067885406</v>
      </c>
      <c r="E68" s="313">
        <f>('GMV销售额波动分析（分月、年）'!F4+'GMV销售额波动分析（分月、年）'!G4)/10000</f>
        <v>41030.3245329599</v>
      </c>
      <c r="F68" s="313">
        <f t="shared" si="0"/>
        <v>66598.3879196805</v>
      </c>
      <c r="H68" s="292">
        <v>45717</v>
      </c>
      <c r="I68" s="244">
        <v>2919.87514100006</v>
      </c>
      <c r="J68" s="244">
        <v>0</v>
      </c>
      <c r="K68" s="244">
        <v>3716.86780649996</v>
      </c>
      <c r="L68" s="244">
        <v>9969.97986367</v>
      </c>
      <c r="M68" s="244">
        <f t="shared" si="1"/>
        <v>16606.72281117</v>
      </c>
      <c r="O68" s="21" t="s">
        <v>278</v>
      </c>
      <c r="P68" s="284">
        <f>SUM(B$66:B68)</f>
        <v>24548.4946038</v>
      </c>
      <c r="Q68" s="284">
        <f>SUM(C$66:C68)</f>
        <v>2624.27837742</v>
      </c>
      <c r="R68" s="284">
        <f>SUM(D$66:D68)</f>
        <v>57898.3236154219</v>
      </c>
      <c r="S68" s="284">
        <f>SUM(E$66:E68)</f>
        <v>106626.7064565</v>
      </c>
      <c r="T68" s="284">
        <f>SUM($F$66:F68)</f>
        <v>191697.803053142</v>
      </c>
      <c r="U68" s="20">
        <f t="shared" si="4"/>
        <v>0</v>
      </c>
    </row>
    <row r="69" spans="1:21">
      <c r="A69" s="293">
        <v>45748</v>
      </c>
      <c r="B69" s="313">
        <f>('GMV销售额波动分析（分月、年）'!B5+'GMV销售额波动分析（分月、年）'!C5)/10000</f>
        <v>7349.86782836001</v>
      </c>
      <c r="C69" s="313">
        <f>'GMV销售额波动分析（分月、年）'!D5/10000</f>
        <v>336.014381540003</v>
      </c>
      <c r="D69" s="313">
        <f>'GMV销售额波动分析（分月、年）'!E5/10000</f>
        <v>17304.7891303208</v>
      </c>
      <c r="E69" s="313">
        <f>('GMV销售额波动分析（分月、年）'!F5+'GMV销售额波动分析（分月、年）'!G5)/10000</f>
        <v>35355.3336625603</v>
      </c>
      <c r="F69" s="313">
        <f t="shared" si="0"/>
        <v>60346.0050027811</v>
      </c>
      <c r="H69" s="292">
        <v>45748</v>
      </c>
      <c r="I69" s="244">
        <v>2883.88938200015</v>
      </c>
      <c r="J69" s="244">
        <v>0</v>
      </c>
      <c r="K69" s="244">
        <v>2811.468157</v>
      </c>
      <c r="L69" s="244">
        <v>11398.455672</v>
      </c>
      <c r="M69" s="244">
        <f t="shared" si="1"/>
        <v>17093.8132110001</v>
      </c>
      <c r="O69" s="21" t="s">
        <v>279</v>
      </c>
      <c r="P69" s="284">
        <f>SUM(B$66:B69)</f>
        <v>31898.36243216</v>
      </c>
      <c r="Q69" s="284">
        <f>SUM(C$66:C69)</f>
        <v>2960.29275896001</v>
      </c>
      <c r="R69" s="284">
        <f>SUM(D$66:D69)</f>
        <v>75203.1127457427</v>
      </c>
      <c r="S69" s="284">
        <f>SUM(E$66:E69)</f>
        <v>141982.04011906</v>
      </c>
      <c r="T69" s="284">
        <f>SUM($F$66:F69)</f>
        <v>252043.808055923</v>
      </c>
      <c r="U69" s="20">
        <f t="shared" si="4"/>
        <v>0</v>
      </c>
    </row>
    <row r="70" spans="1:21">
      <c r="A70" s="293">
        <v>45778</v>
      </c>
      <c r="B70" s="313">
        <f>('GMV销售额波动分析（分月、年）'!B6+'GMV销售额波动分析（分月、年）'!C6)/10000</f>
        <v>13757.20276094</v>
      </c>
      <c r="C70" s="313">
        <f>'GMV销售额波动分析（分月、年）'!D6/10000</f>
        <v>336.660389220002</v>
      </c>
      <c r="D70" s="313">
        <f>'GMV销售额波动分析（分月、年）'!E6/10000</f>
        <v>17290.5663946405</v>
      </c>
      <c r="E70" s="313">
        <f>('GMV销售额波动分析（分月、年）'!F6+'GMV销售额波动分析（分月、年）'!G6)/10000</f>
        <v>29087.3991687999</v>
      </c>
      <c r="F70" s="313">
        <f t="shared" ref="F70:F77" si="5">SUM(B70:E70)</f>
        <v>60471.8287136004</v>
      </c>
      <c r="H70" s="292">
        <v>45778</v>
      </c>
      <c r="I70" s="244">
        <v>6031.19829</v>
      </c>
      <c r="J70" s="244">
        <v>0</v>
      </c>
      <c r="K70" s="244">
        <v>10702.347174</v>
      </c>
      <c r="L70" s="244">
        <v>17000.654524</v>
      </c>
      <c r="M70" s="244">
        <f t="shared" ref="M70:M77" si="6">SUM(I70:L70)</f>
        <v>33734.199988</v>
      </c>
      <c r="O70" s="21" t="s">
        <v>280</v>
      </c>
      <c r="P70" s="284">
        <f>SUM(B$66:B70)</f>
        <v>45655.5651931</v>
      </c>
      <c r="Q70" s="284">
        <f>SUM(C$66:C70)</f>
        <v>3296.95314818001</v>
      </c>
      <c r="R70" s="284">
        <f>SUM(D$66:D70)</f>
        <v>92493.6791403832</v>
      </c>
      <c r="S70" s="284">
        <f>SUM(E$66:E70)</f>
        <v>171069.43928786</v>
      </c>
      <c r="T70" s="284">
        <f>SUM($F$66:F70)</f>
        <v>312515.636769523</v>
      </c>
      <c r="U70" s="20">
        <f t="shared" si="4"/>
        <v>0</v>
      </c>
    </row>
    <row r="71" spans="1:21">
      <c r="A71" s="293">
        <v>45809</v>
      </c>
      <c r="B71" s="313">
        <f>('GMV销售额波动分析（分月、年）'!B7+'GMV销售额波动分析（分月、年）'!C7)/10000</f>
        <v>8665.04356208002</v>
      </c>
      <c r="C71" s="313">
        <f>'GMV销售额波动分析（分月、年）'!D7/10000</f>
        <v>288.059176380002</v>
      </c>
      <c r="D71" s="313">
        <f>'GMV销售额波动分析（分月、年）'!E7/10000</f>
        <v>12474.5162211398</v>
      </c>
      <c r="E71" s="313">
        <f>('GMV销售额波动分析（分月、年）'!F7+'GMV销售额波动分析（分月、年）'!G7)/10000</f>
        <v>35486.3657925007</v>
      </c>
      <c r="F71" s="313">
        <f t="shared" si="5"/>
        <v>56913.9847521005</v>
      </c>
      <c r="H71" s="292">
        <v>45809</v>
      </c>
      <c r="I71" s="244">
        <v>3554.397823</v>
      </c>
      <c r="J71" s="244">
        <v>0</v>
      </c>
      <c r="K71" s="244">
        <v>9380.516097</v>
      </c>
      <c r="L71" s="244">
        <v>15064.777842</v>
      </c>
      <c r="M71" s="244">
        <f t="shared" si="6"/>
        <v>27999.691762</v>
      </c>
      <c r="O71" s="21" t="s">
        <v>281</v>
      </c>
      <c r="P71" s="284">
        <f>SUM(B$66:B71)</f>
        <v>54320.60875518</v>
      </c>
      <c r="Q71" s="284">
        <f>SUM(C$66:C71)</f>
        <v>3585.01232456001</v>
      </c>
      <c r="R71" s="284">
        <f>SUM(D$66:D71)</f>
        <v>104968.195361523</v>
      </c>
      <c r="S71" s="284">
        <f>SUM(E$66:E71)</f>
        <v>206555.805080361</v>
      </c>
      <c r="T71" s="284">
        <f>SUM($F$66:F71)</f>
        <v>369429.621521624</v>
      </c>
      <c r="U71" s="20">
        <f t="shared" si="4"/>
        <v>0</v>
      </c>
    </row>
    <row r="72" spans="1:21">
      <c r="A72" s="293">
        <v>45839</v>
      </c>
      <c r="B72" s="313">
        <f>('GMV销售额波动分析（分月、年）'!B8+'GMV销售额波动分析（分月、年）'!C8)/10000</f>
        <v>8752.10629835002</v>
      </c>
      <c r="C72" s="313">
        <f>'GMV销售额波动分析（分月、年）'!D8/10000</f>
        <v>295.717836960001</v>
      </c>
      <c r="D72" s="313">
        <f>'GMV销售额波动分析（分月、年）'!E8/10000</f>
        <v>7512.59649877998</v>
      </c>
      <c r="E72" s="313">
        <f>('GMV销售额波动分析（分月、年）'!F8+'GMV销售额波动分析（分月、年）'!G8)/10000</f>
        <v>46471.8338846404</v>
      </c>
      <c r="F72" s="313">
        <f t="shared" si="5"/>
        <v>63032.2545187304</v>
      </c>
      <c r="H72" s="292">
        <v>45839</v>
      </c>
      <c r="I72" s="244">
        <v>4542.41739399996</v>
      </c>
      <c r="J72" s="244">
        <v>0</v>
      </c>
      <c r="K72" s="244">
        <v>3666.354681</v>
      </c>
      <c r="L72" s="244">
        <v>4206.179652</v>
      </c>
      <c r="M72" s="244">
        <f t="shared" si="6"/>
        <v>12414.951727</v>
      </c>
      <c r="O72" s="21" t="s">
        <v>282</v>
      </c>
      <c r="P72" s="284">
        <f>SUM(B$66:B72)</f>
        <v>63072.71505353</v>
      </c>
      <c r="Q72" s="284">
        <f>SUM(C$66:C72)</f>
        <v>3880.73016152001</v>
      </c>
      <c r="R72" s="284">
        <f>SUM(D$66:D72)</f>
        <v>112480.791860303</v>
      </c>
      <c r="S72" s="284">
        <f>SUM(E$66:E72)</f>
        <v>253027.638965001</v>
      </c>
      <c r="T72" s="284">
        <f>SUM($F$66:F72)</f>
        <v>432461.876040354</v>
      </c>
      <c r="U72" s="20">
        <f t="shared" si="4"/>
        <v>0</v>
      </c>
    </row>
    <row r="73" spans="1:21">
      <c r="A73" s="293">
        <v>45870</v>
      </c>
      <c r="B73" s="313"/>
      <c r="C73" s="313"/>
      <c r="D73" s="313"/>
      <c r="E73" s="313"/>
      <c r="F73" s="313">
        <f t="shared" si="5"/>
        <v>0</v>
      </c>
      <c r="H73" s="292">
        <v>45870</v>
      </c>
      <c r="M73" s="244">
        <f t="shared" si="6"/>
        <v>0</v>
      </c>
      <c r="O73" s="21" t="s">
        <v>283</v>
      </c>
      <c r="P73" s="284">
        <f>SUM(B$66:B73)</f>
        <v>63072.71505353</v>
      </c>
      <c r="Q73" s="284">
        <f>SUM(C$66:C73)</f>
        <v>3880.73016152001</v>
      </c>
      <c r="R73" s="284">
        <f>SUM(D$66:D73)</f>
        <v>112480.791860303</v>
      </c>
      <c r="S73" s="284">
        <f>SUM(E$66:E73)</f>
        <v>253027.638965001</v>
      </c>
      <c r="T73" s="284">
        <f>SUM($F$66:F73)</f>
        <v>432461.876040354</v>
      </c>
      <c r="U73" s="20">
        <f t="shared" si="4"/>
        <v>0</v>
      </c>
    </row>
    <row r="74" spans="1:21">
      <c r="A74" s="293">
        <v>45901</v>
      </c>
      <c r="B74" s="313"/>
      <c r="C74" s="313"/>
      <c r="D74" s="313"/>
      <c r="E74" s="313"/>
      <c r="F74" s="313">
        <f t="shared" si="5"/>
        <v>0</v>
      </c>
      <c r="H74" s="292">
        <v>45901</v>
      </c>
      <c r="M74" s="244">
        <f t="shared" si="6"/>
        <v>0</v>
      </c>
      <c r="O74" s="21" t="s">
        <v>284</v>
      </c>
      <c r="P74" s="284">
        <f>SUM(B$66:B74)</f>
        <v>63072.71505353</v>
      </c>
      <c r="Q74" s="284">
        <f>SUM(C$66:C74)</f>
        <v>3880.73016152001</v>
      </c>
      <c r="R74" s="284">
        <f>SUM(D$66:D74)</f>
        <v>112480.791860303</v>
      </c>
      <c r="S74" s="284">
        <f>SUM(E$66:E74)</f>
        <v>253027.638965001</v>
      </c>
      <c r="T74" s="284">
        <f>SUM($F$66:F74)</f>
        <v>432461.876040354</v>
      </c>
      <c r="U74" s="20">
        <f t="shared" si="4"/>
        <v>0</v>
      </c>
    </row>
    <row r="75" spans="1:21">
      <c r="A75" s="293">
        <v>45931</v>
      </c>
      <c r="B75" s="313"/>
      <c r="C75" s="313"/>
      <c r="D75" s="313"/>
      <c r="E75" s="313"/>
      <c r="F75" s="313">
        <f t="shared" si="5"/>
        <v>0</v>
      </c>
      <c r="H75" s="292">
        <v>45931</v>
      </c>
      <c r="M75" s="244">
        <f t="shared" si="6"/>
        <v>0</v>
      </c>
      <c r="O75" s="21" t="s">
        <v>285</v>
      </c>
      <c r="P75" s="284">
        <f>SUM(B$66:B75)</f>
        <v>63072.71505353</v>
      </c>
      <c r="Q75" s="284">
        <f>SUM(C$66:C75)</f>
        <v>3880.73016152001</v>
      </c>
      <c r="R75" s="284">
        <f>SUM(D$66:D75)</f>
        <v>112480.791860303</v>
      </c>
      <c r="S75" s="284">
        <f>SUM(E$66:E75)</f>
        <v>253027.638965001</v>
      </c>
      <c r="T75" s="284">
        <f>SUM($F$66:F75)</f>
        <v>432461.876040354</v>
      </c>
      <c r="U75" s="20">
        <f t="shared" si="4"/>
        <v>0</v>
      </c>
    </row>
    <row r="76" spans="1:21">
      <c r="A76" s="293">
        <v>45962</v>
      </c>
      <c r="B76" s="313"/>
      <c r="C76" s="313"/>
      <c r="D76" s="313"/>
      <c r="E76" s="313"/>
      <c r="F76" s="313">
        <f t="shared" si="5"/>
        <v>0</v>
      </c>
      <c r="H76" s="292">
        <v>45962</v>
      </c>
      <c r="M76" s="244">
        <f t="shared" si="6"/>
        <v>0</v>
      </c>
      <c r="O76" s="21" t="s">
        <v>286</v>
      </c>
      <c r="P76" s="284">
        <f>SUM(B$66:B76)</f>
        <v>63072.71505353</v>
      </c>
      <c r="Q76" s="284">
        <f>SUM(C$66:C76)</f>
        <v>3880.73016152001</v>
      </c>
      <c r="R76" s="284">
        <f>SUM(D$66:D76)</f>
        <v>112480.791860303</v>
      </c>
      <c r="S76" s="284">
        <f>SUM(E$66:E76)</f>
        <v>253027.638965001</v>
      </c>
      <c r="T76" s="284">
        <f>SUM($F$66:F76)</f>
        <v>432461.876040354</v>
      </c>
      <c r="U76" s="20">
        <f t="shared" si="4"/>
        <v>0</v>
      </c>
    </row>
    <row r="77" spans="1:21">
      <c r="A77" s="293">
        <v>45992</v>
      </c>
      <c r="B77" s="313"/>
      <c r="C77" s="313"/>
      <c r="D77" s="313"/>
      <c r="E77" s="313"/>
      <c r="F77" s="313">
        <f t="shared" si="5"/>
        <v>0</v>
      </c>
      <c r="H77" s="292">
        <v>45992</v>
      </c>
      <c r="M77" s="244">
        <f t="shared" si="6"/>
        <v>0</v>
      </c>
      <c r="O77" s="21" t="s">
        <v>287</v>
      </c>
      <c r="P77" s="284">
        <f>SUM(B$66:B77)</f>
        <v>63072.71505353</v>
      </c>
      <c r="Q77" s="284">
        <f>SUM(C$66:C77)</f>
        <v>3880.73016152001</v>
      </c>
      <c r="R77" s="284">
        <f>SUM(D$66:D77)</f>
        <v>112480.791860303</v>
      </c>
      <c r="S77" s="284">
        <f>SUM(E$66:E77)</f>
        <v>253027.638965001</v>
      </c>
      <c r="T77" s="284">
        <f>SUM($F$66:F77)</f>
        <v>432461.876040354</v>
      </c>
      <c r="U77" s="20">
        <f t="shared" si="4"/>
        <v>0</v>
      </c>
    </row>
    <row r="78" spans="1:15">
      <c r="A78" s="259"/>
      <c r="H78" s="259"/>
      <c r="O78" s="21"/>
    </row>
    <row r="79" spans="1:1">
      <c r="A79" s="259"/>
    </row>
    <row r="80" hidden="1" spans="1:6">
      <c r="A80" s="1" t="s">
        <v>288</v>
      </c>
      <c r="B80" s="257">
        <f>SUM(B6:B17)</f>
        <v>183990.9941432</v>
      </c>
      <c r="C80" s="257">
        <f>SUM(C6:C17)</f>
        <v>950273.64757616</v>
      </c>
      <c r="D80" s="257">
        <f>SUM(D6:D17)</f>
        <v>258196.5061445</v>
      </c>
      <c r="E80" s="257">
        <f>SUM(E6:E17)</f>
        <v>65422.82125276</v>
      </c>
      <c r="F80" s="257">
        <f t="shared" ref="F80:F85" si="7">SUM(B80:E80)</f>
        <v>1457883.96911662</v>
      </c>
    </row>
    <row r="81" hidden="1" spans="1:13">
      <c r="A81" s="1" t="s">
        <v>289</v>
      </c>
      <c r="B81" s="257">
        <f>SUM(B18:B29)</f>
        <v>149783.38918259</v>
      </c>
      <c r="C81" s="257">
        <f>SUM(C18:C29)</f>
        <v>1285695.46090084</v>
      </c>
      <c r="D81" s="257">
        <f>SUM(D18:D29)</f>
        <v>557804.694125441</v>
      </c>
      <c r="E81" s="257">
        <f>SUM(E18:E29)</f>
        <v>155448.04063288</v>
      </c>
      <c r="F81" s="257">
        <f t="shared" si="7"/>
        <v>2148731.58484175</v>
      </c>
      <c r="H81" s="130"/>
      <c r="M81" s="244">
        <f>SUM(M42:M53)</f>
        <v>114296.39380799</v>
      </c>
    </row>
    <row r="82" hidden="1" spans="1:13">
      <c r="A82" s="1" t="s">
        <v>290</v>
      </c>
      <c r="B82" s="257">
        <f>SUM(B30:B41)</f>
        <v>155381.74989735</v>
      </c>
      <c r="C82" s="257">
        <f>SUM(C30:C41)</f>
        <v>516829.917712241</v>
      </c>
      <c r="D82" s="257">
        <f>SUM(D30:D41)</f>
        <v>576394.500606709</v>
      </c>
      <c r="E82" s="257">
        <f>SUM(E30:E41)</f>
        <v>365636.79818329</v>
      </c>
      <c r="F82" s="257">
        <f t="shared" si="7"/>
        <v>1614242.96639959</v>
      </c>
      <c r="M82" s="244" t="e">
        <f>M81-'[33]代运营店铺GMV统计2023年1-12月'!$AS$15</f>
        <v>#REF!</v>
      </c>
    </row>
    <row r="83" spans="1:20">
      <c r="A83" s="1" t="s">
        <v>291</v>
      </c>
      <c r="B83" s="257">
        <f>SUM(B42:B48)</f>
        <v>183620.424889</v>
      </c>
      <c r="C83" s="257">
        <f>SUM(C42:C48)</f>
        <v>169144.299102</v>
      </c>
      <c r="D83" s="257">
        <f>SUM(D42:D48)</f>
        <v>290042.846422099</v>
      </c>
      <c r="E83" s="257">
        <f>SUM(E42:E48)</f>
        <v>338888.550267389</v>
      </c>
      <c r="F83" s="257">
        <f t="shared" si="7"/>
        <v>981696.120680488</v>
      </c>
      <c r="M83" s="244">
        <f>SUM(M66:M77)</f>
        <v>147946.07267717</v>
      </c>
      <c r="O83" s="4" t="s">
        <v>199</v>
      </c>
      <c r="P83" s="284">
        <f>P72-P60</f>
        <v>-46465.6991693899</v>
      </c>
      <c r="Q83" s="284">
        <f>Q72-Q60</f>
        <v>-21560.10963298</v>
      </c>
      <c r="R83" s="284">
        <f>R72-R60</f>
        <v>-67412.4296774174</v>
      </c>
      <c r="S83" s="284">
        <f>S72-S60</f>
        <v>54301.5254526032</v>
      </c>
      <c r="T83" s="284">
        <f>T72-T60</f>
        <v>-81136.7130271841</v>
      </c>
    </row>
    <row r="84" spans="1:20">
      <c r="A84" s="1" t="s">
        <v>292</v>
      </c>
      <c r="B84" s="257">
        <f>SUM(B54:B60)</f>
        <v>109538.41422292</v>
      </c>
      <c r="C84" s="257">
        <f>SUM(C54:C60)</f>
        <v>25440.8397945</v>
      </c>
      <c r="D84" s="257">
        <f>SUM(D54:D60)</f>
        <v>179893.22153772</v>
      </c>
      <c r="E84" s="257">
        <f>SUM(E54:E60)</f>
        <v>198726.113512398</v>
      </c>
      <c r="F84" s="257">
        <f t="shared" si="7"/>
        <v>513598.589067538</v>
      </c>
      <c r="H84" s="244"/>
      <c r="M84" s="244">
        <f>M83-'[36]代运营店铺GMV统计2025年1-12月'!$AR$14/10000</f>
        <v>0</v>
      </c>
      <c r="P84" s="440">
        <f>P83/P60</f>
        <v>-0.424195470593798</v>
      </c>
      <c r="Q84" s="440">
        <f>Q83/Q60</f>
        <v>-0.847460610857705</v>
      </c>
      <c r="R84" s="440">
        <f>R83/R60</f>
        <v>-0.374735796608558</v>
      </c>
      <c r="S84" s="440">
        <f>S83/S60</f>
        <v>0.273248062334875</v>
      </c>
      <c r="T84" s="440">
        <f>T83/T60</f>
        <v>-0.157976900159503</v>
      </c>
    </row>
    <row r="85" spans="1:6">
      <c r="A85" s="1" t="s">
        <v>293</v>
      </c>
      <c r="B85" s="257">
        <f>SUM(B66:B77)</f>
        <v>63072.71505353</v>
      </c>
      <c r="C85" s="257">
        <f>SUM(C66:C77)</f>
        <v>3880.73016152001</v>
      </c>
      <c r="D85" s="257">
        <f>SUM(D66:D77)</f>
        <v>112480.791860303</v>
      </c>
      <c r="E85" s="257">
        <f>SUM(E66:E77)</f>
        <v>253027.638965001</v>
      </c>
      <c r="F85" s="257">
        <f t="shared" si="7"/>
        <v>432461.876040354</v>
      </c>
    </row>
    <row r="87" hidden="1" spans="1:6">
      <c r="A87" s="1" t="s">
        <v>294</v>
      </c>
      <c r="B87" s="231">
        <f>B80/$F$80</f>
        <v>0.126204141098202</v>
      </c>
      <c r="C87" s="231">
        <f>C80/$F$80</f>
        <v>0.651817063433356</v>
      </c>
      <c r="D87" s="231">
        <f>D80/$F$80</f>
        <v>0.177103604686009</v>
      </c>
      <c r="E87" s="231">
        <f>E80/$F$80</f>
        <v>0.0448751907824337</v>
      </c>
      <c r="F87" s="130">
        <f t="shared" ref="F87:F92" si="8">SUM(B87:E87)</f>
        <v>1</v>
      </c>
    </row>
    <row r="88" hidden="1" spans="1:6">
      <c r="A88" s="1" t="s">
        <v>295</v>
      </c>
      <c r="B88" s="231">
        <f>B81/$F$81</f>
        <v>0.0697078175046332</v>
      </c>
      <c r="C88" s="231">
        <f>C81/$F$81</f>
        <v>0.598350892205798</v>
      </c>
      <c r="D88" s="231">
        <f>D81/$F$81</f>
        <v>0.259597195880807</v>
      </c>
      <c r="E88" s="231">
        <f>E81/$F$81</f>
        <v>0.0723440944087618</v>
      </c>
      <c r="F88" s="130">
        <f t="shared" si="8"/>
        <v>1</v>
      </c>
    </row>
    <row r="89" hidden="1" spans="1:6">
      <c r="A89" s="1" t="s">
        <v>296</v>
      </c>
      <c r="B89" s="148">
        <f>B82/$F$82</f>
        <v>0.0962567303259891</v>
      </c>
      <c r="C89" s="148">
        <f>C82/$F$82</f>
        <v>0.320168604398493</v>
      </c>
      <c r="D89" s="148">
        <f>D82/$F$82</f>
        <v>0.357067995713372</v>
      </c>
      <c r="E89" s="148">
        <f>E82/$F$82</f>
        <v>0.226506669562146</v>
      </c>
      <c r="F89" s="244">
        <f t="shared" si="8"/>
        <v>1</v>
      </c>
    </row>
    <row r="90" spans="1:6">
      <c r="A90" s="1" t="s">
        <v>297</v>
      </c>
      <c r="B90" s="148">
        <f>B83/$F$83</f>
        <v>0.187044056730833</v>
      </c>
      <c r="C90" s="148">
        <f>C83/$F$83</f>
        <v>0.172298021290696</v>
      </c>
      <c r="D90" s="148">
        <f>D83/$F$83</f>
        <v>0.295450741132651</v>
      </c>
      <c r="E90" s="148">
        <f>E83/$F$83</f>
        <v>0.34520718084582</v>
      </c>
      <c r="F90" s="244">
        <f t="shared" si="8"/>
        <v>1</v>
      </c>
    </row>
    <row r="91" spans="1:6">
      <c r="A91" s="1" t="s">
        <v>298</v>
      </c>
      <c r="B91" s="148">
        <f>B84/$F$84</f>
        <v>0.213276314527639</v>
      </c>
      <c r="C91" s="148">
        <f>C84/$F$84</f>
        <v>0.0495344814725621</v>
      </c>
      <c r="D91" s="148">
        <f>D84/$F$84</f>
        <v>0.350260349944349</v>
      </c>
      <c r="E91" s="148">
        <f>E84/$F$84</f>
        <v>0.386928854055449</v>
      </c>
      <c r="F91" s="244">
        <f t="shared" si="8"/>
        <v>1</v>
      </c>
    </row>
    <row r="92" spans="1:6">
      <c r="A92" s="1" t="s">
        <v>299</v>
      </c>
      <c r="B92" s="148">
        <f>B85/$F$85</f>
        <v>0.145845723167618</v>
      </c>
      <c r="C92" s="148">
        <f>C85/$F$85</f>
        <v>0.00897357750248924</v>
      </c>
      <c r="D92" s="148">
        <f>D85/$F$85</f>
        <v>0.26009412179909</v>
      </c>
      <c r="E92" s="148">
        <f>E85/$F$85</f>
        <v>0.585086577530803</v>
      </c>
      <c r="F92" s="244">
        <f t="shared" si="8"/>
        <v>1</v>
      </c>
    </row>
    <row r="93" spans="1:15">
      <c r="A93" s="1" t="s">
        <v>300</v>
      </c>
      <c r="B93" s="244">
        <f>B85-B84</f>
        <v>-46465.69916939</v>
      </c>
      <c r="C93" s="244">
        <f>C85-C84</f>
        <v>-21560.10963298</v>
      </c>
      <c r="D93" s="244">
        <f>D85-D84</f>
        <v>-67412.4296774174</v>
      </c>
      <c r="E93" s="244">
        <f>E85-E84</f>
        <v>54301.5254526032</v>
      </c>
      <c r="F93" s="244">
        <f>F85-F84</f>
        <v>-81136.713027184</v>
      </c>
      <c r="O93" s="1"/>
    </row>
    <row r="94" spans="1:6">
      <c r="A94" s="1" t="s">
        <v>43</v>
      </c>
      <c r="B94" s="148">
        <f>B93/B84</f>
        <v>-0.424195470593799</v>
      </c>
      <c r="C94" s="148">
        <f>C93/C84</f>
        <v>-0.847460610857705</v>
      </c>
      <c r="D94" s="148">
        <f>D93/D84</f>
        <v>-0.374735796608558</v>
      </c>
      <c r="E94" s="148">
        <f>E93/E84</f>
        <v>0.273248062334875</v>
      </c>
      <c r="F94" s="148">
        <f>F93/F84</f>
        <v>-0.157976900159503</v>
      </c>
    </row>
    <row r="95" spans="4:4">
      <c r="D95" s="148"/>
    </row>
    <row r="97" spans="1:1">
      <c r="A97" s="264">
        <v>45108</v>
      </c>
    </row>
    <row r="98" spans="1:1">
      <c r="A98" s="264">
        <v>45474</v>
      </c>
    </row>
    <row r="99" spans="1:1">
      <c r="A99" s="264">
        <v>45839</v>
      </c>
    </row>
  </sheetData>
  <pageMargins left="0.75" right="0.75" top="1" bottom="1" header="0.5" footer="0.5"/>
  <headerFooter/>
  <ignoredErrors>
    <ignoredError sqref="M6:M29 F6:F32" formulaRange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12"/>
  <sheetViews>
    <sheetView workbookViewId="0">
      <pane ySplit="3" topLeftCell="A4" activePane="bottomLeft" state="frozen"/>
      <selection/>
      <selection pane="bottomLeft" activeCell="B21" sqref="B21"/>
    </sheetView>
  </sheetViews>
  <sheetFormatPr defaultColWidth="8.89166666666667" defaultRowHeight="13.5"/>
  <cols>
    <col min="1" max="1" width="9" style="1"/>
    <col min="2" max="3" width="9.5" style="130" customWidth="1"/>
    <col min="4" max="4" width="10.25" style="130" customWidth="1"/>
    <col min="5" max="7" width="9.5" style="130" customWidth="1"/>
    <col min="8" max="8" width="9.5" style="1" customWidth="1"/>
    <col min="9" max="9" width="9.5" style="2" customWidth="1"/>
    <col min="10" max="10" width="8.875" style="2" customWidth="1"/>
    <col min="11" max="11" width="3.875" style="1" customWidth="1"/>
    <col min="12" max="12" width="13.625" style="1" customWidth="1"/>
    <col min="13" max="13" width="12.25" style="257" customWidth="1"/>
    <col min="14" max="14" width="9.375" style="257" customWidth="1"/>
    <col min="15" max="15" width="5.75" style="130" customWidth="1"/>
    <col min="16" max="16" width="7.875" style="1" customWidth="1"/>
    <col min="17" max="17" width="10.125" style="130" customWidth="1"/>
    <col min="18" max="18" width="10.125" style="6" customWidth="1"/>
    <col min="19" max="19" width="11.5" style="6" customWidth="1"/>
    <col min="20" max="20" width="12.5" style="6" customWidth="1"/>
    <col min="21" max="23" width="10.125" style="6" customWidth="1"/>
    <col min="24" max="24" width="6.75" style="6" customWidth="1"/>
    <col min="25" max="25" width="5.5" style="6" customWidth="1"/>
    <col min="26" max="34" width="9.25" style="6" customWidth="1"/>
    <col min="35" max="35" width="5.625" customWidth="1"/>
    <col min="36" max="36" width="7.25" style="5" hidden="1" customWidth="1"/>
    <col min="37" max="39" width="8.875" hidden="1" customWidth="1"/>
    <col min="40" max="40" width="7.25" hidden="1" customWidth="1"/>
    <col min="41" max="43" width="8.875" hidden="1" customWidth="1"/>
    <col min="44" max="44" width="7.25" hidden="1" customWidth="1"/>
  </cols>
  <sheetData>
    <row r="1" spans="1:17">
      <c r="A1" s="1" t="s">
        <v>301</v>
      </c>
      <c r="K1" s="1" t="s">
        <v>148</v>
      </c>
      <c r="L1" s="1" t="s">
        <v>302</v>
      </c>
      <c r="M1" s="257" t="s">
        <v>303</v>
      </c>
      <c r="N1" s="257" t="s">
        <v>304</v>
      </c>
      <c r="P1" s="20"/>
      <c r="Q1" s="13"/>
    </row>
    <row r="2" spans="1:36">
      <c r="A2" s="1" t="s">
        <v>305</v>
      </c>
      <c r="L2" s="1" t="s">
        <v>306</v>
      </c>
      <c r="M2" s="257">
        <v>21763660.3581436</v>
      </c>
      <c r="N2" s="257">
        <f t="shared" ref="N2:N14" si="0">M2/10000</f>
        <v>2176.36603581436</v>
      </c>
      <c r="P2" s="421" t="s">
        <v>118</v>
      </c>
      <c r="Q2" s="13"/>
      <c r="R2" s="20"/>
      <c r="S2" s="20"/>
      <c r="T2" s="20"/>
      <c r="U2" s="20"/>
      <c r="V2" s="20"/>
      <c r="W2" s="20"/>
      <c r="X2" s="20"/>
      <c r="Y2" s="20"/>
      <c r="Z2" s="421" t="s">
        <v>119</v>
      </c>
      <c r="AA2" s="20"/>
      <c r="AB2" s="20"/>
      <c r="AC2" s="20"/>
      <c r="AD2" s="20"/>
      <c r="AE2" s="20"/>
      <c r="AF2" s="20"/>
      <c r="AG2" s="20"/>
      <c r="AH2" s="20"/>
      <c r="AJ2" s="427" t="s">
        <v>168</v>
      </c>
    </row>
    <row r="3" spans="1:44">
      <c r="A3" s="1" t="s">
        <v>84</v>
      </c>
      <c r="B3" s="363" t="s">
        <v>307</v>
      </c>
      <c r="C3" s="363" t="s">
        <v>308</v>
      </c>
      <c r="D3" s="363" t="s">
        <v>309</v>
      </c>
      <c r="E3" s="363" t="s">
        <v>310</v>
      </c>
      <c r="F3" s="363" t="s">
        <v>311</v>
      </c>
      <c r="G3" s="363" t="s">
        <v>312</v>
      </c>
      <c r="H3" s="217" t="s">
        <v>15</v>
      </c>
      <c r="I3" s="2" t="s">
        <v>313</v>
      </c>
      <c r="L3" s="1" t="s">
        <v>314</v>
      </c>
      <c r="M3" s="257">
        <v>7176144.82837475</v>
      </c>
      <c r="N3" s="257">
        <f t="shared" si="0"/>
        <v>717.614482837475</v>
      </c>
      <c r="P3" s="20" t="s">
        <v>84</v>
      </c>
      <c r="Q3" s="424" t="s">
        <v>307</v>
      </c>
      <c r="R3" s="424" t="s">
        <v>308</v>
      </c>
      <c r="S3" s="424" t="s">
        <v>309</v>
      </c>
      <c r="T3" s="424" t="s">
        <v>310</v>
      </c>
      <c r="U3" s="424" t="s">
        <v>311</v>
      </c>
      <c r="V3" s="424" t="s">
        <v>312</v>
      </c>
      <c r="W3" s="424" t="s">
        <v>15</v>
      </c>
      <c r="X3" s="424" t="s">
        <v>313</v>
      </c>
      <c r="Y3" s="424"/>
      <c r="Z3" s="424" t="s">
        <v>84</v>
      </c>
      <c r="AA3" s="424" t="s">
        <v>307</v>
      </c>
      <c r="AB3" s="424" t="s">
        <v>308</v>
      </c>
      <c r="AC3" s="424" t="s">
        <v>309</v>
      </c>
      <c r="AD3" s="424" t="s">
        <v>310</v>
      </c>
      <c r="AE3" s="424" t="s">
        <v>311</v>
      </c>
      <c r="AF3" s="424" t="s">
        <v>312</v>
      </c>
      <c r="AG3" s="424" t="s">
        <v>15</v>
      </c>
      <c r="AH3" s="424" t="s">
        <v>313</v>
      </c>
      <c r="AJ3" s="265" t="s">
        <v>84</v>
      </c>
      <c r="AK3" s="130" t="s">
        <v>307</v>
      </c>
      <c r="AL3" s="130" t="s">
        <v>308</v>
      </c>
      <c r="AM3" s="130" t="s">
        <v>309</v>
      </c>
      <c r="AN3" s="130" t="s">
        <v>310</v>
      </c>
      <c r="AO3" s="130" t="s">
        <v>311</v>
      </c>
      <c r="AP3" s="130" t="s">
        <v>312</v>
      </c>
      <c r="AQ3" s="1" t="s">
        <v>15</v>
      </c>
      <c r="AR3" s="2" t="s">
        <v>313</v>
      </c>
    </row>
    <row r="4" spans="1:44">
      <c r="A4" s="259">
        <v>45658</v>
      </c>
      <c r="B4" s="257">
        <f>VLOOKUP(B$3,$L$1:$N$15,3,0)</f>
        <v>6136.91160612671</v>
      </c>
      <c r="C4" s="257">
        <f>VLOOKUP(C$3,$L$1:$N$15,3,0)</f>
        <v>1001.62340298899</v>
      </c>
      <c r="D4" s="257">
        <f>VLOOKUP(D$3,$L$1:$N$15,3,0)</f>
        <v>12126.94363261</v>
      </c>
      <c r="E4" s="257">
        <f>VLOOKUP(E$3,$L$1:$N$15,3,0)</f>
        <v>118.95726827</v>
      </c>
      <c r="F4" s="257">
        <f>VLOOKUP(F$3,$L$1:$N$15,3,0)</f>
        <v>990.527200999997</v>
      </c>
      <c r="G4" s="257">
        <f>'GMV表-商品大类'!D66-SUM(B4:F4)</f>
        <v>-18.7777986151013</v>
      </c>
      <c r="H4" s="229">
        <f t="shared" ref="H4:H15" si="1">SUM(B4:G4)</f>
        <v>20356.1853123806</v>
      </c>
      <c r="I4" s="2">
        <f>H4-'GMV表-商品大类'!D66</f>
        <v>0</v>
      </c>
      <c r="L4" s="1" t="s">
        <v>315</v>
      </c>
      <c r="M4" s="257">
        <v>329600841.863133</v>
      </c>
      <c r="N4" s="257">
        <f t="shared" si="0"/>
        <v>32960.0841863133</v>
      </c>
      <c r="P4" s="422">
        <v>45292</v>
      </c>
      <c r="Q4" s="425">
        <v>8007.145035</v>
      </c>
      <c r="R4" s="159">
        <v>1178.901659</v>
      </c>
      <c r="S4" s="159">
        <v>11963.610301</v>
      </c>
      <c r="T4" s="159">
        <v>161.486814</v>
      </c>
      <c r="U4" s="159">
        <v>728.835798</v>
      </c>
      <c r="V4" s="159">
        <f t="shared" ref="V4:V15" si="2">W4-SUM(Q4:U4)</f>
        <v>-1.87553000009575</v>
      </c>
      <c r="W4" s="159">
        <v>22038.1040769999</v>
      </c>
      <c r="X4" s="159">
        <v>0</v>
      </c>
      <c r="Y4" s="159"/>
      <c r="Z4" s="422">
        <v>44927</v>
      </c>
      <c r="AA4" s="159">
        <v>13288.648332</v>
      </c>
      <c r="AB4" s="159">
        <v>2371.851396</v>
      </c>
      <c r="AC4" s="159">
        <v>32898.797496</v>
      </c>
      <c r="AD4" s="159">
        <v>82.789323</v>
      </c>
      <c r="AE4" s="159">
        <v>231.639074</v>
      </c>
      <c r="AF4" s="159">
        <v>-36.7420080000957</v>
      </c>
      <c r="AG4" s="159">
        <v>48836.9836129999</v>
      </c>
      <c r="AH4" s="159">
        <v>0</v>
      </c>
      <c r="AJ4" s="428">
        <v>44562</v>
      </c>
      <c r="AK4" s="257">
        <v>9884.643773</v>
      </c>
      <c r="AL4" s="257">
        <v>2395.768087</v>
      </c>
      <c r="AM4" s="257">
        <v>19925.160243</v>
      </c>
      <c r="AN4" s="257">
        <v>97.152787</v>
      </c>
      <c r="AO4" s="257">
        <v>97.262358</v>
      </c>
      <c r="AP4" s="257">
        <v>32.0575810000046</v>
      </c>
      <c r="AQ4" s="229">
        <v>32432.044829</v>
      </c>
      <c r="AR4" s="2">
        <v>0</v>
      </c>
    </row>
    <row r="5" spans="1:44">
      <c r="A5" s="259">
        <v>45689</v>
      </c>
      <c r="B5" s="257">
        <f>VLOOKUP(B$3,$L$18:$N$32,3,0)</f>
        <v>5256.2006174537</v>
      </c>
      <c r="C5" s="257">
        <f>VLOOKUP(C$3,$L$18:$N$32,3,0)</f>
        <v>1095.87629618921</v>
      </c>
      <c r="D5" s="257">
        <f>VLOOKUP(D$3,$L$18:$N$32,3,0)</f>
        <v>11005.4741035066</v>
      </c>
      <c r="E5" s="257">
        <f>VLOOKUP(E$3,$L$18:$N$32,3,0)</f>
        <v>246.71840856</v>
      </c>
      <c r="F5" s="257">
        <f>VLOOKUP(F$3,$L$18:$N$32,3,0)</f>
        <v>1046.8678385</v>
      </c>
      <c r="G5" s="257">
        <f>'GMV表-商品大类'!D67-SUM(B5:F5)</f>
        <v>-0.605749708807707</v>
      </c>
      <c r="H5" s="229">
        <f t="shared" si="1"/>
        <v>18650.5315145007</v>
      </c>
      <c r="I5" s="2">
        <f>H5-'GMV表-商品大类'!D67</f>
        <v>0</v>
      </c>
      <c r="L5" s="1" t="s">
        <v>316</v>
      </c>
      <c r="M5" s="257">
        <v>162409.08690788</v>
      </c>
      <c r="N5" s="257">
        <f t="shared" si="0"/>
        <v>16.240908690788</v>
      </c>
      <c r="P5" s="422">
        <v>45323</v>
      </c>
      <c r="Q5" s="425">
        <v>8107.772535</v>
      </c>
      <c r="R5" s="159">
        <v>976.136992</v>
      </c>
      <c r="S5" s="159">
        <v>10649.628445</v>
      </c>
      <c r="T5" s="159">
        <v>163.129055</v>
      </c>
      <c r="U5" s="159">
        <v>738.267158</v>
      </c>
      <c r="V5" s="159">
        <f t="shared" si="2"/>
        <v>-4.31072100029996</v>
      </c>
      <c r="W5" s="159">
        <v>20630.6234639997</v>
      </c>
      <c r="X5" s="159">
        <v>0</v>
      </c>
      <c r="Y5" s="159"/>
      <c r="Z5" s="422">
        <v>44958</v>
      </c>
      <c r="AA5" s="159">
        <v>11012.897566</v>
      </c>
      <c r="AB5" s="159">
        <v>2054.445485</v>
      </c>
      <c r="AC5" s="159">
        <v>31469.652516</v>
      </c>
      <c r="AD5" s="159">
        <v>41.977595</v>
      </c>
      <c r="AE5" s="159">
        <v>354.575482</v>
      </c>
      <c r="AF5" s="159">
        <v>84.4155249999967</v>
      </c>
      <c r="AG5" s="159">
        <v>45017.964169</v>
      </c>
      <c r="AH5" s="159">
        <v>0</v>
      </c>
      <c r="AJ5" s="428">
        <v>44593</v>
      </c>
      <c r="AK5" s="257">
        <v>6650.341342</v>
      </c>
      <c r="AL5" s="257">
        <v>2147.220716</v>
      </c>
      <c r="AM5" s="257">
        <v>16050.732448</v>
      </c>
      <c r="AN5" s="257">
        <v>59.040987</v>
      </c>
      <c r="AO5" s="257">
        <v>107.802769</v>
      </c>
      <c r="AP5" s="257">
        <v>218.664871000001</v>
      </c>
      <c r="AQ5" s="229">
        <v>25233.803133</v>
      </c>
      <c r="AR5" s="2">
        <v>0</v>
      </c>
    </row>
    <row r="6" spans="1:44">
      <c r="A6" s="259">
        <v>45717</v>
      </c>
      <c r="B6" s="257">
        <f>VLOOKUP(B$3,$L$35:$N$49,3,0)</f>
        <v>4185.86484455748</v>
      </c>
      <c r="C6" s="257">
        <f>VLOOKUP(C$3,$L$35:$N$49,3,0)</f>
        <v>886.275181580856</v>
      </c>
      <c r="D6" s="257">
        <f>VLOOKUP(D$3,$L$35:$N$49,3,0)</f>
        <v>12420.59851888</v>
      </c>
      <c r="E6" s="257">
        <f>VLOOKUP(E$3,$L$35:$N$49,3,0)</f>
        <v>243.343701340716</v>
      </c>
      <c r="F6" s="257">
        <f>VLOOKUP(F$3,$L$35:$N$49,3,0)</f>
        <v>1133.7676685</v>
      </c>
      <c r="G6" s="257">
        <f>'GMV表-商品大类'!D68-SUM(B6:F6)</f>
        <v>21.7568736815447</v>
      </c>
      <c r="H6" s="229">
        <f t="shared" si="1"/>
        <v>18891.6067885406</v>
      </c>
      <c r="I6" s="2">
        <f>H6-'GMV表-商品大类'!D68</f>
        <v>0</v>
      </c>
      <c r="L6" s="1" t="s">
        <v>317</v>
      </c>
      <c r="M6" s="257">
        <v>4195.5</v>
      </c>
      <c r="N6" s="257">
        <f t="shared" si="0"/>
        <v>0.41955</v>
      </c>
      <c r="P6" s="422">
        <v>45352</v>
      </c>
      <c r="Q6" s="425">
        <v>7833.407757</v>
      </c>
      <c r="R6" s="159">
        <v>1425.437198</v>
      </c>
      <c r="S6" s="159">
        <v>13347.026226</v>
      </c>
      <c r="T6" s="159">
        <v>152.420284</v>
      </c>
      <c r="U6" s="159">
        <v>1166.44722</v>
      </c>
      <c r="V6" s="159">
        <f t="shared" si="2"/>
        <v>82.8364707596047</v>
      </c>
      <c r="W6" s="159">
        <v>24007.5751557596</v>
      </c>
      <c r="X6" s="159">
        <v>0</v>
      </c>
      <c r="Y6" s="159"/>
      <c r="Z6" s="422">
        <v>44986</v>
      </c>
      <c r="AA6" s="159">
        <v>8861.178793</v>
      </c>
      <c r="AB6" s="159">
        <v>2290.569128</v>
      </c>
      <c r="AC6" s="159">
        <v>34891.965938</v>
      </c>
      <c r="AD6" s="159">
        <v>58.436207</v>
      </c>
      <c r="AE6" s="159">
        <v>659.284236</v>
      </c>
      <c r="AF6" s="159">
        <v>-8.20129099999758</v>
      </c>
      <c r="AG6" s="159">
        <v>46753.233011</v>
      </c>
      <c r="AH6" s="159">
        <v>0</v>
      </c>
      <c r="AJ6" s="428">
        <v>44621</v>
      </c>
      <c r="AK6" s="257">
        <v>6114.31281</v>
      </c>
      <c r="AL6" s="257">
        <v>3405.946431</v>
      </c>
      <c r="AM6" s="257">
        <v>33595.872679</v>
      </c>
      <c r="AN6" s="257">
        <v>71.032405</v>
      </c>
      <c r="AO6" s="257">
        <v>717.494836</v>
      </c>
      <c r="AP6" s="257">
        <v>475.799850000003</v>
      </c>
      <c r="AQ6" s="229">
        <v>44380.459011</v>
      </c>
      <c r="AR6" s="2">
        <v>0</v>
      </c>
    </row>
    <row r="7" spans="1:44">
      <c r="A7" s="259">
        <v>45748</v>
      </c>
      <c r="B7" s="257">
        <f>VLOOKUP(B$3,$L$52:$N$66,3,0)</f>
        <v>3633.77437919043</v>
      </c>
      <c r="C7" s="257">
        <f>VLOOKUP(C$3,$L$52:$N$66,3,0)</f>
        <v>913.841602</v>
      </c>
      <c r="D7" s="257">
        <f>VLOOKUP(D$3,$L$52:$N$66,3,0)</f>
        <v>11286.29713653</v>
      </c>
      <c r="E7" s="257">
        <f>VLOOKUP(E$3,$L$52:$N$66,3,0)</f>
        <v>418.136216</v>
      </c>
      <c r="F7" s="257">
        <f>VLOOKUP(F$3,$L$52:$N$66,3,0)</f>
        <v>1069.433215</v>
      </c>
      <c r="G7" s="257">
        <f>'GMV表-商品大类'!D69-SUM(B7:F7)</f>
        <v>-16.6934183996309</v>
      </c>
      <c r="H7" s="229">
        <f t="shared" si="1"/>
        <v>17304.7891303208</v>
      </c>
      <c r="I7" s="2">
        <f>H7-'GMV表-商品大类'!D69</f>
        <v>0</v>
      </c>
      <c r="L7" s="1" t="s">
        <v>318</v>
      </c>
      <c r="M7" s="257">
        <v>6856425.33</v>
      </c>
      <c r="N7" s="257">
        <f t="shared" si="0"/>
        <v>685.642533</v>
      </c>
      <c r="P7" s="422">
        <v>45383</v>
      </c>
      <c r="Q7" s="425">
        <v>8414.798639</v>
      </c>
      <c r="R7" s="159">
        <v>1072.043102</v>
      </c>
      <c r="S7" s="159">
        <v>13361.422427</v>
      </c>
      <c r="T7" s="159">
        <v>181.155425</v>
      </c>
      <c r="U7" s="159">
        <v>718.462542</v>
      </c>
      <c r="V7" s="159">
        <f t="shared" si="2"/>
        <v>113.920233159897</v>
      </c>
      <c r="W7" s="159">
        <v>23861.8023681599</v>
      </c>
      <c r="X7" s="159">
        <v>0</v>
      </c>
      <c r="Y7" s="159"/>
      <c r="Z7" s="422">
        <v>45017</v>
      </c>
      <c r="AA7" s="159">
        <v>7121.903211</v>
      </c>
      <c r="AB7" s="159">
        <v>2735.057825</v>
      </c>
      <c r="AC7" s="159">
        <v>28249.361143</v>
      </c>
      <c r="AD7" s="159">
        <v>164.805766</v>
      </c>
      <c r="AE7" s="159">
        <v>362.397844</v>
      </c>
      <c r="AF7" s="159">
        <v>-6.76878900000156</v>
      </c>
      <c r="AG7" s="159">
        <v>38626.757</v>
      </c>
      <c r="AH7" s="159">
        <v>0</v>
      </c>
      <c r="AJ7" s="428">
        <v>44652</v>
      </c>
      <c r="AK7" s="257">
        <v>5045.488451</v>
      </c>
      <c r="AL7" s="257">
        <v>4748.072605</v>
      </c>
      <c r="AM7" s="257">
        <v>24625.747218</v>
      </c>
      <c r="AN7" s="257">
        <v>96.921017</v>
      </c>
      <c r="AO7" s="257">
        <v>139.770511</v>
      </c>
      <c r="AP7" s="257">
        <v>311.360887999988</v>
      </c>
      <c r="AQ7" s="229">
        <v>34967.36069</v>
      </c>
      <c r="AR7" s="2">
        <v>0</v>
      </c>
    </row>
    <row r="8" spans="1:44">
      <c r="A8" s="259">
        <v>45778</v>
      </c>
      <c r="B8" s="257">
        <f>VLOOKUP(B$3,$L$69:$N$83,3,0)</f>
        <v>4773.87022638672</v>
      </c>
      <c r="C8" s="257">
        <f>VLOOKUP(C$3,$L$69:$N$83,3,0)</f>
        <v>833.379459260254</v>
      </c>
      <c r="D8" s="257">
        <f>VLOOKUP(D$3,$L$69:$N$83,3,0)</f>
        <v>9471.53853449332</v>
      </c>
      <c r="E8" s="257">
        <f>VLOOKUP(E$3,$L$69:$N$83,3,0)</f>
        <v>581.97344704</v>
      </c>
      <c r="F8" s="257">
        <f>VLOOKUP(F$3,$L$69:$N$83,3,0)</f>
        <v>1618.30656447592</v>
      </c>
      <c r="G8" s="257">
        <f>'GMV表-商品大类'!D70-SUM(B8:F8)</f>
        <v>11.4981629842878</v>
      </c>
      <c r="H8" s="229">
        <f t="shared" si="1"/>
        <v>17290.5663946405</v>
      </c>
      <c r="I8" s="2">
        <f>H8-'GMV表-商品大类'!D70</f>
        <v>0</v>
      </c>
      <c r="L8" s="1" t="s">
        <v>312</v>
      </c>
      <c r="M8" s="257">
        <v>15672.48</v>
      </c>
      <c r="N8" s="257">
        <f t="shared" si="0"/>
        <v>1.567248</v>
      </c>
      <c r="P8" s="422">
        <v>45413</v>
      </c>
      <c r="Q8" s="425">
        <v>8499.620609</v>
      </c>
      <c r="R8" s="159">
        <v>966.029834</v>
      </c>
      <c r="S8" s="159">
        <v>19570.3855098</v>
      </c>
      <c r="T8" s="159">
        <v>284.772143</v>
      </c>
      <c r="U8" s="159">
        <v>621.695762</v>
      </c>
      <c r="V8" s="159">
        <f t="shared" si="2"/>
        <v>6.00596734020655</v>
      </c>
      <c r="W8" s="159">
        <v>29948.5098251402</v>
      </c>
      <c r="X8" s="159">
        <v>0</v>
      </c>
      <c r="Y8" s="159"/>
      <c r="Z8" s="422">
        <v>45047</v>
      </c>
      <c r="AA8" s="159">
        <v>10431.345213</v>
      </c>
      <c r="AB8" s="159">
        <v>2253.559973</v>
      </c>
      <c r="AC8" s="159">
        <v>21805.577266</v>
      </c>
      <c r="AD8" s="159">
        <v>55.003518</v>
      </c>
      <c r="AE8" s="159">
        <v>265.457537</v>
      </c>
      <c r="AF8" s="159">
        <v>-4.02830200029712</v>
      </c>
      <c r="AG8" s="159">
        <v>34806.9152049997</v>
      </c>
      <c r="AH8" s="159">
        <v>0</v>
      </c>
      <c r="AJ8" s="428">
        <v>44682</v>
      </c>
      <c r="AK8" s="257">
        <v>7991.852979</v>
      </c>
      <c r="AL8" s="257">
        <v>3536.141616</v>
      </c>
      <c r="AM8" s="257">
        <v>27144.01596</v>
      </c>
      <c r="AN8" s="257">
        <v>106.16313</v>
      </c>
      <c r="AO8" s="257">
        <v>142.353821</v>
      </c>
      <c r="AP8" s="257">
        <v>161.280073000002</v>
      </c>
      <c r="AQ8" s="229">
        <v>39081.807579</v>
      </c>
      <c r="AR8" s="2">
        <v>0</v>
      </c>
    </row>
    <row r="9" spans="1:44">
      <c r="A9" s="259">
        <v>45809</v>
      </c>
      <c r="B9" s="257">
        <f>VLOOKUP(B$3,$L$87:$N$101,3,0)</f>
        <v>6039.90849726798</v>
      </c>
      <c r="C9" s="257">
        <f>VLOOKUP(C$3,$L$87:$N$101,3,0)</f>
        <v>690.586564902211</v>
      </c>
      <c r="D9" s="257">
        <f>VLOOKUP(D$3,$L$87:$N$101,3,0)</f>
        <v>3322.64694866</v>
      </c>
      <c r="E9" s="257">
        <f>VLOOKUP(E$3,$L$87:$N$101,3,0)</f>
        <v>524.371560992759</v>
      </c>
      <c r="F9" s="257">
        <f>VLOOKUP(F$3,$L$87:$N$101,3,0)</f>
        <v>1892.78448789892</v>
      </c>
      <c r="G9" s="257">
        <f>'GMV表-商品大类'!D71-SUM(B9:F9)</f>
        <v>4.2181614179317</v>
      </c>
      <c r="H9" s="229">
        <f t="shared" si="1"/>
        <v>12474.5162211398</v>
      </c>
      <c r="I9" s="2">
        <f>H9-'GMV表-商品大类'!D71</f>
        <v>0</v>
      </c>
      <c r="L9" s="1" t="s">
        <v>309</v>
      </c>
      <c r="M9" s="257">
        <v>121269436.3261</v>
      </c>
      <c r="N9" s="257">
        <f t="shared" si="0"/>
        <v>12126.94363261</v>
      </c>
      <c r="P9" s="422">
        <v>45444</v>
      </c>
      <c r="Q9" s="425">
        <v>7606.33099411898</v>
      </c>
      <c r="R9" s="159">
        <v>1061.46812201</v>
      </c>
      <c r="S9" s="159">
        <v>25825.33422347</v>
      </c>
      <c r="T9" s="159">
        <v>229.03323052</v>
      </c>
      <c r="U9" s="159">
        <v>579.31108</v>
      </c>
      <c r="V9" s="159">
        <f t="shared" si="2"/>
        <v>-440.979196338376</v>
      </c>
      <c r="W9" s="159">
        <v>34860.4984537806</v>
      </c>
      <c r="X9" s="159">
        <v>0</v>
      </c>
      <c r="Y9" s="159"/>
      <c r="Z9" s="422">
        <v>45078</v>
      </c>
      <c r="AA9" s="159">
        <v>15369.4365446</v>
      </c>
      <c r="AB9" s="159">
        <v>3149.507323</v>
      </c>
      <c r="AC9" s="159">
        <v>21568.204181</v>
      </c>
      <c r="AD9" s="159">
        <v>181.578052</v>
      </c>
      <c r="AE9" s="159">
        <v>162.295955</v>
      </c>
      <c r="AF9" s="159">
        <v>151.835030499795</v>
      </c>
      <c r="AG9" s="159">
        <v>40582.8570860998</v>
      </c>
      <c r="AH9" s="159">
        <v>0</v>
      </c>
      <c r="AJ9" s="428">
        <v>44713</v>
      </c>
      <c r="AK9" s="257">
        <v>11112.306216</v>
      </c>
      <c r="AL9" s="257">
        <v>4444.243052</v>
      </c>
      <c r="AM9" s="257">
        <v>34288.439524</v>
      </c>
      <c r="AN9" s="257">
        <v>86.107677</v>
      </c>
      <c r="AO9" s="257">
        <v>279.1332</v>
      </c>
      <c r="AP9" s="257">
        <v>115.9804826201</v>
      </c>
      <c r="AQ9" s="229">
        <v>50326.2101516201</v>
      </c>
      <c r="AR9" s="2">
        <v>0</v>
      </c>
    </row>
    <row r="10" spans="1:44">
      <c r="A10" s="259">
        <v>45839</v>
      </c>
      <c r="B10" s="257">
        <f>VLOOKUP(B$3,$L$105:$N$119,3,0)</f>
        <v>2908.19890642373</v>
      </c>
      <c r="C10" s="257">
        <f>VLOOKUP(C$3,$L$105:$N$119,3,0)</f>
        <v>809.567965548964</v>
      </c>
      <c r="D10" s="257">
        <f>VLOOKUP(D$3,$L$105:$N$119,3,0)</f>
        <v>2149.14039079</v>
      </c>
      <c r="E10" s="257">
        <f>VLOOKUP(E$3,$L$105:$N$119,3,0)</f>
        <v>423.09725288</v>
      </c>
      <c r="F10" s="257">
        <f>VLOOKUP(F$3,$L$105:$N$119,3,0)</f>
        <v>1215.42110262542</v>
      </c>
      <c r="G10" s="257">
        <f>'GMV表-商品大类'!D72-SUM(B10:F10)</f>
        <v>7.17088051186511</v>
      </c>
      <c r="H10" s="229">
        <f t="shared" si="1"/>
        <v>7512.59649877998</v>
      </c>
      <c r="I10" s="2">
        <f>H10-'GMV表-商品大类'!D72</f>
        <v>0</v>
      </c>
      <c r="L10" s="1" t="s">
        <v>311</v>
      </c>
      <c r="M10" s="257">
        <v>9905272.00999997</v>
      </c>
      <c r="N10" s="257">
        <f t="shared" si="0"/>
        <v>990.527200999997</v>
      </c>
      <c r="P10" s="422">
        <v>45474</v>
      </c>
      <c r="Q10" s="425">
        <v>4572.82062493778</v>
      </c>
      <c r="R10" s="159">
        <v>665.630745553334</v>
      </c>
      <c r="S10" s="159">
        <v>18787.3863155499</v>
      </c>
      <c r="T10" s="159">
        <v>141.31102606</v>
      </c>
      <c r="U10" s="159">
        <v>351.29139404</v>
      </c>
      <c r="V10" s="159">
        <f t="shared" si="2"/>
        <v>27.6680877393846</v>
      </c>
      <c r="W10" s="159">
        <v>24546.1081938804</v>
      </c>
      <c r="X10" s="159">
        <v>0</v>
      </c>
      <c r="Y10" s="159"/>
      <c r="Z10" s="422">
        <v>45108</v>
      </c>
      <c r="AA10" s="159">
        <v>10216.1446284</v>
      </c>
      <c r="AB10" s="159">
        <v>844.93032979</v>
      </c>
      <c r="AC10" s="159">
        <v>23913.59800781</v>
      </c>
      <c r="AD10" s="159">
        <v>55.022786</v>
      </c>
      <c r="AE10" s="159">
        <v>377.89675</v>
      </c>
      <c r="AF10" s="159">
        <v>10.5438359996042</v>
      </c>
      <c r="AG10" s="159">
        <v>35418.1363379996</v>
      </c>
      <c r="AH10" s="159">
        <v>0</v>
      </c>
      <c r="AJ10" s="428">
        <v>44743</v>
      </c>
      <c r="AK10" s="257">
        <v>6927.9175239</v>
      </c>
      <c r="AL10" s="257">
        <v>3863.3423</v>
      </c>
      <c r="AM10" s="257">
        <v>27571.9842</v>
      </c>
      <c r="AN10" s="257">
        <v>83.446368</v>
      </c>
      <c r="AO10" s="257">
        <v>568.880003</v>
      </c>
      <c r="AP10" s="257">
        <v>84.3894381000064</v>
      </c>
      <c r="AQ10" s="229">
        <v>39099.959833</v>
      </c>
      <c r="AR10" s="2">
        <v>0</v>
      </c>
    </row>
    <row r="11" spans="1:44">
      <c r="A11" s="259">
        <v>45870</v>
      </c>
      <c r="B11" s="257">
        <f>VLOOKUP(B$3,$L$123:$N$137,3,0)</f>
        <v>0</v>
      </c>
      <c r="C11" s="257">
        <f>VLOOKUP(C$3,$L$123:$N$137,3,0)</f>
        <v>0</v>
      </c>
      <c r="D11" s="257">
        <f>VLOOKUP(D$3,$L$123:$N$137,3,0)</f>
        <v>0</v>
      </c>
      <c r="E11" s="257">
        <f>VLOOKUP(E$3,$L$123:$N$137,3,0)</f>
        <v>0</v>
      </c>
      <c r="F11" s="257">
        <f>VLOOKUP(F$3,$L$123:$N$137,3,0)</f>
        <v>0</v>
      </c>
      <c r="G11" s="257">
        <f>'GMV表-商品大类'!D73-SUM(B11:F11)</f>
        <v>0</v>
      </c>
      <c r="H11" s="229">
        <f t="shared" si="1"/>
        <v>0</v>
      </c>
      <c r="I11" s="2">
        <f>H11-'GMV表-商品大类'!D73</f>
        <v>0</v>
      </c>
      <c r="L11" s="1" t="s">
        <v>308</v>
      </c>
      <c r="M11" s="257">
        <v>10016234.0298899</v>
      </c>
      <c r="N11" s="257">
        <f t="shared" si="0"/>
        <v>1001.62340298899</v>
      </c>
      <c r="P11" s="422">
        <v>45505</v>
      </c>
      <c r="Q11" s="425">
        <v>5399.83007468158</v>
      </c>
      <c r="R11" s="159">
        <v>1309.91352594038</v>
      </c>
      <c r="S11" s="159">
        <v>22646.5133574732</v>
      </c>
      <c r="T11" s="159">
        <v>190.63346782</v>
      </c>
      <c r="U11" s="159">
        <v>417.689745599999</v>
      </c>
      <c r="V11" s="159">
        <f t="shared" si="2"/>
        <v>37.5352761447393</v>
      </c>
      <c r="W11" s="159">
        <v>30002.1154476599</v>
      </c>
      <c r="X11" s="159">
        <v>0</v>
      </c>
      <c r="Y11" s="159"/>
      <c r="Z11" s="422">
        <v>45139</v>
      </c>
      <c r="AA11" s="159">
        <v>12282.883502</v>
      </c>
      <c r="AB11" s="159">
        <v>2893.335088</v>
      </c>
      <c r="AC11" s="159">
        <v>26302.744864</v>
      </c>
      <c r="AD11" s="159">
        <v>113.387092</v>
      </c>
      <c r="AE11" s="159">
        <v>181.333692</v>
      </c>
      <c r="AF11" s="159">
        <v>49.7338500004043</v>
      </c>
      <c r="AG11" s="159">
        <v>41823.4180880004</v>
      </c>
      <c r="AH11" s="159">
        <v>0</v>
      </c>
      <c r="AJ11" s="428">
        <v>44774</v>
      </c>
      <c r="AK11" s="257">
        <v>10210.1359982</v>
      </c>
      <c r="AL11" s="257">
        <v>5164.414659</v>
      </c>
      <c r="AM11" s="257">
        <v>35440.571344</v>
      </c>
      <c r="AN11" s="257">
        <v>138.620841</v>
      </c>
      <c r="AO11" s="257">
        <v>210.158984</v>
      </c>
      <c r="AP11" s="257">
        <v>55.5014058001907</v>
      </c>
      <c r="AQ11" s="229">
        <v>51219.4032320002</v>
      </c>
      <c r="AR11" s="2">
        <v>0</v>
      </c>
    </row>
    <row r="12" spans="1:44">
      <c r="A12" s="259">
        <v>45901</v>
      </c>
      <c r="B12" s="257">
        <f>VLOOKUP(B$3,$L$141:$N$156,3,0)</f>
        <v>0</v>
      </c>
      <c r="C12" s="257">
        <f>VLOOKUP(C$3,$L$141:$N$156,3,0)</f>
        <v>0</v>
      </c>
      <c r="D12" s="257">
        <f>VLOOKUP(D$3,$L$141:$N$156,3,0)</f>
        <v>0</v>
      </c>
      <c r="E12" s="257">
        <f>VLOOKUP(E$3,$L$141:$N$156,3,0)</f>
        <v>0</v>
      </c>
      <c r="F12" s="257">
        <f>VLOOKUP(F$3,$L$141:$N$156,3,0)</f>
        <v>0</v>
      </c>
      <c r="G12" s="257">
        <f>'GMV表-商品大类'!D74-SUM(B12:F12)</f>
        <v>0</v>
      </c>
      <c r="H12" s="229">
        <f t="shared" si="1"/>
        <v>0</v>
      </c>
      <c r="I12" s="2">
        <f>H12-'GMV表-商品大类'!D74</f>
        <v>0</v>
      </c>
      <c r="L12" s="1" t="s">
        <v>307</v>
      </c>
      <c r="M12" s="257">
        <v>61369116.0612671</v>
      </c>
      <c r="N12" s="257">
        <f t="shared" si="0"/>
        <v>6136.91160612671</v>
      </c>
      <c r="P12" s="422">
        <v>45536</v>
      </c>
      <c r="Q12" s="425">
        <v>5591.882894472</v>
      </c>
      <c r="R12" s="159">
        <v>1000.28260250083</v>
      </c>
      <c r="S12" s="159">
        <v>15574.4847747133</v>
      </c>
      <c r="T12" s="159">
        <v>163.612388</v>
      </c>
      <c r="U12" s="159">
        <v>628.207742909999</v>
      </c>
      <c r="V12" s="159">
        <f t="shared" si="2"/>
        <v>-29.674593485528</v>
      </c>
      <c r="W12" s="159">
        <v>22928.7958091106</v>
      </c>
      <c r="X12" s="159">
        <v>0</v>
      </c>
      <c r="Y12" s="159"/>
      <c r="Z12" s="422">
        <v>45170</v>
      </c>
      <c r="AA12" s="159">
        <v>9903.629036</v>
      </c>
      <c r="AB12" s="159">
        <v>1782.810508</v>
      </c>
      <c r="AC12" s="159">
        <v>27656.213284</v>
      </c>
      <c r="AD12" s="159">
        <v>67.001426</v>
      </c>
      <c r="AE12" s="159">
        <v>204.136243</v>
      </c>
      <c r="AF12" s="159">
        <v>93.3754720008947</v>
      </c>
      <c r="AG12" s="159">
        <v>39707.1659690009</v>
      </c>
      <c r="AH12" s="159">
        <v>0</v>
      </c>
      <c r="AJ12" s="428">
        <v>44805</v>
      </c>
      <c r="AK12" s="257">
        <v>9354.739096</v>
      </c>
      <c r="AL12" s="257">
        <v>3448.509926</v>
      </c>
      <c r="AM12" s="257">
        <v>47059.398617</v>
      </c>
      <c r="AN12" s="257">
        <v>50.914779</v>
      </c>
      <c r="AO12" s="257">
        <v>531.490966</v>
      </c>
      <c r="AP12" s="257">
        <v>43.7387099998014</v>
      </c>
      <c r="AQ12" s="229">
        <v>60488.7920939998</v>
      </c>
      <c r="AR12" s="2">
        <v>0</v>
      </c>
    </row>
    <row r="13" spans="1:44">
      <c r="A13" s="259">
        <v>45931</v>
      </c>
      <c r="B13" s="257">
        <f>VLOOKUP(B$3,$L$159:$N$173,3,0)</f>
        <v>0</v>
      </c>
      <c r="C13" s="257">
        <f>VLOOKUP(C$3,$L$159:$N$173,3,0)</f>
        <v>0</v>
      </c>
      <c r="D13" s="257">
        <f>VLOOKUP(D$3,$L$159:$N$173,3,0)</f>
        <v>0</v>
      </c>
      <c r="E13" s="257">
        <f>VLOOKUP(E$3,$L$159:$N$173,3,0)</f>
        <v>0</v>
      </c>
      <c r="F13" s="257">
        <f>VLOOKUP(F$3,$L$159:$N$173,3,0)</f>
        <v>0</v>
      </c>
      <c r="G13" s="257">
        <f>'GMV表-商品大类'!D75-SUM(B13:F13)</f>
        <v>0</v>
      </c>
      <c r="H13" s="229">
        <f t="shared" si="1"/>
        <v>0</v>
      </c>
      <c r="I13" s="2">
        <f>H13-'GMV表-商品大类'!D75</f>
        <v>0</v>
      </c>
      <c r="L13" s="1" t="s">
        <v>310</v>
      </c>
      <c r="M13" s="257">
        <v>1189572.6827</v>
      </c>
      <c r="N13" s="257">
        <f t="shared" si="0"/>
        <v>118.95726827</v>
      </c>
      <c r="P13" s="422">
        <v>45566</v>
      </c>
      <c r="Q13" s="425">
        <v>6468.5197541674</v>
      </c>
      <c r="R13" s="159">
        <v>1404.52344629127</v>
      </c>
      <c r="S13" s="159">
        <v>14117.22451341</v>
      </c>
      <c r="T13" s="159">
        <v>335.07355202</v>
      </c>
      <c r="U13" s="159">
        <v>905.787737839999</v>
      </c>
      <c r="V13" s="159">
        <f t="shared" si="2"/>
        <v>24.8519964120278</v>
      </c>
      <c r="W13" s="159">
        <v>23255.9810001407</v>
      </c>
      <c r="X13" s="159">
        <v>0</v>
      </c>
      <c r="Y13" s="159"/>
      <c r="Z13" s="422">
        <v>45200</v>
      </c>
      <c r="AA13" s="159">
        <v>12285.088789</v>
      </c>
      <c r="AB13" s="159">
        <v>2025.497848</v>
      </c>
      <c r="AC13" s="159">
        <v>25105.258668</v>
      </c>
      <c r="AD13" s="159">
        <v>409.817479</v>
      </c>
      <c r="AE13" s="159">
        <v>122.346534</v>
      </c>
      <c r="AF13" s="159">
        <v>8.29242400020303</v>
      </c>
      <c r="AG13" s="159">
        <v>39956.3017420002</v>
      </c>
      <c r="AH13" s="159">
        <v>0</v>
      </c>
      <c r="AJ13" s="428">
        <v>44835</v>
      </c>
      <c r="AK13" s="257">
        <v>11006.976569</v>
      </c>
      <c r="AL13" s="257">
        <v>3568.480401</v>
      </c>
      <c r="AM13" s="257">
        <v>36415.133244</v>
      </c>
      <c r="AN13" s="257">
        <v>49.642019</v>
      </c>
      <c r="AO13" s="257">
        <v>334.695104</v>
      </c>
      <c r="AP13" s="257">
        <v>41.7188340000066</v>
      </c>
      <c r="AQ13" s="229">
        <v>51416.646171</v>
      </c>
      <c r="AR13" s="2">
        <v>0</v>
      </c>
    </row>
    <row r="14" spans="1:44">
      <c r="A14" s="259">
        <v>45962</v>
      </c>
      <c r="B14" s="257">
        <f>VLOOKUP(B$3,$L$177:$N$191,3,0)</f>
        <v>0</v>
      </c>
      <c r="C14" s="257">
        <f>VLOOKUP(C$3,$L$177:$N$191,3,0)</f>
        <v>0</v>
      </c>
      <c r="D14" s="257">
        <f>VLOOKUP(D$3,$L$177:$N$191,3,0)</f>
        <v>0</v>
      </c>
      <c r="E14" s="257">
        <f>VLOOKUP(E$3,$L$177:$N$191,3,0)</f>
        <v>0</v>
      </c>
      <c r="F14" s="257">
        <f>VLOOKUP(F$3,$L$177:$N$191,3,0)</f>
        <v>0</v>
      </c>
      <c r="G14" s="257">
        <f>'GMV表-商品大类'!D76-SUM(B14:F14)</f>
        <v>0</v>
      </c>
      <c r="H14" s="229">
        <f t="shared" si="1"/>
        <v>0</v>
      </c>
      <c r="I14" s="2">
        <f>H14-'GMV表-商品大类'!D76</f>
        <v>0</v>
      </c>
      <c r="L14" s="1" t="e">
        <v>#N/A</v>
      </c>
      <c r="M14" s="257">
        <v>129735233.360634</v>
      </c>
      <c r="N14" s="257">
        <f t="shared" si="0"/>
        <v>12973.5233360634</v>
      </c>
      <c r="P14" s="422">
        <v>45597</v>
      </c>
      <c r="Q14" s="425">
        <v>6842.70800380649</v>
      </c>
      <c r="R14" s="159">
        <v>2232.48433636848</v>
      </c>
      <c r="S14" s="159">
        <v>15441.8676355867</v>
      </c>
      <c r="T14" s="159">
        <v>248.02302125</v>
      </c>
      <c r="U14" s="159">
        <v>1146.83511552</v>
      </c>
      <c r="V14" s="159">
        <f t="shared" si="2"/>
        <v>-19.6532732609667</v>
      </c>
      <c r="W14" s="159">
        <v>25892.2648392707</v>
      </c>
      <c r="X14" s="159">
        <v>0</v>
      </c>
      <c r="Y14" s="159"/>
      <c r="Z14" s="422">
        <v>45231</v>
      </c>
      <c r="AA14" s="159">
        <v>20147.535895</v>
      </c>
      <c r="AB14" s="159">
        <v>3621.093807</v>
      </c>
      <c r="AC14" s="159">
        <v>27859.796154</v>
      </c>
      <c r="AD14" s="159">
        <v>248.624314</v>
      </c>
      <c r="AE14" s="159">
        <v>361.733825</v>
      </c>
      <c r="AF14" s="159">
        <v>-24.0849450000023</v>
      </c>
      <c r="AG14" s="159">
        <v>52214.69905</v>
      </c>
      <c r="AH14" s="159">
        <v>0</v>
      </c>
      <c r="AJ14" s="428">
        <v>44866</v>
      </c>
      <c r="AK14" s="257">
        <v>17588.434144</v>
      </c>
      <c r="AL14" s="257">
        <v>4638.774944</v>
      </c>
      <c r="AM14" s="257">
        <v>47244.208406</v>
      </c>
      <c r="AN14" s="257">
        <v>174.553297</v>
      </c>
      <c r="AO14" s="257">
        <v>234.210745</v>
      </c>
      <c r="AP14" s="257">
        <v>159.674417089394</v>
      </c>
      <c r="AQ14" s="229">
        <v>70039.8559530894</v>
      </c>
      <c r="AR14" s="2">
        <v>0</v>
      </c>
    </row>
    <row r="15" spans="1:44">
      <c r="A15" s="259">
        <v>45992</v>
      </c>
      <c r="B15" s="257">
        <f>VLOOKUP(B$3,$L$195:$N$209,3,0)</f>
        <v>0</v>
      </c>
      <c r="C15" s="257">
        <f>VLOOKUP(C$3,$L$195:$N$209,3,0)</f>
        <v>0</v>
      </c>
      <c r="D15" s="257">
        <f>VLOOKUP(D$3,$L$195:$N$209,3,0)</f>
        <v>0</v>
      </c>
      <c r="E15" s="257">
        <f>VLOOKUP(E$3,$L$195:$N$209,3,0)</f>
        <v>0</v>
      </c>
      <c r="F15" s="257">
        <f>VLOOKUP(F$3,$L$195:$N$209,3,0)</f>
        <v>0</v>
      </c>
      <c r="G15" s="257">
        <f>'GMV表-商品大类'!D77-SUM(B15:F15)</f>
        <v>0</v>
      </c>
      <c r="H15" s="229">
        <f t="shared" si="1"/>
        <v>0</v>
      </c>
      <c r="I15" s="2">
        <f>H15-'GMV表-商品大类'!D77</f>
        <v>0</v>
      </c>
      <c r="L15" s="1" t="s">
        <v>319</v>
      </c>
      <c r="M15" s="257">
        <f>SUM(M2:M14)</f>
        <v>699064213.91715</v>
      </c>
      <c r="N15" s="257">
        <f>SUM(N2:N14)</f>
        <v>69906.421391715</v>
      </c>
      <c r="P15" s="422">
        <v>45627</v>
      </c>
      <c r="Q15" s="425">
        <v>5009.38847206728</v>
      </c>
      <c r="R15" s="159">
        <v>1217.78789911509</v>
      </c>
      <c r="S15" s="159">
        <v>18798.8958199033</v>
      </c>
      <c r="T15" s="159">
        <v>205.09285413</v>
      </c>
      <c r="U15" s="159">
        <v>1071.11672500995</v>
      </c>
      <c r="V15" s="159">
        <f t="shared" si="2"/>
        <v>110.665010494777</v>
      </c>
      <c r="W15" s="159">
        <v>26412.9467807204</v>
      </c>
      <c r="X15" s="159">
        <v>0</v>
      </c>
      <c r="Y15" s="159"/>
      <c r="Z15" s="422">
        <v>45261</v>
      </c>
      <c r="AA15" s="159">
        <v>9294.497362</v>
      </c>
      <c r="AB15" s="159">
        <v>3250.16097</v>
      </c>
      <c r="AC15" s="159">
        <v>28589.034404</v>
      </c>
      <c r="AD15" s="159">
        <v>110.716166</v>
      </c>
      <c r="AE15" s="159">
        <v>633.287949</v>
      </c>
      <c r="AF15" s="159">
        <v>-18.534296999489</v>
      </c>
      <c r="AG15" s="159">
        <v>41859.1625540005</v>
      </c>
      <c r="AH15" s="159">
        <v>0</v>
      </c>
      <c r="AJ15" s="428">
        <v>44896</v>
      </c>
      <c r="AK15" s="257">
        <v>9207.629053</v>
      </c>
      <c r="AL15" s="257">
        <v>3740.080934</v>
      </c>
      <c r="AM15" s="257">
        <v>63841.176871</v>
      </c>
      <c r="AN15" s="257">
        <v>58.520539</v>
      </c>
      <c r="AO15" s="257">
        <v>694.86699</v>
      </c>
      <c r="AP15" s="257">
        <v>165.883542999785</v>
      </c>
      <c r="AQ15" s="229">
        <v>77708.1579299998</v>
      </c>
      <c r="AR15" s="2">
        <v>0</v>
      </c>
    </row>
    <row r="16" spans="1:44">
      <c r="A16" s="1" t="s">
        <v>15</v>
      </c>
      <c r="B16" s="257">
        <f t="shared" ref="B16:H16" si="3">SUM(B4:B15)</f>
        <v>32934.7290774068</v>
      </c>
      <c r="C16" s="257">
        <f t="shared" si="3"/>
        <v>6231.15047247048</v>
      </c>
      <c r="D16" s="257">
        <f t="shared" si="3"/>
        <v>61782.6392654699</v>
      </c>
      <c r="E16" s="257">
        <f t="shared" si="3"/>
        <v>2556.59785508348</v>
      </c>
      <c r="F16" s="257">
        <f t="shared" si="3"/>
        <v>8967.10807800026</v>
      </c>
      <c r="G16" s="257">
        <f t="shared" si="3"/>
        <v>8.5671118720893</v>
      </c>
      <c r="H16" s="257">
        <f t="shared" si="3"/>
        <v>112480.791860303</v>
      </c>
      <c r="I16" s="2">
        <f>H16-'GMV表-商品大类'!D85</f>
        <v>0</v>
      </c>
      <c r="P16" s="422" t="s">
        <v>15</v>
      </c>
      <c r="Q16" s="425">
        <f t="shared" ref="Q16:W16" si="4">SUM(Q4:Q10)</f>
        <v>53041.8961940568</v>
      </c>
      <c r="R16" s="425">
        <f t="shared" si="4"/>
        <v>7345.64765256333</v>
      </c>
      <c r="S16" s="425">
        <f t="shared" si="4"/>
        <v>113504.79344782</v>
      </c>
      <c r="T16" s="425">
        <f t="shared" si="4"/>
        <v>1313.30797758</v>
      </c>
      <c r="U16" s="425">
        <f t="shared" si="4"/>
        <v>4904.31095404</v>
      </c>
      <c r="V16" s="425">
        <f t="shared" si="4"/>
        <v>-216.734688339679</v>
      </c>
      <c r="W16" s="425">
        <f t="shared" si="4"/>
        <v>179893.22153772</v>
      </c>
      <c r="X16" s="159">
        <v>0</v>
      </c>
      <c r="Y16" s="159"/>
      <c r="Z16" s="422" t="s">
        <v>15</v>
      </c>
      <c r="AA16" s="159">
        <f t="shared" ref="AA16:AG16" si="5">SUM(AA4:AA10)</f>
        <v>76301.554288</v>
      </c>
      <c r="AB16" s="159">
        <f t="shared" si="5"/>
        <v>15699.92145979</v>
      </c>
      <c r="AC16" s="159">
        <f t="shared" si="5"/>
        <v>194797.15654781</v>
      </c>
      <c r="AD16" s="159">
        <f t="shared" si="5"/>
        <v>639.613247</v>
      </c>
      <c r="AE16" s="159">
        <f t="shared" si="5"/>
        <v>2413.546878</v>
      </c>
      <c r="AF16" s="159">
        <f t="shared" si="5"/>
        <v>191.054001499004</v>
      </c>
      <c r="AG16" s="159">
        <f t="shared" si="5"/>
        <v>290042.846422099</v>
      </c>
      <c r="AH16" s="159">
        <v>0</v>
      </c>
      <c r="AJ16" s="429" t="s">
        <v>15</v>
      </c>
      <c r="AK16" s="257">
        <f t="shared" ref="AK16:AQ16" si="6">SUM(AK4:AK15)</f>
        <v>111094.7779551</v>
      </c>
      <c r="AL16" s="257">
        <f t="shared" si="6"/>
        <v>45100.995671</v>
      </c>
      <c r="AM16" s="257">
        <f t="shared" si="6"/>
        <v>413202.440754</v>
      </c>
      <c r="AN16" s="257">
        <f t="shared" si="6"/>
        <v>1072.115846</v>
      </c>
      <c r="AO16" s="257">
        <f t="shared" si="6"/>
        <v>4058.120287</v>
      </c>
      <c r="AP16" s="257">
        <f t="shared" si="6"/>
        <v>1866.05009360928</v>
      </c>
      <c r="AQ16" s="257">
        <f t="shared" si="6"/>
        <v>576394.500606709</v>
      </c>
      <c r="AR16" s="2">
        <v>0</v>
      </c>
    </row>
    <row r="17" spans="1:44">
      <c r="A17" s="1" t="s">
        <v>88</v>
      </c>
      <c r="B17" s="148">
        <f t="shared" ref="B17:G17" si="7">B16/$H$16</f>
        <v>0.292803140275812</v>
      </c>
      <c r="C17" s="148">
        <f t="shared" si="7"/>
        <v>0.0553974627082048</v>
      </c>
      <c r="D17" s="148">
        <f t="shared" si="7"/>
        <v>0.549272797992049</v>
      </c>
      <c r="E17" s="148">
        <f t="shared" si="7"/>
        <v>0.0227291950278824</v>
      </c>
      <c r="F17" s="148">
        <f t="shared" si="7"/>
        <v>0.0797212388861654</v>
      </c>
      <c r="G17" s="148">
        <f t="shared" si="7"/>
        <v>7.61651098858669e-5</v>
      </c>
      <c r="P17" s="422" t="s">
        <v>88</v>
      </c>
      <c r="Q17" s="426">
        <f t="shared" ref="Q17:V17" si="8">Q16/$W$16</f>
        <v>0.294852111383946</v>
      </c>
      <c r="R17" s="426">
        <f t="shared" si="8"/>
        <v>0.0408333765428904</v>
      </c>
      <c r="S17" s="426">
        <f t="shared" si="8"/>
        <v>0.630956477834936</v>
      </c>
      <c r="T17" s="426">
        <f t="shared" si="8"/>
        <v>0.00730048617926731</v>
      </c>
      <c r="U17" s="426">
        <f t="shared" si="8"/>
        <v>0.0272623443624954</v>
      </c>
      <c r="V17" s="426">
        <f t="shared" si="8"/>
        <v>-0.00120479630353517</v>
      </c>
      <c r="W17" s="159"/>
      <c r="X17" s="159"/>
      <c r="Y17" s="159"/>
      <c r="Z17" s="422" t="s">
        <v>88</v>
      </c>
      <c r="AA17" s="426">
        <f t="shared" ref="AA17:AF17" si="9">AA16/$AG$16</f>
        <v>0.263069940283783</v>
      </c>
      <c r="AB17" s="426">
        <f t="shared" si="9"/>
        <v>0.0541296627496957</v>
      </c>
      <c r="AC17" s="426">
        <f t="shared" si="9"/>
        <v>0.67161510428815</v>
      </c>
      <c r="AD17" s="426">
        <f t="shared" si="9"/>
        <v>0.00220523710510402</v>
      </c>
      <c r="AE17" s="426">
        <f t="shared" si="9"/>
        <v>0.00832134599343839</v>
      </c>
      <c r="AF17" s="426">
        <f t="shared" si="9"/>
        <v>0.000658709579828641</v>
      </c>
      <c r="AG17" s="159"/>
      <c r="AH17" s="159"/>
      <c r="AJ17" s="265" t="s">
        <v>88</v>
      </c>
      <c r="AK17" s="148">
        <v>0.1927409</v>
      </c>
      <c r="AL17" s="148">
        <v>0.0782467487519866</v>
      </c>
      <c r="AM17" s="148">
        <v>0.716874363511563</v>
      </c>
      <c r="AN17" s="148">
        <v>0.00186003829819941</v>
      </c>
      <c r="AO17" s="148">
        <v>0.00704052568636315</v>
      </c>
      <c r="AP17" s="148">
        <v>0.00323745297993838</v>
      </c>
      <c r="AQ17" s="1"/>
      <c r="AR17" s="2"/>
    </row>
    <row r="18" spans="1:44">
      <c r="A18" s="1" t="s">
        <v>199</v>
      </c>
      <c r="B18" s="244">
        <f t="shared" ref="B18:H18" si="10">B16-Q16</f>
        <v>-20107.16711665</v>
      </c>
      <c r="C18" s="244">
        <f t="shared" si="10"/>
        <v>-1114.49718009285</v>
      </c>
      <c r="D18" s="244">
        <f t="shared" si="10"/>
        <v>-51722.15418235</v>
      </c>
      <c r="E18" s="244">
        <f t="shared" si="10"/>
        <v>1243.28987750348</v>
      </c>
      <c r="F18" s="244">
        <f t="shared" si="10"/>
        <v>4062.79712396026</v>
      </c>
      <c r="G18" s="244">
        <f t="shared" si="10"/>
        <v>225.301800211768</v>
      </c>
      <c r="H18" s="244">
        <f t="shared" si="10"/>
        <v>-67412.4296774173</v>
      </c>
      <c r="I18" s="2">
        <f>H18-'GMV表-商品大类'!D93</f>
        <v>0</v>
      </c>
      <c r="K18" s="1" t="s">
        <v>149</v>
      </c>
      <c r="L18" s="1" t="s">
        <v>302</v>
      </c>
      <c r="M18" s="257" t="s">
        <v>303</v>
      </c>
      <c r="N18" s="257" t="s">
        <v>304</v>
      </c>
      <c r="P18" s="127"/>
      <c r="Q18" s="159"/>
      <c r="R18" s="159"/>
      <c r="S18" s="159"/>
      <c r="T18" s="159"/>
      <c r="U18" s="159"/>
      <c r="V18" s="159"/>
      <c r="W18" s="159"/>
      <c r="X18" s="20"/>
      <c r="Z18" s="422" t="s">
        <v>320</v>
      </c>
      <c r="AA18" s="20"/>
      <c r="AB18" s="20"/>
      <c r="AC18" s="20"/>
      <c r="AD18" s="20"/>
      <c r="AE18" s="20"/>
      <c r="AF18" s="20"/>
      <c r="AG18" s="20"/>
      <c r="AH18" s="20"/>
      <c r="AJ18" s="265" t="s">
        <v>321</v>
      </c>
      <c r="AK18" s="244"/>
      <c r="AL18" s="244"/>
      <c r="AM18" s="244"/>
      <c r="AN18" s="244"/>
      <c r="AO18" s="244"/>
      <c r="AP18" s="244"/>
      <c r="AQ18" s="229"/>
      <c r="AR18" s="2"/>
    </row>
    <row r="19" spans="12:44">
      <c r="L19" s="1" t="s">
        <v>306</v>
      </c>
      <c r="M19" s="257">
        <v>22290274.0136598</v>
      </c>
      <c r="N19" s="257">
        <f t="shared" ref="N19:N32" si="11">M19/10000</f>
        <v>2229.02740136598</v>
      </c>
      <c r="P19" s="127"/>
      <c r="Q19" s="159"/>
      <c r="R19" s="159"/>
      <c r="S19" s="159"/>
      <c r="T19" s="159"/>
      <c r="U19" s="159"/>
      <c r="V19" s="159"/>
      <c r="W19" s="159"/>
      <c r="X19" s="20"/>
      <c r="Z19" s="422" t="s">
        <v>199</v>
      </c>
      <c r="AA19" s="20"/>
      <c r="AB19" s="20"/>
      <c r="AC19" s="20"/>
      <c r="AD19" s="20"/>
      <c r="AE19" s="20"/>
      <c r="AF19" s="20"/>
      <c r="AG19" s="20"/>
      <c r="AH19" s="20"/>
      <c r="AJ19" s="265" t="s">
        <v>199</v>
      </c>
      <c r="AK19" s="244">
        <v>-51717.3264693246</v>
      </c>
      <c r="AL19" s="244">
        <v>-14847.9663518294</v>
      </c>
      <c r="AM19" s="244">
        <v>-270913.059116939</v>
      </c>
      <c r="AN19" s="130"/>
      <c r="AO19" s="130"/>
      <c r="AP19" s="130"/>
      <c r="AQ19" s="1"/>
      <c r="AR19" s="2"/>
    </row>
    <row r="20" spans="1:44">
      <c r="A20" s="1" t="s">
        <v>322</v>
      </c>
      <c r="L20" s="1" t="s">
        <v>314</v>
      </c>
      <c r="M20" s="257">
        <v>2530736.54670921</v>
      </c>
      <c r="N20" s="257">
        <f t="shared" si="11"/>
        <v>253.073654670921</v>
      </c>
      <c r="P20" s="127" t="s">
        <v>322</v>
      </c>
      <c r="Q20" s="20"/>
      <c r="R20" s="20"/>
      <c r="S20" s="20">
        <v>-0.375698836978687</v>
      </c>
      <c r="T20" s="20"/>
      <c r="U20" s="20"/>
      <c r="V20" s="20"/>
      <c r="W20" s="20"/>
      <c r="X20" s="20"/>
      <c r="Z20" s="422" t="s">
        <v>322</v>
      </c>
      <c r="AA20" s="20"/>
      <c r="AB20" s="20"/>
      <c r="AC20" s="20"/>
      <c r="AD20" s="20"/>
      <c r="AE20" s="20"/>
      <c r="AF20" s="20"/>
      <c r="AG20" s="20"/>
      <c r="AH20" s="20"/>
      <c r="AJ20" s="265" t="s">
        <v>322</v>
      </c>
      <c r="AK20" s="130"/>
      <c r="AL20" s="130"/>
      <c r="AM20" s="130"/>
      <c r="AN20" s="130"/>
      <c r="AO20" s="130"/>
      <c r="AP20" s="130"/>
      <c r="AQ20" s="1"/>
      <c r="AR20" s="2"/>
    </row>
    <row r="21" spans="1:44">
      <c r="A21" s="1" t="s">
        <v>84</v>
      </c>
      <c r="B21" s="363" t="s">
        <v>316</v>
      </c>
      <c r="C21" s="363" t="s">
        <v>314</v>
      </c>
      <c r="D21" s="363" t="s">
        <v>306</v>
      </c>
      <c r="E21" s="363" t="s">
        <v>323</v>
      </c>
      <c r="F21" s="363" t="s">
        <v>315</v>
      </c>
      <c r="G21" s="363" t="s">
        <v>318</v>
      </c>
      <c r="H21" s="217" t="s">
        <v>15</v>
      </c>
      <c r="I21" s="2" t="s">
        <v>313</v>
      </c>
      <c r="L21" s="1" t="s">
        <v>315</v>
      </c>
      <c r="M21" s="257">
        <v>259945696.312011</v>
      </c>
      <c r="N21" s="257">
        <f t="shared" si="11"/>
        <v>25994.5696312011</v>
      </c>
      <c r="P21" s="127" t="s">
        <v>84</v>
      </c>
      <c r="Q21" s="20" t="s">
        <v>316</v>
      </c>
      <c r="R21" s="20" t="s">
        <v>314</v>
      </c>
      <c r="S21" s="20" t="s">
        <v>306</v>
      </c>
      <c r="T21" s="20" t="s">
        <v>323</v>
      </c>
      <c r="U21" s="20" t="s">
        <v>315</v>
      </c>
      <c r="V21" s="20" t="s">
        <v>318</v>
      </c>
      <c r="W21" s="20" t="s">
        <v>15</v>
      </c>
      <c r="X21" s="20" t="s">
        <v>313</v>
      </c>
      <c r="Z21" s="422" t="s">
        <v>84</v>
      </c>
      <c r="AA21" s="20" t="s">
        <v>316</v>
      </c>
      <c r="AB21" s="20" t="s">
        <v>314</v>
      </c>
      <c r="AC21" s="20" t="s">
        <v>306</v>
      </c>
      <c r="AD21" s="20" t="s">
        <v>323</v>
      </c>
      <c r="AE21" s="20" t="s">
        <v>315</v>
      </c>
      <c r="AF21" s="20" t="s">
        <v>318</v>
      </c>
      <c r="AG21" s="20" t="s">
        <v>15</v>
      </c>
      <c r="AH21" s="20" t="s">
        <v>313</v>
      </c>
      <c r="AJ21" s="265" t="s">
        <v>84</v>
      </c>
      <c r="AK21" s="130" t="s">
        <v>316</v>
      </c>
      <c r="AL21" s="130" t="s">
        <v>314</v>
      </c>
      <c r="AM21" s="130" t="s">
        <v>306</v>
      </c>
      <c r="AN21" s="130" t="s">
        <v>315</v>
      </c>
      <c r="AO21" s="130" t="s">
        <v>317</v>
      </c>
      <c r="AP21" s="130" t="s">
        <v>318</v>
      </c>
      <c r="AQ21" s="1" t="s">
        <v>15</v>
      </c>
      <c r="AR21" s="2" t="s">
        <v>313</v>
      </c>
    </row>
    <row r="22" spans="1:44">
      <c r="A22" s="259">
        <v>45658</v>
      </c>
      <c r="B22" s="257">
        <f>VLOOKUP(B$21,$L$1:$N$15,3,0)</f>
        <v>16.240908690788</v>
      </c>
      <c r="C22" s="257">
        <f>VLOOKUP(C$21,$L$1:$N$15,3,0)</f>
        <v>717.614482837475</v>
      </c>
      <c r="D22" s="257">
        <f>VLOOKUP(D$21,$L$1:$N$15,3,0)</f>
        <v>2176.36603581436</v>
      </c>
      <c r="E22" s="257">
        <v>13624.1186572233</v>
      </c>
      <c r="F22" s="257">
        <v>19335.96552909</v>
      </c>
      <c r="G22" s="257">
        <v>712.062799504079</v>
      </c>
      <c r="H22" s="229">
        <f t="shared" ref="H22:H33" si="12">SUM(B22:G22)</f>
        <v>36582.36841316</v>
      </c>
      <c r="I22" s="2">
        <f>H22-'GMV表-商品大类'!E66</f>
        <v>0</v>
      </c>
      <c r="L22" s="1" t="s">
        <v>316</v>
      </c>
      <c r="M22" s="257">
        <v>87658.97835788</v>
      </c>
      <c r="N22" s="257">
        <f t="shared" si="11"/>
        <v>8.765897835788</v>
      </c>
      <c r="P22" s="127">
        <v>45292</v>
      </c>
      <c r="Q22" s="159">
        <v>774.98675</v>
      </c>
      <c r="R22" s="159">
        <v>1247.308299</v>
      </c>
      <c r="S22" s="159">
        <v>1721.637961</v>
      </c>
      <c r="T22" s="159">
        <v>7067.38902</v>
      </c>
      <c r="U22" s="159">
        <v>20395.536684</v>
      </c>
      <c r="V22" s="159">
        <v>1230.2988849998</v>
      </c>
      <c r="W22" s="159">
        <f t="shared" ref="W22:W33" si="13">SUM(Q22:V22)</f>
        <v>32437.1575989998</v>
      </c>
      <c r="X22" s="20">
        <f>W22-'GMV表-商品大类'!E54</f>
        <v>0</v>
      </c>
      <c r="Z22" s="422">
        <v>44927</v>
      </c>
      <c r="AA22" s="159">
        <v>2320.304725</v>
      </c>
      <c r="AB22" s="159">
        <v>344.549526</v>
      </c>
      <c r="AC22" s="159">
        <v>1931.802885</v>
      </c>
      <c r="AD22" s="159">
        <v>3357.849548</v>
      </c>
      <c r="AE22" s="159">
        <v>24795.951781</v>
      </c>
      <c r="AF22" s="159">
        <v>729.433842999895</v>
      </c>
      <c r="AG22" s="159">
        <f t="shared" ref="AG22:AG33" si="14">SUM(AA22:AF22)</f>
        <v>33479.8923079999</v>
      </c>
      <c r="AH22" s="20">
        <f>AG22-'GMV表-商品大类'!E42</f>
        <v>0</v>
      </c>
      <c r="AJ22" s="428">
        <v>44562</v>
      </c>
      <c r="AK22" s="257">
        <v>74.12923</v>
      </c>
      <c r="AL22" s="257">
        <v>154.062312</v>
      </c>
      <c r="AM22" s="257">
        <v>358.474351</v>
      </c>
      <c r="AN22" s="257">
        <v>16549.654496</v>
      </c>
      <c r="AO22" s="257">
        <v>32.36919</v>
      </c>
      <c r="AP22" s="257">
        <v>546.885518000003</v>
      </c>
      <c r="AQ22" s="229">
        <v>17715.575097</v>
      </c>
      <c r="AR22" s="2">
        <v>0</v>
      </c>
    </row>
    <row r="23" spans="1:44">
      <c r="A23" s="259">
        <v>45689</v>
      </c>
      <c r="B23" s="257">
        <f>VLOOKUP(B$21,$L$18:$N$32,3,0)</f>
        <v>8.765897835788</v>
      </c>
      <c r="C23" s="257">
        <f>VLOOKUP(C$21,$L$18:$N$32,3,0)</f>
        <v>253.073654670921</v>
      </c>
      <c r="D23" s="257">
        <f>VLOOKUP(D$21,$L$18:$N$32,3,0)</f>
        <v>2229.02740136598</v>
      </c>
      <c r="E23" s="257">
        <v>10803.7503378978</v>
      </c>
      <c r="F23" s="257">
        <v>15190.8192933033</v>
      </c>
      <c r="G23" s="257">
        <v>528.576925306312</v>
      </c>
      <c r="H23" s="229">
        <f t="shared" si="12"/>
        <v>29014.0135103801</v>
      </c>
      <c r="I23" s="2">
        <f>H23-'GMV表-商品大类'!E67</f>
        <v>0</v>
      </c>
      <c r="L23" s="1" t="s">
        <v>317</v>
      </c>
      <c r="M23" s="257">
        <v>25975</v>
      </c>
      <c r="N23" s="257">
        <f t="shared" si="11"/>
        <v>2.5975</v>
      </c>
      <c r="P23" s="127">
        <v>45323</v>
      </c>
      <c r="Q23" s="159">
        <v>585.78005</v>
      </c>
      <c r="R23" s="159">
        <v>649.931738</v>
      </c>
      <c r="S23" s="159">
        <v>911.103691</v>
      </c>
      <c r="T23" s="159">
        <v>7258.58369</v>
      </c>
      <c r="U23" s="159">
        <v>18963.56322</v>
      </c>
      <c r="V23" s="159">
        <v>1262.393076</v>
      </c>
      <c r="W23" s="159">
        <f t="shared" si="13"/>
        <v>29631.355465</v>
      </c>
      <c r="X23" s="20">
        <f>W23-'GMV表-商品大类'!E55</f>
        <v>0</v>
      </c>
      <c r="Z23" s="422">
        <v>44958</v>
      </c>
      <c r="AA23" s="159">
        <v>2426.295205</v>
      </c>
      <c r="AB23" s="159">
        <v>219.019172</v>
      </c>
      <c r="AC23" s="159">
        <v>771.203486</v>
      </c>
      <c r="AD23" s="159">
        <v>4562.718383</v>
      </c>
      <c r="AE23" s="159">
        <v>26789.71181</v>
      </c>
      <c r="AF23" s="159">
        <v>236.1313443897</v>
      </c>
      <c r="AG23" s="159">
        <f t="shared" si="14"/>
        <v>35005.0794003897</v>
      </c>
      <c r="AH23" s="20">
        <f>AG23-'GMV表-商品大类'!E43</f>
        <v>0</v>
      </c>
      <c r="AJ23" s="428">
        <v>44593</v>
      </c>
      <c r="AK23" s="257">
        <v>224.424037</v>
      </c>
      <c r="AL23" s="257">
        <v>159.396623</v>
      </c>
      <c r="AM23" s="257">
        <v>275.87252</v>
      </c>
      <c r="AN23" s="257">
        <v>13563.38776</v>
      </c>
      <c r="AO23" s="257">
        <v>132.21854</v>
      </c>
      <c r="AP23" s="257">
        <v>735.54984</v>
      </c>
      <c r="AQ23" s="229">
        <v>15090.84932</v>
      </c>
      <c r="AR23" s="2">
        <v>0</v>
      </c>
    </row>
    <row r="24" spans="1:44">
      <c r="A24" s="259">
        <v>45717</v>
      </c>
      <c r="B24" s="257">
        <f>VLOOKUP(B$21,$L$35:$N$49,3,0)</f>
        <v>17.792375586455</v>
      </c>
      <c r="C24" s="257">
        <f>VLOOKUP(C$21,$L$35:$N$49,3,0)</f>
        <v>283.697195314963</v>
      </c>
      <c r="D24" s="257">
        <f>VLOOKUP(D$21,$L$35:$N$49,3,0)</f>
        <v>3225.03026816901</v>
      </c>
      <c r="E24" s="257">
        <v>19966.9043182717</v>
      </c>
      <c r="F24" s="257">
        <v>17220.5404066482</v>
      </c>
      <c r="G24" s="257">
        <v>316.359968969572</v>
      </c>
      <c r="H24" s="229">
        <f t="shared" si="12"/>
        <v>41030.3245329599</v>
      </c>
      <c r="I24" s="2">
        <f>H24-'GMV表-商品大类'!E68</f>
        <v>0</v>
      </c>
      <c r="L24" s="1" t="s">
        <v>318</v>
      </c>
      <c r="M24" s="257">
        <v>4974963.102</v>
      </c>
      <c r="N24" s="257">
        <f t="shared" si="11"/>
        <v>497.4963102</v>
      </c>
      <c r="P24" s="127">
        <v>45352</v>
      </c>
      <c r="Q24" s="159">
        <v>584.415594</v>
      </c>
      <c r="R24" s="159">
        <v>704.907485</v>
      </c>
      <c r="S24" s="159">
        <v>1110.043234</v>
      </c>
      <c r="T24" s="159">
        <v>6473.652073</v>
      </c>
      <c r="U24" s="159">
        <v>19058.409118</v>
      </c>
      <c r="V24" s="159">
        <v>617.7629168998</v>
      </c>
      <c r="W24" s="159">
        <f t="shared" si="13"/>
        <v>28549.1904208998</v>
      </c>
      <c r="X24" s="20">
        <f>W24-'GMV表-商品大类'!E56</f>
        <v>0</v>
      </c>
      <c r="Z24" s="422">
        <v>44986</v>
      </c>
      <c r="AA24" s="159">
        <v>3214.787269</v>
      </c>
      <c r="AB24" s="159">
        <v>491.155968</v>
      </c>
      <c r="AC24" s="159">
        <v>994.092273</v>
      </c>
      <c r="AD24" s="159">
        <v>8101.04409988</v>
      </c>
      <c r="AE24" s="159">
        <v>35280.265558</v>
      </c>
      <c r="AF24" s="159">
        <v>102.677915120098</v>
      </c>
      <c r="AG24" s="159">
        <f t="shared" si="14"/>
        <v>48184.0230830001</v>
      </c>
      <c r="AH24" s="20">
        <f>AG24-'GMV表-商品大类'!E44</f>
        <v>0</v>
      </c>
      <c r="AJ24" s="428">
        <v>44621</v>
      </c>
      <c r="AK24" s="257">
        <v>635.022997</v>
      </c>
      <c r="AL24" s="257">
        <v>210.430862</v>
      </c>
      <c r="AM24" s="257">
        <v>289.146625</v>
      </c>
      <c r="AN24" s="257">
        <v>30733.178585</v>
      </c>
      <c r="AO24" s="257">
        <v>69.596241</v>
      </c>
      <c r="AP24" s="257">
        <v>731.486587000003</v>
      </c>
      <c r="AQ24" s="229">
        <v>32668.861897</v>
      </c>
      <c r="AR24" s="2">
        <v>0</v>
      </c>
    </row>
    <row r="25" spans="1:44">
      <c r="A25" s="259">
        <v>45748</v>
      </c>
      <c r="B25" s="257">
        <f>VLOOKUP(B$21,$L$52:$N$66,3,0)</f>
        <v>30.265324</v>
      </c>
      <c r="C25" s="257">
        <f>VLOOKUP(C$21,$L$52:$N$66,3,0)</f>
        <v>236.210526</v>
      </c>
      <c r="D25" s="257">
        <f>VLOOKUP(D$21,$L$52:$N$66,3,0)</f>
        <v>1843.354556</v>
      </c>
      <c r="E25" s="257">
        <v>17616.7078212519</v>
      </c>
      <c r="F25" s="257">
        <v>15440.9805207481</v>
      </c>
      <c r="G25" s="257">
        <v>187.814914560303</v>
      </c>
      <c r="H25" s="229">
        <f t="shared" si="12"/>
        <v>35355.3336625603</v>
      </c>
      <c r="I25" s="2">
        <f>H25-'GMV表-商品大类'!E69</f>
        <v>0</v>
      </c>
      <c r="L25" s="1" t="s">
        <v>312</v>
      </c>
      <c r="N25" s="257">
        <f t="shared" si="11"/>
        <v>0</v>
      </c>
      <c r="P25" s="127">
        <v>45383</v>
      </c>
      <c r="Q25" s="159">
        <v>372.055212</v>
      </c>
      <c r="R25" s="159">
        <v>653.526189</v>
      </c>
      <c r="S25" s="159">
        <v>1707.260188</v>
      </c>
      <c r="T25" s="159">
        <v>3110.074285</v>
      </c>
      <c r="U25" s="159">
        <v>10627.835527</v>
      </c>
      <c r="V25" s="159">
        <v>126.990527650001</v>
      </c>
      <c r="W25" s="159">
        <f t="shared" si="13"/>
        <v>16597.74192865</v>
      </c>
      <c r="X25" s="20">
        <f>W25-'GMV表-商品大类'!E57</f>
        <v>0</v>
      </c>
      <c r="Z25" s="422">
        <v>45017</v>
      </c>
      <c r="AA25" s="159">
        <v>2699.110291</v>
      </c>
      <c r="AB25" s="159">
        <v>925.305091</v>
      </c>
      <c r="AC25" s="159">
        <v>1324.472907</v>
      </c>
      <c r="AD25" s="159">
        <v>10136.698184</v>
      </c>
      <c r="AE25" s="159">
        <v>31186.051639</v>
      </c>
      <c r="AF25" s="159">
        <v>345.6936949996</v>
      </c>
      <c r="AG25" s="159">
        <f t="shared" si="14"/>
        <v>46617.3318069996</v>
      </c>
      <c r="AH25" s="20">
        <f>AG25-'GMV表-商品大类'!E45</f>
        <v>0</v>
      </c>
      <c r="AJ25" s="428">
        <v>44652</v>
      </c>
      <c r="AK25" s="257">
        <v>1390.742212</v>
      </c>
      <c r="AL25" s="257">
        <v>137.692175</v>
      </c>
      <c r="AM25" s="257">
        <v>311.867641</v>
      </c>
      <c r="AN25" s="257">
        <v>23405.072453</v>
      </c>
      <c r="AO25" s="257">
        <v>36.415092</v>
      </c>
      <c r="AP25" s="257">
        <v>879.538221000101</v>
      </c>
      <c r="AQ25" s="229">
        <v>26161.3277940001</v>
      </c>
      <c r="AR25" s="2">
        <v>0</v>
      </c>
    </row>
    <row r="26" spans="1:44">
      <c r="A26" s="259">
        <v>45778</v>
      </c>
      <c r="B26" s="257">
        <f>VLOOKUP(B$21,$L$69:$N$83,3,0)</f>
        <v>185.685921075718</v>
      </c>
      <c r="C26" s="257">
        <f>VLOOKUP(C$21,$L$69:$N$83,3,0)</f>
        <v>450.337233804555</v>
      </c>
      <c r="D26" s="257">
        <f>VLOOKUP(D$21,$L$69:$N$83,3,0)</f>
        <v>1038.52187692084</v>
      </c>
      <c r="E26" s="257">
        <f>VLOOKUP(E$21,$L$69:$N$83,3,0)</f>
        <v>14953.6556652</v>
      </c>
      <c r="F26" s="257">
        <f>VLOOKUP(F$21,$L$69:$N$83,3,0)</f>
        <v>12292.8903398387</v>
      </c>
      <c r="G26" s="257">
        <f>'GMV表-商品大类'!E70-SUM(B26:F26)</f>
        <v>166.30813196009</v>
      </c>
      <c r="H26" s="229">
        <f t="shared" si="12"/>
        <v>29087.3991687999</v>
      </c>
      <c r="I26" s="2">
        <f>H26-'GMV表-商品大类'!E70</f>
        <v>0</v>
      </c>
      <c r="L26" s="1" t="s">
        <v>309</v>
      </c>
      <c r="M26" s="257">
        <v>110054741.035066</v>
      </c>
      <c r="N26" s="257">
        <f t="shared" si="11"/>
        <v>11005.4741035066</v>
      </c>
      <c r="P26" s="127">
        <v>45413</v>
      </c>
      <c r="Q26" s="159">
        <v>322.621113</v>
      </c>
      <c r="R26" s="159">
        <v>1082.051737</v>
      </c>
      <c r="S26" s="159">
        <v>3449.887799</v>
      </c>
      <c r="T26" s="159">
        <v>5123.716615</v>
      </c>
      <c r="U26" s="159">
        <v>16430.589968</v>
      </c>
      <c r="V26" s="159">
        <v>148.6489053001</v>
      </c>
      <c r="W26" s="159">
        <f t="shared" si="13"/>
        <v>26557.5161373001</v>
      </c>
      <c r="X26" s="20">
        <f>W26-'GMV表-商品大类'!E58</f>
        <v>0</v>
      </c>
      <c r="Z26" s="422">
        <v>45047</v>
      </c>
      <c r="AA26" s="159">
        <v>2460.116907</v>
      </c>
      <c r="AB26" s="159">
        <v>1032.280952</v>
      </c>
      <c r="AC26" s="159">
        <v>4523.382032</v>
      </c>
      <c r="AD26" s="159">
        <v>11405.169369</v>
      </c>
      <c r="AE26" s="159">
        <v>34527.546594</v>
      </c>
      <c r="AF26" s="159">
        <v>625.810465999802</v>
      </c>
      <c r="AG26" s="159">
        <f t="shared" si="14"/>
        <v>54574.3063199998</v>
      </c>
      <c r="AH26" s="20">
        <f>AG26-'GMV表-商品大类'!E46</f>
        <v>0</v>
      </c>
      <c r="AJ26" s="428">
        <v>44682</v>
      </c>
      <c r="AK26" s="257">
        <v>1223.04055</v>
      </c>
      <c r="AL26" s="257">
        <v>290.914439</v>
      </c>
      <c r="AM26" s="257">
        <v>367.321901</v>
      </c>
      <c r="AN26" s="257">
        <v>30278.131164</v>
      </c>
      <c r="AO26" s="257">
        <v>46.410383</v>
      </c>
      <c r="AP26" s="257">
        <v>277.318651000009</v>
      </c>
      <c r="AQ26" s="229">
        <v>32483.137088</v>
      </c>
      <c r="AR26" s="2">
        <v>0</v>
      </c>
    </row>
    <row r="27" spans="1:44">
      <c r="A27" s="259">
        <v>45809</v>
      </c>
      <c r="B27" s="257">
        <f>VLOOKUP(B$21,$L$87:$N$101,3,0)</f>
        <v>101.097513259488</v>
      </c>
      <c r="C27" s="257">
        <f>VLOOKUP(C$21,$L$87:$N$101,3,0)</f>
        <v>396.922620947605</v>
      </c>
      <c r="D27" s="257">
        <f>VLOOKUP(D$21,$L$87:$N$101,3,0)</f>
        <v>1422.69180966943</v>
      </c>
      <c r="E27" s="257">
        <f>VLOOKUP(E$21,$L$87:$N$101,3,0)</f>
        <v>19088.455724254</v>
      </c>
      <c r="F27" s="257">
        <f>VLOOKUP(F$21,$L$87:$N$101,3,0)</f>
        <v>14425.5206277346</v>
      </c>
      <c r="G27" s="257">
        <f>'GMV表-商品大类'!E71-SUM(B27:F27)</f>
        <v>51.6774966355806</v>
      </c>
      <c r="H27" s="229">
        <f t="shared" si="12"/>
        <v>35486.3657925007</v>
      </c>
      <c r="I27" s="2">
        <f>H27-'GMV表-商品大类'!E71</f>
        <v>0</v>
      </c>
      <c r="L27" s="1" t="s">
        <v>311</v>
      </c>
      <c r="M27" s="257">
        <v>10468678.385</v>
      </c>
      <c r="N27" s="257">
        <f t="shared" si="11"/>
        <v>1046.8678385</v>
      </c>
      <c r="P27" s="127">
        <v>45444</v>
      </c>
      <c r="Q27" s="159">
        <v>427.31041</v>
      </c>
      <c r="R27" s="159">
        <v>1091.9992951301</v>
      </c>
      <c r="S27" s="159">
        <v>4832.89634044911</v>
      </c>
      <c r="T27" s="159">
        <v>10732.79567888</v>
      </c>
      <c r="U27" s="159">
        <v>13441.7587708166</v>
      </c>
      <c r="V27" s="159">
        <v>18.5653596632922</v>
      </c>
      <c r="W27" s="159">
        <f t="shared" si="13"/>
        <v>30545.3258549391</v>
      </c>
      <c r="X27" s="20">
        <f>W27-'GMV表-商品大类'!E59</f>
        <v>0</v>
      </c>
      <c r="Z27" s="422">
        <v>45078</v>
      </c>
      <c r="AA27" s="159">
        <v>2044.5297</v>
      </c>
      <c r="AB27" s="159">
        <v>1056.508041</v>
      </c>
      <c r="AC27" s="159">
        <v>7100.426537</v>
      </c>
      <c r="AD27" s="159">
        <v>11254.686312</v>
      </c>
      <c r="AE27" s="159">
        <v>42579.00659</v>
      </c>
      <c r="AF27" s="159">
        <v>1709.0887140003</v>
      </c>
      <c r="AG27" s="159">
        <f t="shared" si="14"/>
        <v>65744.2458940003</v>
      </c>
      <c r="AH27" s="20">
        <f>AG27-'GMV表-商品大类'!E47</f>
        <v>0</v>
      </c>
      <c r="AJ27" s="428">
        <v>44713</v>
      </c>
      <c r="AK27" s="257">
        <v>1416.337631</v>
      </c>
      <c r="AL27" s="257">
        <v>335.264063</v>
      </c>
      <c r="AM27" s="257">
        <v>4303.004798</v>
      </c>
      <c r="AN27" s="257">
        <v>27891.41788</v>
      </c>
      <c r="AO27" s="257">
        <v>63.937918</v>
      </c>
      <c r="AP27" s="257">
        <v>152.625504000091</v>
      </c>
      <c r="AQ27" s="229">
        <v>34162.5877940001</v>
      </c>
      <c r="AR27" s="2">
        <v>0</v>
      </c>
    </row>
    <row r="28" spans="1:44">
      <c r="A28" s="259">
        <v>45839</v>
      </c>
      <c r="B28" s="257">
        <f>VLOOKUP(B$21,$L$105:$N$119,3,0)</f>
        <v>37.199617505658</v>
      </c>
      <c r="C28" s="257">
        <f>VLOOKUP(C$21,$L$105:$N$119,3,0)</f>
        <v>334.704167184632</v>
      </c>
      <c r="D28" s="257">
        <f>VLOOKUP(D$21,$L$105:$N$119,3,0)</f>
        <v>847.268545810566</v>
      </c>
      <c r="E28" s="257">
        <f>VLOOKUP(E$21,$L$105:$N$119,3,0)</f>
        <v>33418.8981861466</v>
      </c>
      <c r="F28" s="257">
        <f>VLOOKUP(F$21,$L$105:$N$119,3,0)</f>
        <v>11301.8058105059</v>
      </c>
      <c r="G28" s="257">
        <f>'GMV表-商品大类'!E72-SUM(B28:F28)</f>
        <v>531.95755748704</v>
      </c>
      <c r="H28" s="229">
        <f t="shared" si="12"/>
        <v>46471.8338846404</v>
      </c>
      <c r="I28" s="2">
        <f>H28-'GMV表-商品大类'!E72</f>
        <v>0</v>
      </c>
      <c r="L28" s="1" t="s">
        <v>308</v>
      </c>
      <c r="M28" s="257">
        <v>10958762.9618921</v>
      </c>
      <c r="N28" s="257">
        <f t="shared" si="11"/>
        <v>1095.87629618921</v>
      </c>
      <c r="P28" s="127">
        <v>45474</v>
      </c>
      <c r="Q28" s="159">
        <v>510.973183</v>
      </c>
      <c r="R28" s="159">
        <v>843.137602775439</v>
      </c>
      <c r="S28" s="159">
        <v>6740.28317446286</v>
      </c>
      <c r="T28" s="159">
        <v>13168.6548027306</v>
      </c>
      <c r="U28" s="159">
        <v>13332.027104659</v>
      </c>
      <c r="V28" s="159">
        <v>-187.249761018605</v>
      </c>
      <c r="W28" s="159">
        <f t="shared" si="13"/>
        <v>34407.8261066093</v>
      </c>
      <c r="X28" s="20">
        <f>W28-'GMV表-商品大类'!E60</f>
        <v>0</v>
      </c>
      <c r="Z28" s="422">
        <v>45108</v>
      </c>
      <c r="AA28" s="159">
        <v>2042.562583</v>
      </c>
      <c r="AB28" s="159">
        <v>1022.482373</v>
      </c>
      <c r="AC28" s="159">
        <v>4563.961566</v>
      </c>
      <c r="AD28" s="159">
        <v>9871.243082</v>
      </c>
      <c r="AE28" s="159">
        <v>36648.973326</v>
      </c>
      <c r="AF28" s="159">
        <v>1134.44852499981</v>
      </c>
      <c r="AG28" s="159">
        <f t="shared" si="14"/>
        <v>55283.6714549998</v>
      </c>
      <c r="AH28" s="20">
        <f>AG28-'GMV表-商品大类'!E48</f>
        <v>0</v>
      </c>
      <c r="AJ28" s="428">
        <v>44743</v>
      </c>
      <c r="AK28" s="257">
        <v>1500.11409</v>
      </c>
      <c r="AL28" s="257">
        <v>307.840263</v>
      </c>
      <c r="AM28" s="257">
        <v>1099.174657</v>
      </c>
      <c r="AN28" s="257">
        <v>24170.129163</v>
      </c>
      <c r="AO28" s="257">
        <v>103.119876</v>
      </c>
      <c r="AP28" s="257">
        <v>231.708863999997</v>
      </c>
      <c r="AQ28" s="229">
        <v>27412.086913</v>
      </c>
      <c r="AR28" s="2">
        <v>0</v>
      </c>
    </row>
    <row r="29" spans="1:44">
      <c r="A29" s="259">
        <v>45870</v>
      </c>
      <c r="B29" s="257">
        <f>VLOOKUP(B$21,$L$123:$N$137,3,0)</f>
        <v>0</v>
      </c>
      <c r="C29" s="257">
        <f>VLOOKUP(C$21,$L$123:$N$137,3,0)</f>
        <v>0</v>
      </c>
      <c r="D29" s="257">
        <f>VLOOKUP(D$21,$L$123:$N$137,3,0)</f>
        <v>0</v>
      </c>
      <c r="E29" s="257">
        <f>VLOOKUP(E$21,$L$123:$N$137,3,0)</f>
        <v>0</v>
      </c>
      <c r="F29" s="257">
        <f>VLOOKUP(F$21,$L$123:$N$137,3,0)</f>
        <v>0</v>
      </c>
      <c r="G29" s="257">
        <f>'GMV表-商品大类'!E73-SUM(B29:F29)</f>
        <v>0</v>
      </c>
      <c r="H29" s="229">
        <f t="shared" si="12"/>
        <v>0</v>
      </c>
      <c r="I29" s="2">
        <f>H29-'GMV表-商品大类'!E73</f>
        <v>0</v>
      </c>
      <c r="L29" s="1" t="s">
        <v>307</v>
      </c>
      <c r="M29" s="257">
        <v>52562006.174537</v>
      </c>
      <c r="N29" s="257">
        <f t="shared" si="11"/>
        <v>5256.2006174537</v>
      </c>
      <c r="P29" s="127">
        <v>45505</v>
      </c>
      <c r="Q29" s="159">
        <v>361.772075</v>
      </c>
      <c r="R29" s="159">
        <v>687.820968709124</v>
      </c>
      <c r="S29" s="159">
        <v>4493.33199870456</v>
      </c>
      <c r="T29" s="159">
        <v>10974.9404112478</v>
      </c>
      <c r="U29" s="159">
        <v>14228.8121396252</v>
      </c>
      <c r="V29" s="159">
        <v>286.138395472617</v>
      </c>
      <c r="W29" s="159">
        <f t="shared" si="13"/>
        <v>31032.8159887593</v>
      </c>
      <c r="X29" s="20">
        <f>W29-'GMV表-商品大类'!E61</f>
        <v>0</v>
      </c>
      <c r="Z29" s="422">
        <v>45139</v>
      </c>
      <c r="AA29" s="159">
        <v>2262.277768</v>
      </c>
      <c r="AB29" s="159">
        <v>2377.4194804</v>
      </c>
      <c r="AC29" s="159">
        <v>4585.227372</v>
      </c>
      <c r="AD29" s="159">
        <v>9710.703764</v>
      </c>
      <c r="AE29" s="159">
        <v>40803.7045765</v>
      </c>
      <c r="AF29" s="159">
        <v>1362.8887330997</v>
      </c>
      <c r="AG29" s="159">
        <f t="shared" si="14"/>
        <v>61102.2216939997</v>
      </c>
      <c r="AH29" s="20">
        <f>AG29-'GMV表-商品大类'!E49</f>
        <v>0</v>
      </c>
      <c r="AJ29" s="428">
        <v>44774</v>
      </c>
      <c r="AK29" s="257">
        <v>1478.330092</v>
      </c>
      <c r="AL29" s="257">
        <v>205.528189</v>
      </c>
      <c r="AM29" s="257">
        <v>2845.465313</v>
      </c>
      <c r="AN29" s="257">
        <v>29241.323367</v>
      </c>
      <c r="AO29" s="257">
        <v>81.081032</v>
      </c>
      <c r="AP29" s="257">
        <v>340.692489000103</v>
      </c>
      <c r="AQ29" s="229">
        <v>34192.4204820001</v>
      </c>
      <c r="AR29" s="2">
        <v>0</v>
      </c>
    </row>
    <row r="30" spans="1:44">
      <c r="A30" s="259">
        <v>45901</v>
      </c>
      <c r="B30" s="257">
        <f>VLOOKUP(B$21,$L$141:$N$156,3,0)</f>
        <v>0</v>
      </c>
      <c r="C30" s="257">
        <f>VLOOKUP(C$21,$L$141:$N$156,3,0)</f>
        <v>0</v>
      </c>
      <c r="D30" s="257">
        <f>VLOOKUP(D$21,$L$141:$N$156,3,0)</f>
        <v>0</v>
      </c>
      <c r="E30" s="257">
        <f>VLOOKUP(E$21,$L$141:$N$156,3,0)</f>
        <v>0</v>
      </c>
      <c r="F30" s="257">
        <f>VLOOKUP(F$21,$L$141:$N$156,3,0)</f>
        <v>0</v>
      </c>
      <c r="G30" s="257">
        <f>'GMV表-商品大类'!E74-SUM(B30:F30)</f>
        <v>0</v>
      </c>
      <c r="H30" s="229">
        <f t="shared" si="12"/>
        <v>0</v>
      </c>
      <c r="I30" s="2">
        <f>H30-'GMV表-商品大类'!E74</f>
        <v>0</v>
      </c>
      <c r="L30" s="1" t="s">
        <v>310</v>
      </c>
      <c r="M30" s="257">
        <v>2467184.0856</v>
      </c>
      <c r="N30" s="257">
        <f t="shared" si="11"/>
        <v>246.71840856</v>
      </c>
      <c r="P30" s="127">
        <v>45536</v>
      </c>
      <c r="Q30" s="159">
        <v>287.566519006364</v>
      </c>
      <c r="R30" s="159">
        <v>585.619048585185</v>
      </c>
      <c r="S30" s="159">
        <v>2377.42638508714</v>
      </c>
      <c r="T30" s="159">
        <v>5421.04314478342</v>
      </c>
      <c r="U30" s="159">
        <f>9893.04944759228+19348723.985/10000</f>
        <v>11827.9218460923</v>
      </c>
      <c r="V30" s="159">
        <f>2085.82866757591-19348723.985/10000</f>
        <v>150.95626907591</v>
      </c>
      <c r="W30" s="159">
        <f t="shared" si="13"/>
        <v>20650.5332126303</v>
      </c>
      <c r="X30" s="20">
        <f>W30-'GMV表-商品大类'!E62</f>
        <v>0</v>
      </c>
      <c r="Z30" s="422">
        <v>45170</v>
      </c>
      <c r="AA30" s="159">
        <v>2358.241142</v>
      </c>
      <c r="AB30" s="159">
        <v>1562.921937</v>
      </c>
      <c r="AC30" s="159">
        <v>3820.757671</v>
      </c>
      <c r="AD30" s="159">
        <v>6609.640544</v>
      </c>
      <c r="AE30" s="159">
        <v>34169.960672</v>
      </c>
      <c r="AF30" s="159">
        <v>1415.0598949996</v>
      </c>
      <c r="AG30" s="159">
        <f t="shared" si="14"/>
        <v>49936.5818609996</v>
      </c>
      <c r="AH30" s="20">
        <f>AG30-'GMV表-商品大类'!E50</f>
        <v>0</v>
      </c>
      <c r="AJ30" s="428">
        <v>44805</v>
      </c>
      <c r="AK30" s="257">
        <v>1808.61655</v>
      </c>
      <c r="AL30" s="257">
        <v>288.56608</v>
      </c>
      <c r="AM30" s="257">
        <v>1683.640482</v>
      </c>
      <c r="AN30" s="257">
        <v>24763.290063</v>
      </c>
      <c r="AO30" s="257">
        <v>75.289404</v>
      </c>
      <c r="AP30" s="257">
        <v>-264.360988999899</v>
      </c>
      <c r="AQ30" s="229">
        <v>28355.0415900001</v>
      </c>
      <c r="AR30" s="2">
        <v>0</v>
      </c>
    </row>
    <row r="31" spans="1:44">
      <c r="A31" s="259">
        <v>45931</v>
      </c>
      <c r="B31" s="257">
        <f>VLOOKUP(B$21,$L$159:$N$173,3,0)</f>
        <v>0</v>
      </c>
      <c r="C31" s="257">
        <f>VLOOKUP(C$21,$L$159:$N$173,3,0)</f>
        <v>0</v>
      </c>
      <c r="D31" s="257">
        <f>VLOOKUP(D$21,$L$159:$N$173,3,0)</f>
        <v>0</v>
      </c>
      <c r="E31" s="257">
        <f>VLOOKUP(E$21,$L$159:$N$173,3,0)</f>
        <v>0</v>
      </c>
      <c r="F31" s="257">
        <f>VLOOKUP(F$21,$L$159:$N$173,3,0)</f>
        <v>0</v>
      </c>
      <c r="G31" s="257">
        <f>'GMV表-商品大类'!E75-SUM(B31:F31)</f>
        <v>0</v>
      </c>
      <c r="H31" s="229">
        <f t="shared" si="12"/>
        <v>0</v>
      </c>
      <c r="I31" s="2">
        <f>H31-'GMV表-商品大类'!E75</f>
        <v>0</v>
      </c>
      <c r="L31" s="1" t="e">
        <v>#N/A</v>
      </c>
      <c r="M31" s="257">
        <v>75726106.3002801</v>
      </c>
      <c r="N31" s="257">
        <f t="shared" si="11"/>
        <v>7572.61063002801</v>
      </c>
      <c r="P31" s="127">
        <v>45566</v>
      </c>
      <c r="Q31" s="159">
        <v>146.474280009556</v>
      </c>
      <c r="R31" s="159">
        <v>437.107803373631</v>
      </c>
      <c r="S31" s="159">
        <v>2222.23420755084</v>
      </c>
      <c r="T31" s="159">
        <v>10464.26047831</v>
      </c>
      <c r="U31" s="159">
        <v>12772.5412898749</v>
      </c>
      <c r="V31" s="159">
        <v>125.039935691472</v>
      </c>
      <c r="W31" s="159">
        <f t="shared" si="13"/>
        <v>26167.6579948104</v>
      </c>
      <c r="X31" s="20">
        <f>W31-'GMV表-商品大类'!E63</f>
        <v>0</v>
      </c>
      <c r="Z31" s="422">
        <v>45200</v>
      </c>
      <c r="AA31" s="159">
        <v>1188.369984</v>
      </c>
      <c r="AB31" s="159">
        <v>917.271594</v>
      </c>
      <c r="AC31" s="159">
        <v>2244.713295</v>
      </c>
      <c r="AD31" s="159">
        <v>7900.887498</v>
      </c>
      <c r="AE31" s="159">
        <v>23421.307751</v>
      </c>
      <c r="AF31" s="159">
        <v>918.753623999698</v>
      </c>
      <c r="AG31" s="159">
        <f t="shared" si="14"/>
        <v>36591.3037459997</v>
      </c>
      <c r="AH31" s="20">
        <f>AG31-'GMV表-商品大类'!E51</f>
        <v>0</v>
      </c>
      <c r="AJ31" s="428">
        <v>44835</v>
      </c>
      <c r="AK31" s="257">
        <v>1649.752635</v>
      </c>
      <c r="AL31" s="257">
        <v>227.444705</v>
      </c>
      <c r="AM31" s="257">
        <v>2058.065671</v>
      </c>
      <c r="AN31" s="257">
        <v>30586.804375</v>
      </c>
      <c r="AO31" s="257">
        <v>52.265159</v>
      </c>
      <c r="AP31" s="257">
        <v>124.770120999892</v>
      </c>
      <c r="AQ31" s="229">
        <v>34699.1026659999</v>
      </c>
      <c r="AR31" s="2">
        <v>0</v>
      </c>
    </row>
    <row r="32" spans="1:44">
      <c r="A32" s="259">
        <v>45962</v>
      </c>
      <c r="B32" s="257">
        <f>VLOOKUP(B$21,$L$177:$N$191,3,0)</f>
        <v>0</v>
      </c>
      <c r="C32" s="257">
        <f>VLOOKUP(C$21,$L$177:$N$191,3,0)</f>
        <v>0</v>
      </c>
      <c r="D32" s="257">
        <f>VLOOKUP(D$21,$L$177:$N$191,3,0)</f>
        <v>0</v>
      </c>
      <c r="E32" s="257">
        <f>VLOOKUP(E$21,$L$177:$N$191,3,0)</f>
        <v>0</v>
      </c>
      <c r="F32" s="257">
        <f>VLOOKUP(F$21,$L$177:$N$191,3,0)</f>
        <v>0</v>
      </c>
      <c r="G32" s="257">
        <f>'GMV表-商品大类'!E76-SUM(B32:F32)</f>
        <v>0</v>
      </c>
      <c r="H32" s="229">
        <f t="shared" si="12"/>
        <v>0</v>
      </c>
      <c r="I32" s="2">
        <f>H32-'GMV表-商品大类'!E76</f>
        <v>0</v>
      </c>
      <c r="L32" s="1" t="s">
        <v>319</v>
      </c>
      <c r="M32" s="257">
        <f>SUM(M19:M31)</f>
        <v>552092782.895113</v>
      </c>
      <c r="N32" s="257">
        <f t="shared" si="11"/>
        <v>55209.2782895113</v>
      </c>
      <c r="P32" s="127">
        <v>45597</v>
      </c>
      <c r="Q32" s="159">
        <v>166.484789082769</v>
      </c>
      <c r="R32" s="159">
        <v>416.454835493701</v>
      </c>
      <c r="S32" s="159">
        <v>2192.16249205951</v>
      </c>
      <c r="T32" s="159">
        <v>10392.7101936453</v>
      </c>
      <c r="U32" s="159">
        <v>13399.1111280267</v>
      </c>
      <c r="V32" s="159">
        <v>8.77385432192082</v>
      </c>
      <c r="W32" s="159">
        <f t="shared" si="13"/>
        <v>26575.6972926299</v>
      </c>
      <c r="X32" s="20">
        <f>W32-'GMV表-商品大类'!E64</f>
        <v>0</v>
      </c>
      <c r="Z32" s="422">
        <v>45231</v>
      </c>
      <c r="AA32" s="159">
        <v>682.404147</v>
      </c>
      <c r="AB32" s="159">
        <v>1010.029743</v>
      </c>
      <c r="AC32" s="159">
        <v>4440.345408</v>
      </c>
      <c r="AD32" s="159">
        <v>7109.829689</v>
      </c>
      <c r="AE32" s="159">
        <v>20246.639825</v>
      </c>
      <c r="AF32" s="159">
        <v>847.053017999799</v>
      </c>
      <c r="AG32" s="159">
        <f t="shared" si="14"/>
        <v>34336.3018299998</v>
      </c>
      <c r="AH32" s="20">
        <f>AG32-'GMV表-商品大类'!E52</f>
        <v>0</v>
      </c>
      <c r="AJ32" s="428">
        <v>44866</v>
      </c>
      <c r="AK32" s="257">
        <v>3087.439811</v>
      </c>
      <c r="AL32" s="257">
        <v>208.579691</v>
      </c>
      <c r="AM32" s="257">
        <v>1237.581394</v>
      </c>
      <c r="AN32" s="257">
        <v>36750.997021</v>
      </c>
      <c r="AO32" s="257">
        <v>124.948138</v>
      </c>
      <c r="AP32" s="257">
        <v>56.6911972897942</v>
      </c>
      <c r="AQ32" s="229">
        <v>41466.2372522898</v>
      </c>
      <c r="AR32" s="2">
        <v>0</v>
      </c>
    </row>
    <row r="33" spans="1:44">
      <c r="A33" s="259">
        <v>45992</v>
      </c>
      <c r="B33" s="257">
        <f>VLOOKUP(B$21,$L$195:$N$209,3,0)</f>
        <v>0</v>
      </c>
      <c r="C33" s="257">
        <f>VLOOKUP(C$21,$L$195:$N$209,3,0)</f>
        <v>0</v>
      </c>
      <c r="D33" s="257">
        <f>VLOOKUP(D$21,$L$195:$N$209,3,0)</f>
        <v>0</v>
      </c>
      <c r="E33" s="257">
        <f>VLOOKUP(E$21,$L$195:$N$209,3,0)</f>
        <v>0</v>
      </c>
      <c r="F33" s="257">
        <f>VLOOKUP(F$21,$L$195:$N$209,3,0)</f>
        <v>0</v>
      </c>
      <c r="G33" s="257">
        <f>'GMV表-商品大类'!E77-SUM(B33:F33)</f>
        <v>0</v>
      </c>
      <c r="H33" s="229">
        <f t="shared" si="12"/>
        <v>0</v>
      </c>
      <c r="I33" s="2">
        <f>H33-'GMV表-商品大类'!E77</f>
        <v>0</v>
      </c>
      <c r="P33" s="127">
        <v>45627</v>
      </c>
      <c r="Q33" s="159">
        <v>204.390994084749</v>
      </c>
      <c r="R33" s="159">
        <v>579.482634910991</v>
      </c>
      <c r="S33" s="159">
        <v>1757.71093949784</v>
      </c>
      <c r="T33" s="159">
        <v>9407.00919576165</v>
      </c>
      <c r="U33" s="159">
        <v>16146.4423138336</v>
      </c>
      <c r="V33" s="159">
        <v>-186.403298758582</v>
      </c>
      <c r="W33" s="159">
        <f t="shared" si="13"/>
        <v>27908.6327793302</v>
      </c>
      <c r="X33" s="20">
        <f>W33-'GMV表-商品大类'!E65</f>
        <v>4.72937244921923e-11</v>
      </c>
      <c r="Z33" s="422">
        <v>45261</v>
      </c>
      <c r="AA33" s="159">
        <v>692.711493</v>
      </c>
      <c r="AB33" s="159">
        <v>1307.137657</v>
      </c>
      <c r="AC33" s="159">
        <v>2325.569155</v>
      </c>
      <c r="AD33" s="159">
        <v>6914.590361</v>
      </c>
      <c r="AE33" s="159">
        <v>20605.032779</v>
      </c>
      <c r="AF33" s="159">
        <v>1577.84517699981</v>
      </c>
      <c r="AG33" s="159">
        <f t="shared" si="14"/>
        <v>33422.8866219998</v>
      </c>
      <c r="AH33" s="20">
        <f>AG33-'GMV表-商品大类'!E53</f>
        <v>0</v>
      </c>
      <c r="AJ33" s="428">
        <v>44896</v>
      </c>
      <c r="AK33" s="257">
        <v>2930.745549</v>
      </c>
      <c r="AL33" s="257">
        <v>318.809024</v>
      </c>
      <c r="AM33" s="257">
        <v>929.465321</v>
      </c>
      <c r="AN33" s="257">
        <v>36809.705354</v>
      </c>
      <c r="AO33" s="257">
        <v>74.946251</v>
      </c>
      <c r="AP33" s="257">
        <v>165.898790999505</v>
      </c>
      <c r="AQ33" s="229">
        <v>41229.5702899995</v>
      </c>
      <c r="AR33" s="2">
        <v>0</v>
      </c>
    </row>
    <row r="34" spans="1:44">
      <c r="A34" s="1" t="s">
        <v>15</v>
      </c>
      <c r="B34" s="257">
        <f t="shared" ref="B34:H34" si="15">SUM(B22:B33)</f>
        <v>397.047557953895</v>
      </c>
      <c r="C34" s="257">
        <f t="shared" si="15"/>
        <v>2672.55988076015</v>
      </c>
      <c r="D34" s="257">
        <f t="shared" si="15"/>
        <v>12782.2604937502</v>
      </c>
      <c r="E34" s="257">
        <f t="shared" si="15"/>
        <v>129472.490710245</v>
      </c>
      <c r="F34" s="257">
        <f t="shared" si="15"/>
        <v>105208.522527869</v>
      </c>
      <c r="G34" s="257">
        <f t="shared" si="15"/>
        <v>2494.75779442298</v>
      </c>
      <c r="H34" s="257">
        <f t="shared" si="15"/>
        <v>253027.638965001</v>
      </c>
      <c r="P34" s="21" t="s">
        <v>15</v>
      </c>
      <c r="Q34" s="159">
        <f t="shared" ref="Q34:W34" si="16">SUM(Q22:Q28)</f>
        <v>3578.142312</v>
      </c>
      <c r="R34" s="159">
        <f t="shared" si="16"/>
        <v>6272.86234590554</v>
      </c>
      <c r="S34" s="159">
        <f t="shared" si="16"/>
        <v>20473.112387912</v>
      </c>
      <c r="T34" s="159">
        <f t="shared" si="16"/>
        <v>52934.8661646106</v>
      </c>
      <c r="U34" s="159">
        <f t="shared" si="16"/>
        <v>112249.720392476</v>
      </c>
      <c r="V34" s="159">
        <f t="shared" si="16"/>
        <v>3217.40990949439</v>
      </c>
      <c r="W34" s="159">
        <f t="shared" si="16"/>
        <v>198726.113512398</v>
      </c>
      <c r="X34" s="20"/>
      <c r="Z34" s="20" t="s">
        <v>15</v>
      </c>
      <c r="AA34" s="159">
        <f t="shared" ref="AA34:AG34" si="17">SUM(AA22:AA28)</f>
        <v>17207.70668</v>
      </c>
      <c r="AB34" s="159">
        <f t="shared" si="17"/>
        <v>5091.301123</v>
      </c>
      <c r="AC34" s="159">
        <f t="shared" si="17"/>
        <v>21209.341686</v>
      </c>
      <c r="AD34" s="159">
        <f t="shared" si="17"/>
        <v>58689.40897788</v>
      </c>
      <c r="AE34" s="159">
        <f t="shared" si="17"/>
        <v>231807.507298</v>
      </c>
      <c r="AF34" s="159">
        <f t="shared" si="17"/>
        <v>4883.2845025092</v>
      </c>
      <c r="AG34" s="159">
        <f t="shared" si="17"/>
        <v>338888.550267389</v>
      </c>
      <c r="AH34" s="20">
        <v>0</v>
      </c>
      <c r="AJ34" s="429" t="s">
        <v>15</v>
      </c>
      <c r="AK34" s="257">
        <f t="shared" ref="AK34:AP34" si="18">SUM(AK22:AK33)</f>
        <v>17418.695384</v>
      </c>
      <c r="AL34" s="257">
        <f t="shared" si="18"/>
        <v>2844.528426</v>
      </c>
      <c r="AM34" s="257">
        <f t="shared" si="18"/>
        <v>15759.080674</v>
      </c>
      <c r="AN34" s="257">
        <f t="shared" si="18"/>
        <v>324743.091681</v>
      </c>
      <c r="AO34" s="257">
        <f t="shared" si="18"/>
        <v>892.597224</v>
      </c>
      <c r="AP34" s="257">
        <f t="shared" si="18"/>
        <v>3978.8047942896</v>
      </c>
      <c r="AQ34" s="257">
        <f>SUM(AK34:AP34)</f>
        <v>365636.79818329</v>
      </c>
      <c r="AR34" s="2">
        <v>0</v>
      </c>
    </row>
    <row r="35" spans="1:44">
      <c r="A35" s="1" t="s">
        <v>88</v>
      </c>
      <c r="B35" s="148">
        <f t="shared" ref="B35:G35" si="19">B34/$H$34</f>
        <v>0.00156918651092031</v>
      </c>
      <c r="C35" s="148">
        <f t="shared" si="19"/>
        <v>0.0105623239093253</v>
      </c>
      <c r="D35" s="148">
        <f t="shared" si="19"/>
        <v>0.0505172499970181</v>
      </c>
      <c r="E35" s="148">
        <f t="shared" si="19"/>
        <v>0.511693075269748</v>
      </c>
      <c r="F35" s="148">
        <f t="shared" si="19"/>
        <v>0.415798538682256</v>
      </c>
      <c r="G35" s="148">
        <f t="shared" si="19"/>
        <v>0.00985962563073221</v>
      </c>
      <c r="K35" s="1" t="s">
        <v>150</v>
      </c>
      <c r="L35" s="1" t="s">
        <v>302</v>
      </c>
      <c r="M35" s="257" t="s">
        <v>303</v>
      </c>
      <c r="N35" s="257" t="s">
        <v>304</v>
      </c>
      <c r="P35" s="21" t="s">
        <v>88</v>
      </c>
      <c r="Q35" s="426">
        <f t="shared" ref="Q35:V35" si="20">Q34/$W$34</f>
        <v>0.0180053957115041</v>
      </c>
      <c r="R35" s="426">
        <f t="shared" si="20"/>
        <v>0.0315653651904896</v>
      </c>
      <c r="S35" s="426">
        <f t="shared" si="20"/>
        <v>0.103021752028752</v>
      </c>
      <c r="T35" s="426">
        <f t="shared" si="20"/>
        <v>0.266370962673248</v>
      </c>
      <c r="U35" s="426">
        <f t="shared" si="20"/>
        <v>0.564846352643396</v>
      </c>
      <c r="V35" s="426">
        <f t="shared" si="20"/>
        <v>0.01619017175261</v>
      </c>
      <c r="W35" s="20"/>
      <c r="X35" s="20"/>
      <c r="Z35" s="20" t="s">
        <v>88</v>
      </c>
      <c r="AA35" s="426">
        <f t="shared" ref="AA35:AF35" si="21">AA34/$AG$34</f>
        <v>0.0507768901204329</v>
      </c>
      <c r="AB35" s="426">
        <f t="shared" si="21"/>
        <v>0.0150235265221645</v>
      </c>
      <c r="AC35" s="426">
        <f t="shared" si="21"/>
        <v>0.0625850052156246</v>
      </c>
      <c r="AD35" s="426">
        <f t="shared" si="21"/>
        <v>0.173182035603071</v>
      </c>
      <c r="AE35" s="426">
        <f t="shared" si="21"/>
        <v>0.684022836165754</v>
      </c>
      <c r="AF35" s="426">
        <f t="shared" si="21"/>
        <v>0.0144097063729542</v>
      </c>
      <c r="AG35" s="20"/>
      <c r="AH35" s="20"/>
      <c r="AJ35" s="265" t="s">
        <v>88</v>
      </c>
      <c r="AK35" s="148">
        <v>0.04763934</v>
      </c>
      <c r="AL35" s="148">
        <v>0.00777965576805557</v>
      </c>
      <c r="AM35" s="148">
        <v>0.0431003683226111</v>
      </c>
      <c r="AN35" s="148">
        <v>0.888157574113232</v>
      </c>
      <c r="AO35" s="148">
        <v>0.00244121277845933</v>
      </c>
      <c r="AP35" s="148">
        <v>0.0108818500054118</v>
      </c>
      <c r="AQ35" s="1"/>
      <c r="AR35" s="2"/>
    </row>
    <row r="36" spans="1:24">
      <c r="A36" s="1" t="s">
        <v>199</v>
      </c>
      <c r="B36" s="244">
        <f t="shared" ref="B36:H36" si="22">B34-Q34</f>
        <v>-3181.0947540461</v>
      </c>
      <c r="C36" s="244">
        <f t="shared" si="22"/>
        <v>-3600.30246514539</v>
      </c>
      <c r="D36" s="244">
        <f t="shared" si="22"/>
        <v>-7690.85189416178</v>
      </c>
      <c r="E36" s="244">
        <f t="shared" si="22"/>
        <v>76537.6245456344</v>
      </c>
      <c r="F36" s="244">
        <f t="shared" si="22"/>
        <v>-7041.19786460679</v>
      </c>
      <c r="G36" s="244">
        <f t="shared" si="22"/>
        <v>-722.652115071408</v>
      </c>
      <c r="H36" s="244">
        <f t="shared" si="22"/>
        <v>54301.5254526029</v>
      </c>
      <c r="I36" s="2">
        <f>H36-'GMV表-商品大类'!E93</f>
        <v>-2.83762346953154e-10</v>
      </c>
      <c r="L36" s="1" t="s">
        <v>306</v>
      </c>
      <c r="M36" s="257">
        <v>32250302.6816901</v>
      </c>
      <c r="N36" s="257">
        <f t="shared" ref="N36:N49" si="23">M36/10000</f>
        <v>3225.03026816901</v>
      </c>
      <c r="P36" s="21"/>
      <c r="Q36" s="159"/>
      <c r="R36" s="159"/>
      <c r="S36" s="159"/>
      <c r="T36" s="159"/>
      <c r="U36" s="159"/>
      <c r="V36" s="159"/>
      <c r="W36" s="159"/>
      <c r="X36" s="20"/>
    </row>
    <row r="37" spans="12:24">
      <c r="L37" s="1" t="s">
        <v>314</v>
      </c>
      <c r="M37" s="257">
        <v>2836971.95314963</v>
      </c>
      <c r="N37" s="257">
        <f t="shared" si="23"/>
        <v>283.697195314963</v>
      </c>
      <c r="P37" s="21"/>
      <c r="Q37" s="159"/>
      <c r="R37" s="159"/>
      <c r="S37" s="244"/>
      <c r="T37" s="244"/>
      <c r="U37" s="159"/>
      <c r="V37" s="159"/>
      <c r="W37" s="159"/>
      <c r="X37" s="20"/>
    </row>
    <row r="38" spans="2:33">
      <c r="B38" s="244"/>
      <c r="C38" s="244"/>
      <c r="D38" s="244"/>
      <c r="E38" s="244"/>
      <c r="F38" s="244"/>
      <c r="G38" s="244"/>
      <c r="H38" s="244"/>
      <c r="L38" s="1" t="s">
        <v>315</v>
      </c>
      <c r="M38" s="257">
        <v>371874447.249199</v>
      </c>
      <c r="N38" s="257">
        <f t="shared" si="23"/>
        <v>37187.4447249199</v>
      </c>
      <c r="Q38" s="244"/>
      <c r="R38" s="305"/>
      <c r="S38" s="244"/>
      <c r="T38" s="244"/>
      <c r="U38" s="244"/>
      <c r="V38" s="159"/>
      <c r="W38" s="305"/>
      <c r="AB38" s="130"/>
      <c r="AC38" s="130"/>
      <c r="AE38" s="244"/>
      <c r="AF38" s="244"/>
      <c r="AG38" s="244"/>
    </row>
    <row r="39" spans="1:33">
      <c r="A39" s="264">
        <v>45108</v>
      </c>
      <c r="C39" s="281"/>
      <c r="L39" s="1" t="s">
        <v>316</v>
      </c>
      <c r="M39" s="257">
        <v>177923.75586455</v>
      </c>
      <c r="N39" s="257">
        <f t="shared" si="23"/>
        <v>17.792375586455</v>
      </c>
      <c r="Q39" s="244"/>
      <c r="R39" s="305"/>
      <c r="S39" s="244"/>
      <c r="T39" s="244"/>
      <c r="U39" s="244"/>
      <c r="V39" s="159"/>
      <c r="W39" s="305"/>
      <c r="AB39" s="130"/>
      <c r="AC39" s="130"/>
      <c r="AD39" s="244"/>
      <c r="AE39" s="244"/>
      <c r="AF39" s="244"/>
      <c r="AG39" s="244"/>
    </row>
    <row r="40" spans="1:33">
      <c r="A40" s="264">
        <v>45474</v>
      </c>
      <c r="C40" s="281"/>
      <c r="E40" s="244"/>
      <c r="G40" s="244"/>
      <c r="L40" s="1" t="s">
        <v>317</v>
      </c>
      <c r="M40" s="257">
        <v>67003.5401</v>
      </c>
      <c r="N40" s="257">
        <f t="shared" si="23"/>
        <v>6.70035401</v>
      </c>
      <c r="S40" s="130"/>
      <c r="T40" s="130"/>
      <c r="U40" s="244"/>
      <c r="V40" s="159"/>
      <c r="AB40" s="130"/>
      <c r="AC40" s="130"/>
      <c r="AD40" s="244"/>
      <c r="AE40" s="244"/>
      <c r="AF40" s="244"/>
      <c r="AG40" s="244"/>
    </row>
    <row r="41" spans="1:33">
      <c r="A41" s="264">
        <v>45839</v>
      </c>
      <c r="C41" s="281"/>
      <c r="E41" s="244"/>
      <c r="G41" s="244"/>
      <c r="L41" s="1" t="s">
        <v>318</v>
      </c>
      <c r="M41" s="257">
        <v>2776757.83742668</v>
      </c>
      <c r="N41" s="257">
        <f t="shared" si="23"/>
        <v>277.675783742668</v>
      </c>
      <c r="S41" s="130"/>
      <c r="T41" s="130"/>
      <c r="U41" s="244"/>
      <c r="V41" s="159"/>
      <c r="AB41" s="130"/>
      <c r="AC41" s="130"/>
      <c r="AD41" s="244"/>
      <c r="AE41" s="244"/>
      <c r="AF41" s="244"/>
      <c r="AG41" s="244"/>
    </row>
    <row r="42" spans="3:33">
      <c r="C42" s="281"/>
      <c r="E42" s="244"/>
      <c r="G42" s="244"/>
      <c r="L42" s="1" t="s">
        <v>312</v>
      </c>
      <c r="M42" s="257">
        <v>174347.7</v>
      </c>
      <c r="N42" s="257">
        <f t="shared" si="23"/>
        <v>17.43477</v>
      </c>
      <c r="S42" s="130"/>
      <c r="T42" s="130"/>
      <c r="U42" s="244"/>
      <c r="V42" s="159"/>
      <c r="AB42" s="130"/>
      <c r="AC42" s="130"/>
      <c r="AD42" s="244"/>
      <c r="AE42" s="244"/>
      <c r="AF42" s="244"/>
      <c r="AG42" s="244"/>
    </row>
    <row r="43" spans="3:33">
      <c r="C43" s="281"/>
      <c r="E43" s="244"/>
      <c r="G43" s="244"/>
      <c r="L43" s="1" t="s">
        <v>309</v>
      </c>
      <c r="M43" s="257">
        <v>124205985.1888</v>
      </c>
      <c r="N43" s="257">
        <f t="shared" si="23"/>
        <v>12420.59851888</v>
      </c>
      <c r="S43" s="130"/>
      <c r="T43" s="130"/>
      <c r="U43" s="244"/>
      <c r="V43" s="159"/>
      <c r="AB43" s="130"/>
      <c r="AC43" s="130"/>
      <c r="AD43" s="244"/>
      <c r="AE43" s="244"/>
      <c r="AF43" s="244"/>
      <c r="AG43" s="244"/>
    </row>
    <row r="44" spans="3:33">
      <c r="C44" s="281"/>
      <c r="E44" s="244"/>
      <c r="G44" s="244"/>
      <c r="L44" s="1" t="s">
        <v>311</v>
      </c>
      <c r="M44" s="257">
        <v>11337676.685</v>
      </c>
      <c r="N44" s="257">
        <f t="shared" si="23"/>
        <v>1133.7676685</v>
      </c>
      <c r="S44" s="130"/>
      <c r="T44" s="130"/>
      <c r="U44" s="244"/>
      <c r="V44" s="159"/>
      <c r="AB44" s="130"/>
      <c r="AC44" s="130"/>
      <c r="AD44" s="244"/>
      <c r="AE44" s="244"/>
      <c r="AF44" s="244"/>
      <c r="AG44" s="244"/>
    </row>
    <row r="45" spans="7:33">
      <c r="G45" s="244"/>
      <c r="L45" s="1" t="s">
        <v>308</v>
      </c>
      <c r="M45" s="257">
        <v>8862751.81580856</v>
      </c>
      <c r="N45" s="257">
        <f t="shared" si="23"/>
        <v>886.275181580856</v>
      </c>
      <c r="S45" s="130"/>
      <c r="T45" s="130"/>
      <c r="U45" s="244"/>
      <c r="V45" s="159"/>
      <c r="AB45" s="130"/>
      <c r="AC45" s="130"/>
      <c r="AD45" s="244"/>
      <c r="AE45" s="244"/>
      <c r="AF45" s="244"/>
      <c r="AG45" s="244"/>
    </row>
    <row r="46" spans="7:33">
      <c r="G46" s="244"/>
      <c r="L46" s="1" t="s">
        <v>307</v>
      </c>
      <c r="M46" s="257">
        <v>41858648.4455748</v>
      </c>
      <c r="N46" s="257">
        <f t="shared" si="23"/>
        <v>4185.86484455748</v>
      </c>
      <c r="S46" s="130"/>
      <c r="T46" s="130"/>
      <c r="U46" s="244"/>
      <c r="V46" s="159"/>
      <c r="AB46" s="130"/>
      <c r="AC46" s="130"/>
      <c r="AD46" s="244"/>
      <c r="AE46" s="244"/>
      <c r="AF46" s="244"/>
      <c r="AG46" s="244"/>
    </row>
    <row r="47" spans="12:33">
      <c r="L47" s="1" t="s">
        <v>310</v>
      </c>
      <c r="M47" s="257">
        <v>2433437.01340716</v>
      </c>
      <c r="N47" s="257">
        <f t="shared" si="23"/>
        <v>243.343701340716</v>
      </c>
      <c r="S47" s="130"/>
      <c r="T47" s="130"/>
      <c r="U47" s="244"/>
      <c r="V47" s="159"/>
      <c r="AB47" s="130"/>
      <c r="AC47" s="130"/>
      <c r="AD47" s="244"/>
      <c r="AE47" s="244"/>
      <c r="AF47" s="244"/>
      <c r="AG47" s="244"/>
    </row>
    <row r="48" spans="12:33">
      <c r="L48" s="1" t="e">
        <v>#N/A</v>
      </c>
      <c r="M48" s="257">
        <v>67970733.2143568</v>
      </c>
      <c r="N48" s="257">
        <f t="shared" si="23"/>
        <v>6797.07332143568</v>
      </c>
      <c r="P48" s="423"/>
      <c r="S48" s="130"/>
      <c r="T48" s="130"/>
      <c r="U48" s="244"/>
      <c r="V48" s="159"/>
      <c r="AB48" s="130"/>
      <c r="AC48" s="130"/>
      <c r="AD48" s="244"/>
      <c r="AE48" s="244"/>
      <c r="AF48" s="244"/>
      <c r="AG48" s="244"/>
    </row>
    <row r="49" spans="12:33">
      <c r="L49" s="1" t="s">
        <v>319</v>
      </c>
      <c r="M49" s="257">
        <f>SUM(M36:M48)</f>
        <v>666826987.080377</v>
      </c>
      <c r="N49" s="257">
        <f t="shared" si="23"/>
        <v>66682.6987080377</v>
      </c>
      <c r="S49" s="130"/>
      <c r="T49" s="130"/>
      <c r="U49" s="244"/>
      <c r="V49" s="159"/>
      <c r="AB49" s="130"/>
      <c r="AC49" s="130"/>
      <c r="AD49" s="244"/>
      <c r="AE49" s="244"/>
      <c r="AF49" s="244"/>
      <c r="AG49" s="244"/>
    </row>
    <row r="50" spans="19:33">
      <c r="S50" s="130"/>
      <c r="T50" s="130"/>
      <c r="U50" s="244"/>
      <c r="AB50" s="130"/>
      <c r="AC50" s="130"/>
      <c r="AD50" s="244"/>
      <c r="AE50" s="244"/>
      <c r="AF50" s="244"/>
      <c r="AG50" s="244"/>
    </row>
    <row r="51" hidden="1" spans="28:33">
      <c r="AB51" s="130"/>
      <c r="AC51" s="130"/>
      <c r="AD51" s="244"/>
      <c r="AE51" s="244"/>
      <c r="AF51" s="244"/>
      <c r="AG51" s="244"/>
    </row>
    <row r="52" hidden="1" spans="11:33">
      <c r="K52" s="1" t="s">
        <v>151</v>
      </c>
      <c r="L52" s="1" t="s">
        <v>302</v>
      </c>
      <c r="M52" s="257" t="s">
        <v>303</v>
      </c>
      <c r="N52" s="257" t="s">
        <v>304</v>
      </c>
      <c r="AE52" s="244"/>
      <c r="AF52" s="244"/>
      <c r="AG52" s="244"/>
    </row>
    <row r="53" hidden="1" spans="12:14">
      <c r="L53" s="1" t="s">
        <v>306</v>
      </c>
      <c r="M53" s="257">
        <v>18433545.56</v>
      </c>
      <c r="N53" s="257">
        <f t="shared" ref="N53:N65" si="24">M53/10000</f>
        <v>1843.354556</v>
      </c>
    </row>
    <row r="54" hidden="1" spans="12:14">
      <c r="L54" s="1" t="s">
        <v>314</v>
      </c>
      <c r="M54" s="257">
        <v>2362105.26</v>
      </c>
      <c r="N54" s="257">
        <f t="shared" si="24"/>
        <v>236.210526</v>
      </c>
    </row>
    <row r="55" hidden="1" spans="12:14">
      <c r="L55" s="1" t="s">
        <v>315</v>
      </c>
      <c r="M55" s="257">
        <v>330576883.42</v>
      </c>
      <c r="N55" s="257">
        <f t="shared" si="24"/>
        <v>33057.688342</v>
      </c>
    </row>
    <row r="56" hidden="1" spans="12:14">
      <c r="L56" s="1" t="s">
        <v>316</v>
      </c>
      <c r="M56" s="257">
        <v>302653.24</v>
      </c>
      <c r="N56" s="257">
        <f t="shared" si="24"/>
        <v>30.265324</v>
      </c>
    </row>
    <row r="57" hidden="1" spans="12:14">
      <c r="L57" s="1" t="s">
        <v>317</v>
      </c>
      <c r="M57" s="257">
        <v>8665.72</v>
      </c>
      <c r="N57" s="257">
        <f t="shared" si="24"/>
        <v>0.866572</v>
      </c>
    </row>
    <row r="58" hidden="1" spans="12:14">
      <c r="L58" s="1" t="s">
        <v>318</v>
      </c>
      <c r="M58" s="257">
        <v>1744349.13</v>
      </c>
      <c r="N58" s="257">
        <f t="shared" si="24"/>
        <v>174.434913</v>
      </c>
    </row>
    <row r="59" hidden="1" spans="12:14">
      <c r="L59" s="1" t="s">
        <v>312</v>
      </c>
      <c r="M59" s="257">
        <v>29.6</v>
      </c>
      <c r="N59" s="257">
        <f t="shared" si="24"/>
        <v>0.00296</v>
      </c>
    </row>
    <row r="60" hidden="1" spans="12:14">
      <c r="L60" s="1" t="s">
        <v>309</v>
      </c>
      <c r="M60" s="257">
        <v>112862971.3653</v>
      </c>
      <c r="N60" s="257">
        <f t="shared" si="24"/>
        <v>11286.29713653</v>
      </c>
    </row>
    <row r="61" hidden="1" spans="12:14">
      <c r="L61" s="1" t="s">
        <v>311</v>
      </c>
      <c r="M61" s="257">
        <v>10694332.15</v>
      </c>
      <c r="N61" s="257">
        <f t="shared" si="24"/>
        <v>1069.433215</v>
      </c>
    </row>
    <row r="62" hidden="1" spans="12:14">
      <c r="L62" s="1" t="s">
        <v>308</v>
      </c>
      <c r="M62" s="257">
        <v>9138416.02</v>
      </c>
      <c r="N62" s="257">
        <f t="shared" si="24"/>
        <v>913.841602</v>
      </c>
    </row>
    <row r="63" hidden="1" spans="12:14">
      <c r="L63" s="1" t="s">
        <v>307</v>
      </c>
      <c r="M63" s="257">
        <v>36337743.7919043</v>
      </c>
      <c r="N63" s="257">
        <f t="shared" si="24"/>
        <v>3633.77437919043</v>
      </c>
    </row>
    <row r="64" hidden="1" spans="12:14">
      <c r="L64" s="1" t="s">
        <v>310</v>
      </c>
      <c r="M64" s="257">
        <v>4181362.16</v>
      </c>
      <c r="N64" s="257">
        <f t="shared" si="24"/>
        <v>418.136216</v>
      </c>
    </row>
    <row r="65" hidden="1" spans="12:14">
      <c r="L65" s="1" t="e">
        <v>#N/A</v>
      </c>
      <c r="M65" s="257">
        <v>77419758.76</v>
      </c>
      <c r="N65" s="257">
        <f t="shared" si="24"/>
        <v>7741.975876</v>
      </c>
    </row>
    <row r="66" hidden="1" spans="12:14">
      <c r="L66" s="1" t="s">
        <v>319</v>
      </c>
      <c r="M66" s="257">
        <v>604062816.18</v>
      </c>
      <c r="N66" s="257">
        <f>SUM(N53:N65)</f>
        <v>60406.2816177204</v>
      </c>
    </row>
    <row r="67" hidden="1"/>
    <row r="68" hidden="1"/>
    <row r="69" hidden="1" spans="11:14">
      <c r="K69" s="1" t="s">
        <v>152</v>
      </c>
      <c r="L69" s="1" t="s">
        <v>302</v>
      </c>
      <c r="M69" s="257" t="s">
        <v>303</v>
      </c>
      <c r="N69" s="257" t="s">
        <v>304</v>
      </c>
    </row>
    <row r="70" hidden="1" spans="12:14">
      <c r="L70" s="1" t="s">
        <v>306</v>
      </c>
      <c r="M70" s="257">
        <v>10385218.7692084</v>
      </c>
      <c r="N70" s="257">
        <f t="shared" ref="N70:N84" si="25">M70/10000</f>
        <v>1038.52187692084</v>
      </c>
    </row>
    <row r="71" hidden="1" spans="12:14">
      <c r="L71" s="1" t="s">
        <v>314</v>
      </c>
      <c r="M71" s="257">
        <v>4503372.33804555</v>
      </c>
      <c r="N71" s="257">
        <f t="shared" si="25"/>
        <v>450.337233804555</v>
      </c>
    </row>
    <row r="72" hidden="1" spans="12:14">
      <c r="L72" s="1" t="s">
        <v>315</v>
      </c>
      <c r="M72" s="257">
        <v>122928903.398387</v>
      </c>
      <c r="N72" s="257">
        <f t="shared" si="25"/>
        <v>12292.8903398387</v>
      </c>
    </row>
    <row r="73" hidden="1" spans="12:14">
      <c r="L73" s="1" t="s">
        <v>316</v>
      </c>
      <c r="M73" s="257">
        <v>1856859.21075718</v>
      </c>
      <c r="N73" s="257">
        <f t="shared" si="25"/>
        <v>185.685921075718</v>
      </c>
    </row>
    <row r="74" hidden="1" spans="12:14">
      <c r="L74" s="1" t="s">
        <v>317</v>
      </c>
      <c r="M74" s="257">
        <v>44819.2</v>
      </c>
      <c r="N74" s="257">
        <f t="shared" si="25"/>
        <v>4.48192</v>
      </c>
    </row>
    <row r="75" hidden="1" spans="12:14">
      <c r="L75" s="1" t="s">
        <v>323</v>
      </c>
      <c r="M75" s="257">
        <v>149536556.652</v>
      </c>
      <c r="N75" s="257">
        <f t="shared" si="25"/>
        <v>14953.6556652</v>
      </c>
    </row>
    <row r="76" hidden="1" spans="12:14">
      <c r="L76" s="1" t="s">
        <v>318</v>
      </c>
      <c r="M76" s="257">
        <v>1785949.44712756</v>
      </c>
      <c r="N76" s="257">
        <f t="shared" si="25"/>
        <v>178.594944712756</v>
      </c>
    </row>
    <row r="77" hidden="1" spans="12:14">
      <c r="L77" s="1" t="s">
        <v>312</v>
      </c>
      <c r="M77" s="257">
        <v>25159.99</v>
      </c>
      <c r="N77" s="257">
        <f t="shared" si="25"/>
        <v>2.515999</v>
      </c>
    </row>
    <row r="78" hidden="1" spans="12:14">
      <c r="L78" s="1" t="s">
        <v>309</v>
      </c>
      <c r="M78" s="257">
        <v>94715385.3449332</v>
      </c>
      <c r="N78" s="257">
        <f t="shared" si="25"/>
        <v>9471.53853449332</v>
      </c>
    </row>
    <row r="79" hidden="1" spans="12:14">
      <c r="L79" s="1" t="s">
        <v>311</v>
      </c>
      <c r="M79" s="257">
        <v>16183065.6447592</v>
      </c>
      <c r="N79" s="257">
        <f t="shared" si="25"/>
        <v>1618.30656447592</v>
      </c>
    </row>
    <row r="80" hidden="1" spans="12:14">
      <c r="L80" s="1" t="s">
        <v>308</v>
      </c>
      <c r="M80" s="257">
        <v>8333794.59260254</v>
      </c>
      <c r="N80" s="257">
        <f t="shared" si="25"/>
        <v>833.379459260254</v>
      </c>
    </row>
    <row r="81" hidden="1" spans="12:14">
      <c r="L81" s="1" t="s">
        <v>307</v>
      </c>
      <c r="M81" s="257">
        <v>47738702.2638672</v>
      </c>
      <c r="N81" s="257">
        <f t="shared" si="25"/>
        <v>4773.87022638672</v>
      </c>
    </row>
    <row r="82" hidden="1" spans="12:14">
      <c r="L82" s="1" t="s">
        <v>310</v>
      </c>
      <c r="M82" s="257">
        <v>5819734.4704</v>
      </c>
      <c r="N82" s="257">
        <f t="shared" si="25"/>
        <v>581.97344704</v>
      </c>
    </row>
    <row r="83" hidden="1" spans="12:14">
      <c r="L83" s="1" t="e">
        <v>#N/A</v>
      </c>
      <c r="M83" s="257">
        <v>141543740.623413</v>
      </c>
      <c r="N83" s="257">
        <f t="shared" si="25"/>
        <v>14154.3740623413</v>
      </c>
    </row>
    <row r="84" hidden="1" spans="12:14">
      <c r="L84" s="1" t="s">
        <v>319</v>
      </c>
      <c r="M84" s="257">
        <v>605401261.945501</v>
      </c>
      <c r="N84" s="257">
        <f t="shared" si="25"/>
        <v>60540.1261945501</v>
      </c>
    </row>
    <row r="85" hidden="1"/>
    <row r="86" hidden="1"/>
    <row r="87" hidden="1" spans="11:14">
      <c r="K87" s="1" t="s">
        <v>153</v>
      </c>
      <c r="L87" s="1" t="s">
        <v>302</v>
      </c>
      <c r="M87" s="257" t="s">
        <v>303</v>
      </c>
      <c r="N87" s="257" t="s">
        <v>304</v>
      </c>
    </row>
    <row r="88" hidden="1" spans="12:35">
      <c r="L88" s="1" t="s">
        <v>306</v>
      </c>
      <c r="M88" s="257">
        <v>14226918.0966943</v>
      </c>
      <c r="N88" s="257">
        <f t="shared" ref="N88:N101" si="26">M88/10000</f>
        <v>1422.69180966943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 s="256"/>
    </row>
    <row r="89" hidden="1" spans="12:35">
      <c r="L89" s="1" t="s">
        <v>314</v>
      </c>
      <c r="M89" s="257">
        <v>3969226.20947605</v>
      </c>
      <c r="N89" s="257">
        <f t="shared" si="26"/>
        <v>396.922620947605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 s="256"/>
    </row>
    <row r="90" hidden="1" spans="12:35">
      <c r="L90" s="1" t="s">
        <v>315</v>
      </c>
      <c r="M90" s="257">
        <v>144255206.277346</v>
      </c>
      <c r="N90" s="257">
        <f t="shared" si="26"/>
        <v>14425.5206277346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 s="256"/>
    </row>
    <row r="91" hidden="1" spans="12:14">
      <c r="L91" s="1" t="s">
        <v>316</v>
      </c>
      <c r="M91" s="257">
        <v>1010975.13259488</v>
      </c>
      <c r="N91" s="257">
        <f t="shared" si="26"/>
        <v>101.097513259488</v>
      </c>
    </row>
    <row r="92" hidden="1" spans="12:35">
      <c r="L92" s="1" t="s">
        <v>317</v>
      </c>
      <c r="M92" s="257">
        <v>18669.82</v>
      </c>
      <c r="N92" s="257">
        <f t="shared" si="26"/>
        <v>1.866982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 s="256"/>
    </row>
    <row r="93" hidden="1" spans="12:35">
      <c r="L93" s="1" t="s">
        <v>323</v>
      </c>
      <c r="M93" s="257">
        <v>190884557.24254</v>
      </c>
      <c r="N93" s="257">
        <f t="shared" si="26"/>
        <v>19088.455724254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 s="256"/>
    </row>
    <row r="94" hidden="1" spans="12:35">
      <c r="L94" s="1" t="s">
        <v>318</v>
      </c>
      <c r="M94" s="257">
        <v>425860.8103</v>
      </c>
      <c r="N94" s="257">
        <f t="shared" si="26"/>
        <v>42.58608103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 s="256"/>
    </row>
    <row r="95" hidden="1" spans="12:35">
      <c r="L95" s="1" t="s">
        <v>312</v>
      </c>
      <c r="M95" s="257">
        <v>5629.01</v>
      </c>
      <c r="N95" s="257">
        <f t="shared" si="26"/>
        <v>0.562901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 s="256"/>
    </row>
    <row r="96" hidden="1" spans="12:35">
      <c r="L96" s="1" t="s">
        <v>309</v>
      </c>
      <c r="M96" s="257">
        <v>33226469.4866</v>
      </c>
      <c r="N96" s="257">
        <f t="shared" si="26"/>
        <v>3322.64694866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 s="256"/>
    </row>
    <row r="97" hidden="1" spans="12:35">
      <c r="L97" s="1" t="s">
        <v>311</v>
      </c>
      <c r="M97" s="257">
        <v>18927844.8789892</v>
      </c>
      <c r="N97" s="257">
        <f t="shared" si="26"/>
        <v>1892.78448789892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 s="256"/>
    </row>
    <row r="98" hidden="1" spans="12:35">
      <c r="L98" s="1" t="s">
        <v>308</v>
      </c>
      <c r="M98" s="257">
        <v>6905865.64902211</v>
      </c>
      <c r="N98" s="257">
        <f t="shared" si="26"/>
        <v>690.586564902211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 s="256"/>
    </row>
    <row r="99" hidden="1" spans="12:35">
      <c r="L99" s="1" t="s">
        <v>307</v>
      </c>
      <c r="M99" s="257">
        <v>60399084.9726798</v>
      </c>
      <c r="N99" s="257">
        <f t="shared" si="26"/>
        <v>6039.90849726798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 s="256"/>
    </row>
    <row r="100" hidden="1" spans="12:35">
      <c r="L100" s="1" t="s">
        <v>310</v>
      </c>
      <c r="M100" s="257">
        <v>5243715.60992759</v>
      </c>
      <c r="N100" s="257">
        <f t="shared" si="26"/>
        <v>524.371560992759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 s="256"/>
    </row>
    <row r="101" hidden="1" spans="12:35">
      <c r="L101" s="1" t="e">
        <v>#N/A</v>
      </c>
      <c r="M101" s="257">
        <v>91531242.0628257</v>
      </c>
      <c r="N101" s="257">
        <f t="shared" si="26"/>
        <v>9153.12420628257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 s="256"/>
    </row>
    <row r="102" hidden="1" spans="12:35">
      <c r="L102" s="1" t="s">
        <v>319</v>
      </c>
      <c r="M102" s="257">
        <v>601482542.818996</v>
      </c>
      <c r="N102" s="257">
        <f>SUM(N88:N101)</f>
        <v>57103.1265258996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 s="256"/>
    </row>
    <row r="103" hidden="1" spans="16:34"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5" spans="11:14">
      <c r="K105" s="1" t="s">
        <v>154</v>
      </c>
      <c r="L105" s="1" t="s">
        <v>302</v>
      </c>
      <c r="M105" s="257" t="s">
        <v>303</v>
      </c>
      <c r="N105" s="257" t="s">
        <v>304</v>
      </c>
    </row>
    <row r="106" spans="12:34">
      <c r="L106" s="1" t="s">
        <v>306</v>
      </c>
      <c r="M106" s="257">
        <v>8472685.45810566</v>
      </c>
      <c r="N106" s="257">
        <f t="shared" ref="N106:N119" si="27">M106/10000</f>
        <v>847.268545810566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2:34">
      <c r="L107" s="1" t="s">
        <v>314</v>
      </c>
      <c r="M107" s="257">
        <v>3347041.67184632</v>
      </c>
      <c r="N107" s="257">
        <f t="shared" si="27"/>
        <v>334.704167184632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2:34">
      <c r="L108" s="1" t="s">
        <v>315</v>
      </c>
      <c r="M108" s="257">
        <v>113018058.105059</v>
      </c>
      <c r="N108" s="257">
        <f t="shared" si="27"/>
        <v>11301.8058105059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2:14">
      <c r="L109" s="1" t="s">
        <v>316</v>
      </c>
      <c r="M109" s="257">
        <v>371996.17505658</v>
      </c>
      <c r="N109" s="257">
        <f t="shared" si="27"/>
        <v>37.199617505658</v>
      </c>
    </row>
    <row r="110" spans="12:34">
      <c r="L110" s="1" t="s">
        <v>317</v>
      </c>
      <c r="M110" s="257">
        <v>20332.21</v>
      </c>
      <c r="N110" s="257">
        <f t="shared" si="27"/>
        <v>2.033221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2:34">
      <c r="L111" s="1" t="s">
        <v>323</v>
      </c>
      <c r="M111" s="257">
        <v>334188981.861466</v>
      </c>
      <c r="N111" s="257">
        <f t="shared" si="27"/>
        <v>33418.8981861466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2:34">
      <c r="L112" s="1" t="s">
        <v>318</v>
      </c>
      <c r="M112" s="257">
        <v>5265696.9728</v>
      </c>
      <c r="N112" s="257">
        <f t="shared" si="27"/>
        <v>526.56969728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2:34">
      <c r="L113" s="1" t="s">
        <v>312</v>
      </c>
      <c r="N113" s="257">
        <f t="shared" si="27"/>
        <v>0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2:34">
      <c r="L114" s="1" t="s">
        <v>309</v>
      </c>
      <c r="M114" s="257">
        <v>21491403.9079</v>
      </c>
      <c r="N114" s="257">
        <f t="shared" si="27"/>
        <v>2149.14039079</v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2:34">
      <c r="L115" s="1" t="s">
        <v>311</v>
      </c>
      <c r="M115" s="257">
        <v>12154211.0262542</v>
      </c>
      <c r="N115" s="257">
        <f t="shared" si="27"/>
        <v>1215.42110262542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2:34">
      <c r="L116" s="1" t="s">
        <v>308</v>
      </c>
      <c r="M116" s="257">
        <v>8095679.65548964</v>
      </c>
      <c r="N116" s="257">
        <f t="shared" si="27"/>
        <v>809.567965548964</v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2:34">
      <c r="L117" s="1" t="s">
        <v>307</v>
      </c>
      <c r="M117" s="257">
        <v>29081989.0642373</v>
      </c>
      <c r="N117" s="257">
        <f t="shared" si="27"/>
        <v>2908.19890642373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2:34">
      <c r="L118" s="1" t="s">
        <v>310</v>
      </c>
      <c r="M118" s="257">
        <v>4230972.5288</v>
      </c>
      <c r="N118" s="257">
        <f t="shared" si="27"/>
        <v>423.09725288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2:34">
      <c r="L119" s="1" t="e">
        <v>#N/A</v>
      </c>
      <c r="M119" s="257">
        <v>91647695.9088077</v>
      </c>
      <c r="N119" s="257">
        <f t="shared" si="27"/>
        <v>9164.76959088077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2:34">
      <c r="L120" s="1" t="s">
        <v>319</v>
      </c>
      <c r="M120" s="257">
        <f>SUM(M106:M119)</f>
        <v>631386744.545822</v>
      </c>
      <c r="N120" s="257">
        <f>SUM(N106:N119)</f>
        <v>63138.6744545822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6:34"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6:17">
      <c r="P122"/>
      <c r="Q122"/>
    </row>
    <row r="123" spans="11:15">
      <c r="K123" s="1" t="s">
        <v>155</v>
      </c>
      <c r="L123" s="1" t="s">
        <v>302</v>
      </c>
      <c r="M123" s="2" t="s">
        <v>303</v>
      </c>
      <c r="N123" s="219" t="s">
        <v>304</v>
      </c>
      <c r="O123" s="219"/>
    </row>
    <row r="124" spans="12:15">
      <c r="L124" s="1" t="s">
        <v>306</v>
      </c>
      <c r="M124" s="2"/>
      <c r="N124" s="219">
        <f t="shared" ref="N124:N137" si="28">M124/10000</f>
        <v>0</v>
      </c>
      <c r="O124" s="219"/>
    </row>
    <row r="125" spans="12:16">
      <c r="L125" s="1" t="s">
        <v>314</v>
      </c>
      <c r="M125" s="2"/>
      <c r="N125" s="219">
        <f t="shared" si="28"/>
        <v>0</v>
      </c>
      <c r="O125" s="219"/>
      <c r="P125" s="2"/>
    </row>
    <row r="126" spans="12:16">
      <c r="L126" s="1" t="s">
        <v>315</v>
      </c>
      <c r="M126" s="2"/>
      <c r="N126" s="219">
        <f t="shared" si="28"/>
        <v>0</v>
      </c>
      <c r="O126" s="219"/>
      <c r="P126" s="2"/>
    </row>
    <row r="127" spans="12:14">
      <c r="L127" s="1" t="s">
        <v>323</v>
      </c>
      <c r="N127" s="257">
        <f t="shared" si="28"/>
        <v>0</v>
      </c>
    </row>
    <row r="128" spans="12:16">
      <c r="L128" s="1" t="s">
        <v>316</v>
      </c>
      <c r="M128" s="2"/>
      <c r="N128" s="219">
        <f t="shared" si="28"/>
        <v>0</v>
      </c>
      <c r="O128" s="219"/>
      <c r="P128" s="2"/>
    </row>
    <row r="129" spans="12:16">
      <c r="L129" s="1" t="s">
        <v>317</v>
      </c>
      <c r="M129" s="2"/>
      <c r="N129" s="219">
        <f t="shared" si="28"/>
        <v>0</v>
      </c>
      <c r="O129" s="219"/>
      <c r="P129" s="2"/>
    </row>
    <row r="130" spans="12:16">
      <c r="L130" s="1" t="s">
        <v>318</v>
      </c>
      <c r="M130" s="2"/>
      <c r="N130" s="219">
        <f t="shared" si="28"/>
        <v>0</v>
      </c>
      <c r="O130" s="219"/>
      <c r="P130" s="2"/>
    </row>
    <row r="131" spans="12:16">
      <c r="L131" s="1" t="s">
        <v>312</v>
      </c>
      <c r="M131" s="2"/>
      <c r="N131" s="219">
        <f t="shared" si="28"/>
        <v>0</v>
      </c>
      <c r="O131" s="219"/>
      <c r="P131" s="2"/>
    </row>
    <row r="132" spans="12:16">
      <c r="L132" s="1" t="s">
        <v>309</v>
      </c>
      <c r="M132" s="2"/>
      <c r="N132" s="219">
        <f t="shared" si="28"/>
        <v>0</v>
      </c>
      <c r="O132" s="219"/>
      <c r="P132" s="2"/>
    </row>
    <row r="133" spans="12:16">
      <c r="L133" s="1" t="s">
        <v>311</v>
      </c>
      <c r="M133" s="2"/>
      <c r="N133" s="219">
        <f t="shared" si="28"/>
        <v>0</v>
      </c>
      <c r="O133" s="219"/>
      <c r="P133" s="2"/>
    </row>
    <row r="134" spans="12:16">
      <c r="L134" s="1" t="s">
        <v>308</v>
      </c>
      <c r="M134" s="2"/>
      <c r="N134" s="219">
        <f t="shared" si="28"/>
        <v>0</v>
      </c>
      <c r="O134" s="219"/>
      <c r="P134" s="2"/>
    </row>
    <row r="135" spans="12:16">
      <c r="L135" s="1" t="s">
        <v>307</v>
      </c>
      <c r="M135" s="2"/>
      <c r="N135" s="219">
        <f t="shared" si="28"/>
        <v>0</v>
      </c>
      <c r="O135" s="219"/>
      <c r="P135" s="2"/>
    </row>
    <row r="136" spans="12:16">
      <c r="L136" s="1" t="s">
        <v>310</v>
      </c>
      <c r="M136" s="2"/>
      <c r="N136" s="219">
        <f t="shared" si="28"/>
        <v>0</v>
      </c>
      <c r="O136" s="219"/>
      <c r="P136" s="2"/>
    </row>
    <row r="137" spans="12:16">
      <c r="L137" s="1" t="e">
        <v>#N/A</v>
      </c>
      <c r="M137" s="2"/>
      <c r="N137" s="219">
        <f t="shared" si="28"/>
        <v>0</v>
      </c>
      <c r="O137" s="219"/>
      <c r="P137" s="2"/>
    </row>
    <row r="138" spans="12:16">
      <c r="L138" s="1" t="s">
        <v>319</v>
      </c>
      <c r="M138" s="257">
        <f>SUM(M124:M137)</f>
        <v>0</v>
      </c>
      <c r="N138" s="219">
        <f>SUM(N124:N137)</f>
        <v>0</v>
      </c>
      <c r="O138" s="219"/>
      <c r="P138" s="2"/>
    </row>
    <row r="139" spans="13:16">
      <c r="M139" s="219"/>
      <c r="N139" s="219"/>
      <c r="O139" s="219"/>
      <c r="P139" s="2"/>
    </row>
    <row r="140" spans="13:16">
      <c r="M140" s="219"/>
      <c r="N140" s="219"/>
      <c r="O140" s="219"/>
      <c r="P140" s="2"/>
    </row>
    <row r="141" spans="11:16">
      <c r="K141" s="1" t="s">
        <v>156</v>
      </c>
      <c r="L141" s="1" t="s">
        <v>302</v>
      </c>
      <c r="M141" s="219" t="s">
        <v>303</v>
      </c>
      <c r="N141" s="219" t="s">
        <v>304</v>
      </c>
      <c r="O141" s="219"/>
      <c r="P141" s="2"/>
    </row>
    <row r="142" spans="12:16">
      <c r="L142" s="1" t="s">
        <v>306</v>
      </c>
      <c r="M142" s="219"/>
      <c r="N142" s="219">
        <f t="shared" ref="N142:N155" si="29">M142/10000</f>
        <v>0</v>
      </c>
      <c r="O142" s="219"/>
      <c r="P142" s="2"/>
    </row>
    <row r="143" spans="12:16">
      <c r="L143" s="1" t="s">
        <v>314</v>
      </c>
      <c r="N143" s="219">
        <f t="shared" si="29"/>
        <v>0</v>
      </c>
      <c r="P143" s="2"/>
    </row>
    <row r="144" spans="12:16">
      <c r="L144" s="1" t="s">
        <v>315</v>
      </c>
      <c r="N144" s="219">
        <f t="shared" si="29"/>
        <v>0</v>
      </c>
      <c r="P144" s="2"/>
    </row>
    <row r="145" spans="12:14">
      <c r="L145" s="1" t="s">
        <v>323</v>
      </c>
      <c r="N145" s="257">
        <f t="shared" si="29"/>
        <v>0</v>
      </c>
    </row>
    <row r="146" spans="12:14">
      <c r="L146" s="1" t="s">
        <v>316</v>
      </c>
      <c r="N146" s="219">
        <f t="shared" si="29"/>
        <v>0</v>
      </c>
    </row>
    <row r="147" spans="12:14">
      <c r="L147" s="1" t="s">
        <v>317</v>
      </c>
      <c r="N147" s="219">
        <f t="shared" si="29"/>
        <v>0</v>
      </c>
    </row>
    <row r="148" spans="12:14">
      <c r="L148" s="1" t="s">
        <v>318</v>
      </c>
      <c r="N148" s="219">
        <f t="shared" si="29"/>
        <v>0</v>
      </c>
    </row>
    <row r="149" spans="12:14">
      <c r="L149" s="1" t="s">
        <v>312</v>
      </c>
      <c r="N149" s="219">
        <f t="shared" si="29"/>
        <v>0</v>
      </c>
    </row>
    <row r="150" spans="12:14">
      <c r="L150" s="1" t="s">
        <v>309</v>
      </c>
      <c r="N150" s="219">
        <f t="shared" si="29"/>
        <v>0</v>
      </c>
    </row>
    <row r="151" spans="12:14">
      <c r="L151" s="1" t="s">
        <v>311</v>
      </c>
      <c r="N151" s="219">
        <f t="shared" si="29"/>
        <v>0</v>
      </c>
    </row>
    <row r="152" spans="12:14">
      <c r="L152" s="1" t="s">
        <v>308</v>
      </c>
      <c r="N152" s="219">
        <f t="shared" si="29"/>
        <v>0</v>
      </c>
    </row>
    <row r="153" spans="12:14">
      <c r="L153" s="1" t="s">
        <v>307</v>
      </c>
      <c r="N153" s="219">
        <f t="shared" si="29"/>
        <v>0</v>
      </c>
    </row>
    <row r="154" spans="12:14">
      <c r="L154" s="1" t="s">
        <v>310</v>
      </c>
      <c r="N154" s="219">
        <f t="shared" si="29"/>
        <v>0</v>
      </c>
    </row>
    <row r="155" spans="12:14">
      <c r="L155" s="1" t="e">
        <v>#N/A</v>
      </c>
      <c r="N155" s="219">
        <f t="shared" si="29"/>
        <v>0</v>
      </c>
    </row>
    <row r="156" spans="12:14">
      <c r="L156" s="1" t="s">
        <v>319</v>
      </c>
      <c r="M156" s="257">
        <f>SUM(M142:M155)</f>
        <v>0</v>
      </c>
      <c r="N156" s="257">
        <f>SUM(N142:N155)</f>
        <v>0</v>
      </c>
    </row>
    <row r="159" spans="11:14">
      <c r="K159" s="1" t="s">
        <v>157</v>
      </c>
      <c r="L159" s="130" t="s">
        <v>302</v>
      </c>
      <c r="M159" s="257" t="s">
        <v>303</v>
      </c>
      <c r="N159" s="219" t="s">
        <v>304</v>
      </c>
    </row>
    <row r="160" spans="12:14">
      <c r="L160" s="130" t="s">
        <v>306</v>
      </c>
      <c r="N160" s="257">
        <f t="shared" ref="N160:N174" si="30">M160/10000</f>
        <v>0</v>
      </c>
    </row>
    <row r="161" spans="12:14">
      <c r="L161" s="130" t="s">
        <v>314</v>
      </c>
      <c r="N161" s="257">
        <f t="shared" si="30"/>
        <v>0</v>
      </c>
    </row>
    <row r="162" spans="12:14">
      <c r="L162" s="130" t="s">
        <v>315</v>
      </c>
      <c r="N162" s="257">
        <f t="shared" si="30"/>
        <v>0</v>
      </c>
    </row>
    <row r="163" spans="12:14">
      <c r="L163" s="1" t="s">
        <v>323</v>
      </c>
      <c r="N163" s="257">
        <f t="shared" si="30"/>
        <v>0</v>
      </c>
    </row>
    <row r="164" spans="12:14">
      <c r="L164" s="130" t="s">
        <v>316</v>
      </c>
      <c r="N164" s="257">
        <f t="shared" si="30"/>
        <v>0</v>
      </c>
    </row>
    <row r="165" spans="12:14">
      <c r="L165" s="130" t="s">
        <v>317</v>
      </c>
      <c r="N165" s="257">
        <f t="shared" si="30"/>
        <v>0</v>
      </c>
    </row>
    <row r="166" spans="12:14">
      <c r="L166" s="130" t="s">
        <v>318</v>
      </c>
      <c r="N166" s="257">
        <f t="shared" si="30"/>
        <v>0</v>
      </c>
    </row>
    <row r="167" spans="12:14">
      <c r="L167" s="130" t="s">
        <v>312</v>
      </c>
      <c r="N167" s="257">
        <f t="shared" si="30"/>
        <v>0</v>
      </c>
    </row>
    <row r="168" spans="12:14">
      <c r="L168" s="130" t="s">
        <v>309</v>
      </c>
      <c r="N168" s="257">
        <f t="shared" si="30"/>
        <v>0</v>
      </c>
    </row>
    <row r="169" spans="12:14">
      <c r="L169" s="130" t="s">
        <v>311</v>
      </c>
      <c r="N169" s="257">
        <f t="shared" si="30"/>
        <v>0</v>
      </c>
    </row>
    <row r="170" spans="12:14">
      <c r="L170" s="130" t="s">
        <v>308</v>
      </c>
      <c r="N170" s="257">
        <f t="shared" si="30"/>
        <v>0</v>
      </c>
    </row>
    <row r="171" spans="12:14">
      <c r="L171" s="130" t="s">
        <v>307</v>
      </c>
      <c r="N171" s="257">
        <f t="shared" si="30"/>
        <v>0</v>
      </c>
    </row>
    <row r="172" spans="12:14">
      <c r="L172" s="130" t="s">
        <v>310</v>
      </c>
      <c r="N172" s="257">
        <f t="shared" si="30"/>
        <v>0</v>
      </c>
    </row>
    <row r="173" spans="12:14">
      <c r="L173" s="130" t="e">
        <v>#N/A</v>
      </c>
      <c r="N173" s="257">
        <f t="shared" si="30"/>
        <v>0</v>
      </c>
    </row>
    <row r="174" spans="12:14">
      <c r="L174" s="130" t="s">
        <v>319</v>
      </c>
      <c r="M174" s="257">
        <f>SUM(M160:M173)</f>
        <v>0</v>
      </c>
      <c r="N174" s="257">
        <f t="shared" si="30"/>
        <v>0</v>
      </c>
    </row>
    <row r="177" spans="11:14">
      <c r="K177" s="1" t="s">
        <v>158</v>
      </c>
      <c r="L177" s="1" t="s">
        <v>302</v>
      </c>
      <c r="M177" s="257" t="s">
        <v>303</v>
      </c>
      <c r="N177" s="219" t="s">
        <v>304</v>
      </c>
    </row>
    <row r="178" spans="12:14">
      <c r="L178" s="1" t="s">
        <v>306</v>
      </c>
      <c r="N178" s="257">
        <f t="shared" ref="N178:N191" si="31">M178/10000</f>
        <v>0</v>
      </c>
    </row>
    <row r="179" spans="12:14">
      <c r="L179" s="1" t="s">
        <v>314</v>
      </c>
      <c r="N179" s="257">
        <f t="shared" si="31"/>
        <v>0</v>
      </c>
    </row>
    <row r="180" spans="12:14">
      <c r="L180" s="1" t="s">
        <v>315</v>
      </c>
      <c r="N180" s="257">
        <f t="shared" si="31"/>
        <v>0</v>
      </c>
    </row>
    <row r="181" spans="12:14">
      <c r="L181" s="1" t="s">
        <v>323</v>
      </c>
      <c r="N181" s="257">
        <f t="shared" si="31"/>
        <v>0</v>
      </c>
    </row>
    <row r="182" spans="12:14">
      <c r="L182" s="1" t="s">
        <v>316</v>
      </c>
      <c r="N182" s="257">
        <f t="shared" si="31"/>
        <v>0</v>
      </c>
    </row>
    <row r="183" spans="12:14">
      <c r="L183" s="1" t="s">
        <v>317</v>
      </c>
      <c r="N183" s="257">
        <f t="shared" si="31"/>
        <v>0</v>
      </c>
    </row>
    <row r="184" spans="12:14">
      <c r="L184" s="1" t="s">
        <v>318</v>
      </c>
      <c r="N184" s="257">
        <f t="shared" si="31"/>
        <v>0</v>
      </c>
    </row>
    <row r="185" spans="12:14">
      <c r="L185" s="1" t="s">
        <v>312</v>
      </c>
      <c r="N185" s="257">
        <f t="shared" si="31"/>
        <v>0</v>
      </c>
    </row>
    <row r="186" spans="12:14">
      <c r="L186" s="1" t="s">
        <v>309</v>
      </c>
      <c r="N186" s="257">
        <f t="shared" si="31"/>
        <v>0</v>
      </c>
    </row>
    <row r="187" spans="12:14">
      <c r="L187" s="1" t="s">
        <v>311</v>
      </c>
      <c r="N187" s="257">
        <f t="shared" si="31"/>
        <v>0</v>
      </c>
    </row>
    <row r="188" spans="12:14">
      <c r="L188" s="1" t="s">
        <v>308</v>
      </c>
      <c r="N188" s="257">
        <f t="shared" si="31"/>
        <v>0</v>
      </c>
    </row>
    <row r="189" spans="12:14">
      <c r="L189" s="1" t="s">
        <v>307</v>
      </c>
      <c r="N189" s="257">
        <f t="shared" si="31"/>
        <v>0</v>
      </c>
    </row>
    <row r="190" spans="12:14">
      <c r="L190" s="1" t="s">
        <v>310</v>
      </c>
      <c r="N190" s="257">
        <f t="shared" si="31"/>
        <v>0</v>
      </c>
    </row>
    <row r="191" spans="12:14">
      <c r="L191" s="1" t="e">
        <v>#N/A</v>
      </c>
      <c r="N191" s="257">
        <f t="shared" si="31"/>
        <v>0</v>
      </c>
    </row>
    <row r="192" spans="12:14">
      <c r="L192" s="1" t="s">
        <v>319</v>
      </c>
      <c r="M192" s="257">
        <f>SUM(M178:M191)</f>
        <v>0</v>
      </c>
      <c r="N192" s="257">
        <f>SUM(N178:N191)</f>
        <v>0</v>
      </c>
    </row>
    <row r="195" spans="11:37">
      <c r="K195" s="1" t="s">
        <v>324</v>
      </c>
      <c r="L195" s="1" t="s">
        <v>302</v>
      </c>
      <c r="M195" s="257" t="s">
        <v>303</v>
      </c>
      <c r="N195" s="219" t="s">
        <v>304</v>
      </c>
      <c r="AI195" s="257"/>
      <c r="AJ195" s="430"/>
      <c r="AK195" s="130"/>
    </row>
    <row r="196" spans="12:37">
      <c r="L196" s="1" t="s">
        <v>306</v>
      </c>
      <c r="N196" s="257">
        <f t="shared" ref="N196:N209" si="32">M196/10000</f>
        <v>0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257"/>
      <c r="AJ196" s="431"/>
      <c r="AK196" s="130"/>
    </row>
    <row r="197" spans="12:37">
      <c r="L197" s="1" t="s">
        <v>314</v>
      </c>
      <c r="N197" s="257">
        <f t="shared" si="32"/>
        <v>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257"/>
      <c r="AJ197" s="431"/>
      <c r="AK197" s="130"/>
    </row>
    <row r="198" spans="12:37">
      <c r="L198" s="1" t="s">
        <v>315</v>
      </c>
      <c r="N198" s="257">
        <f t="shared" si="32"/>
        <v>0</v>
      </c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257"/>
      <c r="AJ198" s="431"/>
      <c r="AK198" s="130"/>
    </row>
    <row r="199" spans="12:14">
      <c r="L199" s="1" t="s">
        <v>323</v>
      </c>
      <c r="N199" s="257">
        <f t="shared" si="32"/>
        <v>0</v>
      </c>
    </row>
    <row r="200" spans="12:37">
      <c r="L200" s="1" t="s">
        <v>316</v>
      </c>
      <c r="N200" s="257">
        <f t="shared" si="32"/>
        <v>0</v>
      </c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257"/>
      <c r="AJ200" s="431"/>
      <c r="AK200" s="130"/>
    </row>
    <row r="201" spans="12:37">
      <c r="L201" s="1" t="s">
        <v>317</v>
      </c>
      <c r="N201" s="257">
        <f t="shared" si="32"/>
        <v>0</v>
      </c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257"/>
      <c r="AJ201" s="431"/>
      <c r="AK201" s="130"/>
    </row>
    <row r="202" spans="12:37">
      <c r="L202" s="1" t="s">
        <v>318</v>
      </c>
      <c r="N202" s="257">
        <f t="shared" si="32"/>
        <v>0</v>
      </c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257"/>
      <c r="AJ202" s="431"/>
      <c r="AK202" s="130"/>
    </row>
    <row r="203" spans="12:37">
      <c r="L203" s="1" t="s">
        <v>312</v>
      </c>
      <c r="N203" s="257">
        <f t="shared" si="32"/>
        <v>0</v>
      </c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257"/>
      <c r="AJ203" s="431"/>
      <c r="AK203" s="130"/>
    </row>
    <row r="204" spans="12:37">
      <c r="L204" s="1" t="s">
        <v>309</v>
      </c>
      <c r="N204" s="257">
        <f t="shared" si="32"/>
        <v>0</v>
      </c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257"/>
      <c r="AJ204" s="431"/>
      <c r="AK204" s="130"/>
    </row>
    <row r="205" spans="12:37">
      <c r="L205" s="1" t="s">
        <v>311</v>
      </c>
      <c r="N205" s="257">
        <f t="shared" si="32"/>
        <v>0</v>
      </c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257"/>
      <c r="AJ205" s="431"/>
      <c r="AK205" s="130"/>
    </row>
    <row r="206" spans="12:37">
      <c r="L206" s="1" t="s">
        <v>308</v>
      </c>
      <c r="N206" s="257">
        <f t="shared" si="32"/>
        <v>0</v>
      </c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257"/>
      <c r="AJ206" s="431"/>
      <c r="AK206" s="130"/>
    </row>
    <row r="207" spans="12:37">
      <c r="L207" s="1" t="s">
        <v>307</v>
      </c>
      <c r="N207" s="257">
        <f t="shared" si="32"/>
        <v>0</v>
      </c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257"/>
      <c r="AJ207" s="431"/>
      <c r="AK207" s="130"/>
    </row>
    <row r="208" spans="12:37">
      <c r="L208" s="1" t="s">
        <v>310</v>
      </c>
      <c r="N208" s="257">
        <f t="shared" si="32"/>
        <v>0</v>
      </c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257"/>
      <c r="AJ208" s="431"/>
      <c r="AK208" s="130"/>
    </row>
    <row r="209" spans="12:37">
      <c r="L209" s="1" t="e">
        <v>#N/A</v>
      </c>
      <c r="N209" s="257">
        <f t="shared" si="32"/>
        <v>0</v>
      </c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257"/>
      <c r="AJ209" s="431"/>
      <c r="AK209" s="130"/>
    </row>
    <row r="210" spans="12:37">
      <c r="L210" s="1" t="s">
        <v>319</v>
      </c>
      <c r="M210" s="257">
        <f>SUM(M196:M209)</f>
        <v>0</v>
      </c>
      <c r="N210" s="257">
        <f>SUM(N196:N209)</f>
        <v>0</v>
      </c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257"/>
      <c r="AJ210" s="431"/>
      <c r="AK210" s="130"/>
    </row>
    <row r="211" spans="16:34"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7:17">
      <c r="Q212" s="1"/>
    </row>
  </sheetData>
  <autoFilter xmlns:etc="http://www.wps.cn/officeDocument/2017/etCustomData" ref="K35:N49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25"/>
  <sheetViews>
    <sheetView zoomScale="110" zoomScaleNormal="110" workbookViewId="0">
      <pane ySplit="2" topLeftCell="A127" activePane="bottomLeft" state="frozen"/>
      <selection/>
      <selection pane="bottomLeft" activeCell="Q67" sqref="Q67"/>
    </sheetView>
  </sheetViews>
  <sheetFormatPr defaultColWidth="8.89166666666667" defaultRowHeight="13.5"/>
  <cols>
    <col min="1" max="1" width="11.75" style="1" customWidth="1"/>
    <col min="2" max="2" width="13.8583333333333" style="130" customWidth="1"/>
    <col min="3" max="3" width="14.375" style="130" customWidth="1"/>
    <col min="4" max="4" width="14.25" style="130" customWidth="1"/>
    <col min="5" max="5" width="14.75" style="130" customWidth="1"/>
    <col min="6" max="6" width="12.7583333333333" style="1" customWidth="1"/>
    <col min="7" max="7" width="5.90833333333333" style="218" customWidth="1"/>
    <col min="8" max="8" width="11.5916666666667" style="1" customWidth="1"/>
    <col min="9" max="9" width="17.5" style="130" customWidth="1"/>
    <col min="10" max="10" width="10.8833333333333" style="130" customWidth="1"/>
    <col min="11" max="11" width="12.7583333333333" style="130" customWidth="1"/>
    <col min="12" max="12" width="11.875" style="130" customWidth="1"/>
    <col min="13" max="13" width="12.125" style="1" customWidth="1"/>
    <col min="14" max="14" width="5.10833333333333" style="218" customWidth="1"/>
    <col min="15" max="15" width="12.125" style="1" customWidth="1"/>
    <col min="16" max="17" width="13.125" style="130" customWidth="1"/>
    <col min="18" max="19" width="10.6333333333333" style="130" customWidth="1"/>
    <col min="20" max="20" width="10.6333333333333" style="1" customWidth="1"/>
    <col min="21" max="21" width="10.7333333333333" style="218" customWidth="1"/>
    <col min="22" max="22" width="9.375" style="265" customWidth="1"/>
    <col min="23" max="23" width="9.125" style="130" customWidth="1"/>
    <col min="24" max="24" width="9.125" style="1" customWidth="1"/>
    <col min="25" max="25" width="9.125" style="130" customWidth="1"/>
    <col min="26" max="27" width="8.625" style="130" customWidth="1"/>
    <col min="28" max="28" width="11.1333333333333" style="303" customWidth="1"/>
    <col min="29" max="29" width="6.70833333333333" style="269" customWidth="1"/>
    <col min="30" max="31" width="8.86666666666667" style="130" customWidth="1"/>
    <col min="32" max="32" width="8.86666666666667" style="1" customWidth="1"/>
    <col min="33" max="33" width="8.86666666666667" customWidth="1"/>
    <col min="34" max="34" width="8.86666666666667" style="20" customWidth="1"/>
    <col min="35" max="35" width="6.025" style="6" customWidth="1"/>
    <col min="36" max="36" width="8.89166666666667" style="172" customWidth="1"/>
    <col min="37" max="37" width="10.5666666666667" style="295" customWidth="1"/>
    <col min="38" max="42" width="10.1083333333333" style="304" customWidth="1"/>
    <col min="43" max="43" width="10.5" style="205" customWidth="1"/>
    <col min="44" max="44" width="9.5" style="213" customWidth="1"/>
    <col min="45" max="48" width="10.7583333333333" style="295" customWidth="1"/>
    <col min="49" max="49" width="8.89166666666667" style="295" customWidth="1"/>
    <col min="50" max="50" width="8.89166666666667" style="172" customWidth="1"/>
    <col min="51" max="51" width="8.89166666666667" style="21"/>
    <col min="52" max="56" width="10.375" style="159"/>
    <col min="57" max="57" width="8.89166666666667" style="305"/>
  </cols>
  <sheetData>
    <row r="1" spans="1:51">
      <c r="A1" s="306" t="s">
        <v>325</v>
      </c>
      <c r="H1" s="1" t="s">
        <v>326</v>
      </c>
      <c r="O1" s="1" t="s">
        <v>327</v>
      </c>
      <c r="W1" s="130" t="s">
        <v>328</v>
      </c>
      <c r="AD1" s="330" t="s">
        <v>329</v>
      </c>
      <c r="AK1" s="332" t="s">
        <v>330</v>
      </c>
      <c r="AY1" s="21" t="s">
        <v>325</v>
      </c>
    </row>
    <row r="2" s="302" customFormat="1" ht="22.5" spans="1:57">
      <c r="A2" s="307" t="s">
        <v>84</v>
      </c>
      <c r="B2" s="308" t="s">
        <v>12</v>
      </c>
      <c r="C2" s="308" t="s">
        <v>13</v>
      </c>
      <c r="D2" s="308" t="s">
        <v>14</v>
      </c>
      <c r="E2" s="308" t="s">
        <v>20</v>
      </c>
      <c r="F2" s="307" t="s">
        <v>214</v>
      </c>
      <c r="G2" s="309"/>
      <c r="H2" s="307" t="s">
        <v>84</v>
      </c>
      <c r="I2" s="308" t="s">
        <v>12</v>
      </c>
      <c r="J2" s="308" t="s">
        <v>13</v>
      </c>
      <c r="K2" s="308" t="s">
        <v>14</v>
      </c>
      <c r="L2" s="308" t="s">
        <v>20</v>
      </c>
      <c r="M2" s="307" t="s">
        <v>214</v>
      </c>
      <c r="N2" s="309"/>
      <c r="O2" s="307" t="s">
        <v>84</v>
      </c>
      <c r="P2" s="308" t="s">
        <v>12</v>
      </c>
      <c r="Q2" s="308" t="s">
        <v>13</v>
      </c>
      <c r="R2" s="308" t="s">
        <v>14</v>
      </c>
      <c r="S2" s="308" t="s">
        <v>20</v>
      </c>
      <c r="T2" s="307" t="s">
        <v>214</v>
      </c>
      <c r="U2" s="309"/>
      <c r="V2" s="318" t="s">
        <v>84</v>
      </c>
      <c r="W2" s="308" t="s">
        <v>12</v>
      </c>
      <c r="X2" s="308" t="s">
        <v>13</v>
      </c>
      <c r="Y2" s="308" t="s">
        <v>14</v>
      </c>
      <c r="Z2" s="308" t="s">
        <v>20</v>
      </c>
      <c r="AA2" s="307" t="s">
        <v>214</v>
      </c>
      <c r="AB2" s="331"/>
      <c r="AC2" s="318" t="s">
        <v>84</v>
      </c>
      <c r="AD2" s="308" t="s">
        <v>12</v>
      </c>
      <c r="AE2" s="308" t="s">
        <v>13</v>
      </c>
      <c r="AF2" s="308" t="s">
        <v>14</v>
      </c>
      <c r="AG2" s="308" t="s">
        <v>20</v>
      </c>
      <c r="AH2" s="307" t="s">
        <v>214</v>
      </c>
      <c r="AI2" s="308" t="s">
        <v>313</v>
      </c>
      <c r="AJ2" s="333"/>
      <c r="AK2" s="334" t="s">
        <v>331</v>
      </c>
      <c r="AL2" s="335" t="s">
        <v>12</v>
      </c>
      <c r="AM2" s="335" t="s">
        <v>13</v>
      </c>
      <c r="AN2" s="335" t="s">
        <v>14</v>
      </c>
      <c r="AO2" s="335" t="s">
        <v>20</v>
      </c>
      <c r="AP2" s="335" t="s">
        <v>214</v>
      </c>
      <c r="AQ2" s="346"/>
      <c r="AR2" s="334" t="s">
        <v>88</v>
      </c>
      <c r="AS2" s="346" t="s">
        <v>12</v>
      </c>
      <c r="AT2" s="346" t="s">
        <v>13</v>
      </c>
      <c r="AU2" s="346" t="s">
        <v>14</v>
      </c>
      <c r="AV2" s="346" t="s">
        <v>20</v>
      </c>
      <c r="AW2" s="346" t="s">
        <v>214</v>
      </c>
      <c r="AX2" s="333"/>
      <c r="AY2" s="353" t="s">
        <v>68</v>
      </c>
      <c r="AZ2" s="354" t="s">
        <v>12</v>
      </c>
      <c r="BA2" s="354" t="s">
        <v>13</v>
      </c>
      <c r="BB2" s="354" t="s">
        <v>14</v>
      </c>
      <c r="BC2" s="354" t="s">
        <v>20</v>
      </c>
      <c r="BD2" s="354" t="s">
        <v>214</v>
      </c>
      <c r="BE2" s="356"/>
    </row>
    <row r="3" hidden="1" spans="1:56">
      <c r="A3" s="310">
        <v>43831</v>
      </c>
      <c r="B3" s="311">
        <v>1548.7370251</v>
      </c>
      <c r="C3" s="311">
        <v>259.542292419896</v>
      </c>
      <c r="D3" s="311">
        <v>907.341431659989</v>
      </c>
      <c r="E3" s="311">
        <v>54.6591913399997</v>
      </c>
      <c r="F3" s="311">
        <f t="shared" ref="F3:F66" si="0">SUM(B3:E3)</f>
        <v>2770.27994051988</v>
      </c>
      <c r="H3" s="310">
        <v>43831</v>
      </c>
      <c r="I3" s="311">
        <v>0</v>
      </c>
      <c r="J3" s="311">
        <v>0</v>
      </c>
      <c r="K3" s="311">
        <v>235.27324128</v>
      </c>
      <c r="L3" s="311">
        <v>0</v>
      </c>
      <c r="M3" s="311">
        <f t="shared" ref="M3:M66" si="1">SUM(I3:L3)</f>
        <v>235.27324128</v>
      </c>
      <c r="O3" s="310">
        <v>43831</v>
      </c>
      <c r="P3" s="311"/>
      <c r="Q3" s="311"/>
      <c r="R3" s="311"/>
      <c r="S3" s="311">
        <v>0</v>
      </c>
      <c r="T3" s="311">
        <f t="shared" ref="T3:T66" si="2">SUM(P3:S3)</f>
        <v>0</v>
      </c>
      <c r="V3" s="319">
        <v>43831</v>
      </c>
      <c r="W3" s="320"/>
      <c r="X3" s="321"/>
      <c r="Y3" s="320"/>
      <c r="Z3" s="320"/>
      <c r="AA3" s="320">
        <f t="shared" ref="AA3:AA66" si="3">SUM(W3:Z3)</f>
        <v>0</v>
      </c>
      <c r="AC3" s="319">
        <v>43831</v>
      </c>
      <c r="AD3" s="320">
        <f t="shared" ref="AD3:AD66" si="4">B3+I3+P3+W3</f>
        <v>1548.7370251</v>
      </c>
      <c r="AE3" s="320">
        <f t="shared" ref="AE3:AE66" si="5">C3+J3+Q3+X3</f>
        <v>259.542292419896</v>
      </c>
      <c r="AF3" s="320">
        <f t="shared" ref="AF3:AF66" si="6">D3+K3+R3+Y3</f>
        <v>1142.61467293999</v>
      </c>
      <c r="AG3" s="320">
        <f t="shared" ref="AG3:AG66" si="7">E3+L3+S3+Z3</f>
        <v>54.6591913399997</v>
      </c>
      <c r="AH3" s="320">
        <f t="shared" ref="AH3:AH62" si="8">F3+M3+T3+AA3</f>
        <v>3005.55318179988</v>
      </c>
      <c r="AI3" s="320">
        <f t="shared" ref="AI3:AI62" si="9">SUM(AD3:AG3)-AH3</f>
        <v>0</v>
      </c>
      <c r="AK3" s="295" t="s">
        <v>216</v>
      </c>
      <c r="AL3" s="304">
        <f>AD3</f>
        <v>1548.7370251</v>
      </c>
      <c r="AM3" s="304">
        <f>AE3</f>
        <v>259.542292419896</v>
      </c>
      <c r="AN3" s="304">
        <f>AF3</f>
        <v>1142.61467293999</v>
      </c>
      <c r="AO3" s="304">
        <f>AG3</f>
        <v>54.6591913399997</v>
      </c>
      <c r="AP3" s="304">
        <f t="shared" ref="AP3:AP66" si="10">SUM(AL3:AO3)</f>
        <v>3005.55318179988</v>
      </c>
      <c r="AR3" s="295" t="s">
        <v>216</v>
      </c>
      <c r="AS3" s="287">
        <f t="shared" ref="AS3:AS66" si="11">AL3/$AP3</f>
        <v>0.515291838613394</v>
      </c>
      <c r="AT3" s="287">
        <f t="shared" ref="AT3:AT66" si="12">AM3/$AP3</f>
        <v>0.0863542505225172</v>
      </c>
      <c r="AU3" s="287">
        <f t="shared" ref="AU3:AU66" si="13">AN3/$AP3</f>
        <v>0.380167843929393</v>
      </c>
      <c r="AV3" s="287">
        <f t="shared" ref="AV3:AV66" si="14">AO3/$AP3</f>
        <v>0.0181860669346955</v>
      </c>
      <c r="AW3" s="295">
        <f t="shared" ref="AW3:AW66" si="15">SUM(AS3:AV3)</f>
        <v>1</v>
      </c>
      <c r="AY3" s="21" t="s">
        <v>216</v>
      </c>
      <c r="AZ3" s="159">
        <v>1548.7370251</v>
      </c>
      <c r="BA3" s="159">
        <v>259.542292419896</v>
      </c>
      <c r="BB3" s="159">
        <v>907.341431659989</v>
      </c>
      <c r="BC3" s="159">
        <v>54.6591913399997</v>
      </c>
      <c r="BD3" s="159">
        <v>2770.27994051988</v>
      </c>
    </row>
    <row r="4" hidden="1" spans="1:56">
      <c r="A4" s="310">
        <v>43862</v>
      </c>
      <c r="B4" s="311">
        <v>1011.55443968</v>
      </c>
      <c r="C4" s="311">
        <v>241.340101240204</v>
      </c>
      <c r="D4" s="311">
        <v>1075.26100028</v>
      </c>
      <c r="E4" s="311">
        <v>30.5257059999999</v>
      </c>
      <c r="F4" s="311">
        <f t="shared" si="0"/>
        <v>2358.6812472002</v>
      </c>
      <c r="H4" s="310">
        <v>43862</v>
      </c>
      <c r="I4" s="311">
        <v>0.1777249</v>
      </c>
      <c r="J4" s="311">
        <v>0</v>
      </c>
      <c r="K4" s="311">
        <v>89.38082498</v>
      </c>
      <c r="L4" s="311">
        <v>0</v>
      </c>
      <c r="M4" s="311">
        <f t="shared" si="1"/>
        <v>89.55854988</v>
      </c>
      <c r="O4" s="310">
        <v>43862</v>
      </c>
      <c r="P4" s="311"/>
      <c r="Q4" s="311"/>
      <c r="R4" s="311"/>
      <c r="S4" s="311">
        <v>-0.49117114</v>
      </c>
      <c r="T4" s="311">
        <f t="shared" si="2"/>
        <v>-0.49117114</v>
      </c>
      <c r="V4" s="319">
        <v>43862</v>
      </c>
      <c r="W4" s="320">
        <v>172.7397995</v>
      </c>
      <c r="X4" s="321"/>
      <c r="Y4" s="320"/>
      <c r="Z4" s="320"/>
      <c r="AA4" s="320">
        <f t="shared" si="3"/>
        <v>172.7397995</v>
      </c>
      <c r="AC4" s="319">
        <v>43862</v>
      </c>
      <c r="AD4" s="320">
        <f t="shared" si="4"/>
        <v>1184.47196408</v>
      </c>
      <c r="AE4" s="320">
        <f t="shared" si="5"/>
        <v>241.340101240204</v>
      </c>
      <c r="AF4" s="320">
        <f t="shared" si="6"/>
        <v>1164.64182526</v>
      </c>
      <c r="AG4" s="320">
        <f t="shared" si="7"/>
        <v>30.0345348599999</v>
      </c>
      <c r="AH4" s="320">
        <f t="shared" si="8"/>
        <v>2620.4884254402</v>
      </c>
      <c r="AI4" s="320">
        <f t="shared" si="9"/>
        <v>0</v>
      </c>
      <c r="AK4" s="295" t="s">
        <v>217</v>
      </c>
      <c r="AL4" s="304">
        <f>SUM(AD3:AD4)</f>
        <v>2733.20898918</v>
      </c>
      <c r="AM4" s="304">
        <f>SUM(AE3:AE4)</f>
        <v>500.8823936601</v>
      </c>
      <c r="AN4" s="304">
        <f>SUM(AF3:AF4)</f>
        <v>2307.25649819999</v>
      </c>
      <c r="AO4" s="304">
        <f>SUM(AG3:AG4)</f>
        <v>84.6937261999996</v>
      </c>
      <c r="AP4" s="304">
        <f t="shared" si="10"/>
        <v>5626.04160724009</v>
      </c>
      <c r="AR4" s="295" t="s">
        <v>217</v>
      </c>
      <c r="AS4" s="287">
        <f t="shared" si="11"/>
        <v>0.485813859901545</v>
      </c>
      <c r="AT4" s="287">
        <f t="shared" si="12"/>
        <v>0.0890292729110855</v>
      </c>
      <c r="AU4" s="287">
        <f t="shared" si="13"/>
        <v>0.410102992347374</v>
      </c>
      <c r="AV4" s="287">
        <f t="shared" si="14"/>
        <v>0.0150538748399955</v>
      </c>
      <c r="AW4" s="295">
        <f t="shared" si="15"/>
        <v>1</v>
      </c>
      <c r="AY4" s="21" t="s">
        <v>217</v>
      </c>
      <c r="AZ4" s="159">
        <v>2560.29146478</v>
      </c>
      <c r="BA4" s="159">
        <v>500.8823936601</v>
      </c>
      <c r="BB4" s="159">
        <v>1982.60243193999</v>
      </c>
      <c r="BC4" s="159">
        <v>85.1848973399996</v>
      </c>
      <c r="BD4" s="159">
        <v>5128.96118772009</v>
      </c>
    </row>
    <row r="5" hidden="1" spans="1:56">
      <c r="A5" s="310">
        <v>43891</v>
      </c>
      <c r="B5" s="311">
        <v>1275.1450964</v>
      </c>
      <c r="C5" s="311">
        <v>296.774850740102</v>
      </c>
      <c r="D5" s="311">
        <v>1946.12663528</v>
      </c>
      <c r="E5" s="311">
        <v>63.0069118800005</v>
      </c>
      <c r="F5" s="311">
        <f t="shared" si="0"/>
        <v>3581.0534943001</v>
      </c>
      <c r="H5" s="310">
        <v>43891</v>
      </c>
      <c r="I5" s="311">
        <v>0.51642776</v>
      </c>
      <c r="J5" s="311">
        <v>0</v>
      </c>
      <c r="K5" s="311">
        <v>95.10584364</v>
      </c>
      <c r="L5" s="311">
        <v>0</v>
      </c>
      <c r="M5" s="311">
        <f t="shared" si="1"/>
        <v>95.6222714</v>
      </c>
      <c r="O5" s="310">
        <v>43891</v>
      </c>
      <c r="P5" s="311"/>
      <c r="Q5" s="311"/>
      <c r="R5" s="311"/>
      <c r="S5" s="311">
        <v>0.0574795599999998</v>
      </c>
      <c r="T5" s="311">
        <f t="shared" si="2"/>
        <v>0.0574795599999998</v>
      </c>
      <c r="V5" s="319">
        <v>43891</v>
      </c>
      <c r="W5" s="320"/>
      <c r="X5" s="321"/>
      <c r="Y5" s="320"/>
      <c r="Z5" s="320"/>
      <c r="AA5" s="320">
        <f t="shared" si="3"/>
        <v>0</v>
      </c>
      <c r="AC5" s="319">
        <v>43891</v>
      </c>
      <c r="AD5" s="320">
        <f t="shared" si="4"/>
        <v>1275.66152416</v>
      </c>
      <c r="AE5" s="320">
        <f t="shared" si="5"/>
        <v>296.774850740102</v>
      </c>
      <c r="AF5" s="320">
        <f t="shared" si="6"/>
        <v>2041.23247892</v>
      </c>
      <c r="AG5" s="320">
        <f t="shared" si="7"/>
        <v>63.0643914400005</v>
      </c>
      <c r="AH5" s="320">
        <f t="shared" si="8"/>
        <v>3676.7332452601</v>
      </c>
      <c r="AI5" s="320">
        <f t="shared" si="9"/>
        <v>0</v>
      </c>
      <c r="AK5" s="295" t="s">
        <v>218</v>
      </c>
      <c r="AL5" s="304">
        <f>SUM(AD3:AD5)</f>
        <v>4008.87051334</v>
      </c>
      <c r="AM5" s="304">
        <f>SUM(AE3:AE5)</f>
        <v>797.657244400202</v>
      </c>
      <c r="AN5" s="304">
        <f>SUM(AF3:AF5)</f>
        <v>4348.48897711999</v>
      </c>
      <c r="AO5" s="304">
        <f>SUM(AG3:AG5)</f>
        <v>147.75811764</v>
      </c>
      <c r="AP5" s="304">
        <f t="shared" si="10"/>
        <v>9302.77485250019</v>
      </c>
      <c r="AR5" s="295" t="s">
        <v>218</v>
      </c>
      <c r="AS5" s="287">
        <f t="shared" si="11"/>
        <v>0.430932767577685</v>
      </c>
      <c r="AT5" s="287">
        <f t="shared" si="12"/>
        <v>0.0857440126249885</v>
      </c>
      <c r="AU5" s="287">
        <f t="shared" si="13"/>
        <v>0.467439989257754</v>
      </c>
      <c r="AV5" s="287">
        <f t="shared" si="14"/>
        <v>0.0158832305395727</v>
      </c>
      <c r="AW5" s="295">
        <f t="shared" si="15"/>
        <v>1</v>
      </c>
      <c r="AY5" s="21" t="s">
        <v>218</v>
      </c>
      <c r="AZ5" s="159">
        <v>3835.43656118</v>
      </c>
      <c r="BA5" s="159">
        <v>797.657244400202</v>
      </c>
      <c r="BB5" s="159">
        <v>3928.72906721999</v>
      </c>
      <c r="BC5" s="159">
        <v>148.19180922</v>
      </c>
      <c r="BD5" s="159">
        <v>8710.01468202019</v>
      </c>
    </row>
    <row r="6" hidden="1" spans="1:56">
      <c r="A6" s="310">
        <v>43922</v>
      </c>
      <c r="B6" s="311">
        <v>863.878236600002</v>
      </c>
      <c r="C6" s="311">
        <v>249.753543360105</v>
      </c>
      <c r="D6" s="311">
        <v>935.3831626801</v>
      </c>
      <c r="E6" s="311">
        <v>61.9177865400002</v>
      </c>
      <c r="F6" s="311">
        <f t="shared" si="0"/>
        <v>2110.93272918021</v>
      </c>
      <c r="H6" s="310">
        <v>43922</v>
      </c>
      <c r="I6" s="311">
        <v>32.9572921</v>
      </c>
      <c r="J6" s="311">
        <v>0</v>
      </c>
      <c r="K6" s="311">
        <v>105.91361742</v>
      </c>
      <c r="L6" s="311">
        <v>0</v>
      </c>
      <c r="M6" s="311">
        <f t="shared" si="1"/>
        <v>138.87090952</v>
      </c>
      <c r="O6" s="310">
        <v>43922</v>
      </c>
      <c r="P6" s="311"/>
      <c r="Q6" s="311"/>
      <c r="R6" s="311"/>
      <c r="S6" s="311">
        <v>4.8315701</v>
      </c>
      <c r="T6" s="311">
        <f t="shared" si="2"/>
        <v>4.8315701</v>
      </c>
      <c r="V6" s="319">
        <v>43922</v>
      </c>
      <c r="W6" s="320">
        <v>5.84750378</v>
      </c>
      <c r="X6" s="321"/>
      <c r="Y6" s="320"/>
      <c r="Z6" s="320"/>
      <c r="AA6" s="320">
        <f t="shared" si="3"/>
        <v>5.84750378</v>
      </c>
      <c r="AC6" s="319">
        <v>43922</v>
      </c>
      <c r="AD6" s="320">
        <f t="shared" si="4"/>
        <v>902.683032480002</v>
      </c>
      <c r="AE6" s="320">
        <f t="shared" si="5"/>
        <v>249.753543360105</v>
      </c>
      <c r="AF6" s="320">
        <f t="shared" si="6"/>
        <v>1041.2967801001</v>
      </c>
      <c r="AG6" s="320">
        <f t="shared" si="7"/>
        <v>66.7493566400002</v>
      </c>
      <c r="AH6" s="320">
        <f t="shared" si="8"/>
        <v>2260.48271258021</v>
      </c>
      <c r="AI6" s="320">
        <f t="shared" si="9"/>
        <v>0</v>
      </c>
      <c r="AK6" s="295" t="s">
        <v>219</v>
      </c>
      <c r="AL6" s="304">
        <f>SUM(AD3:AD6)</f>
        <v>4911.55354582</v>
      </c>
      <c r="AM6" s="304">
        <f>SUM(AE3:AE6)</f>
        <v>1047.41078776031</v>
      </c>
      <c r="AN6" s="304">
        <f>SUM(AF3:AF6)</f>
        <v>5389.78575722009</v>
      </c>
      <c r="AO6" s="304">
        <f>SUM(AG3:AG6)</f>
        <v>214.50747428</v>
      </c>
      <c r="AP6" s="304">
        <f t="shared" si="10"/>
        <v>11563.2575650804</v>
      </c>
      <c r="AR6" s="295" t="s">
        <v>219</v>
      </c>
      <c r="AS6" s="287">
        <f t="shared" si="11"/>
        <v>0.42475517977324</v>
      </c>
      <c r="AT6" s="287">
        <f t="shared" si="12"/>
        <v>0.0905809441556813</v>
      </c>
      <c r="AU6" s="287">
        <f t="shared" si="13"/>
        <v>0.466113093726855</v>
      </c>
      <c r="AV6" s="287">
        <f t="shared" si="14"/>
        <v>0.0185507823442233</v>
      </c>
      <c r="AW6" s="295">
        <f t="shared" si="15"/>
        <v>1</v>
      </c>
      <c r="AY6" s="21" t="s">
        <v>219</v>
      </c>
      <c r="AZ6" s="159">
        <v>4699.31479778</v>
      </c>
      <c r="BA6" s="159">
        <v>1047.41078776031</v>
      </c>
      <c r="BB6" s="159">
        <v>4864.11222990009</v>
      </c>
      <c r="BC6" s="159">
        <v>210.10959576</v>
      </c>
      <c r="BD6" s="159">
        <v>10820.9474112004</v>
      </c>
    </row>
    <row r="7" hidden="1" spans="1:56">
      <c r="A7" s="310">
        <v>43952</v>
      </c>
      <c r="B7" s="311">
        <v>968.379730120001</v>
      </c>
      <c r="C7" s="311">
        <v>534.519146660002</v>
      </c>
      <c r="D7" s="311">
        <v>1000.57821296</v>
      </c>
      <c r="E7" s="311">
        <v>166.8108841</v>
      </c>
      <c r="F7" s="311">
        <f t="shared" si="0"/>
        <v>2670.28797384</v>
      </c>
      <c r="H7" s="310">
        <v>43952</v>
      </c>
      <c r="I7" s="311">
        <v>-32.43260058</v>
      </c>
      <c r="J7" s="311">
        <v>0</v>
      </c>
      <c r="K7" s="311">
        <v>105.20619992</v>
      </c>
      <c r="L7" s="311">
        <v>0</v>
      </c>
      <c r="M7" s="311">
        <f t="shared" si="1"/>
        <v>72.77359934</v>
      </c>
      <c r="O7" s="310">
        <v>43952</v>
      </c>
      <c r="P7" s="311"/>
      <c r="Q7" s="311"/>
      <c r="R7" s="311"/>
      <c r="S7" s="311">
        <v>39.54031928</v>
      </c>
      <c r="T7" s="311">
        <f t="shared" si="2"/>
        <v>39.54031928</v>
      </c>
      <c r="V7" s="319">
        <v>43952</v>
      </c>
      <c r="W7" s="320">
        <v>15.6502004</v>
      </c>
      <c r="X7" s="321"/>
      <c r="Y7" s="320"/>
      <c r="Z7" s="320"/>
      <c r="AA7" s="320">
        <f t="shared" si="3"/>
        <v>15.6502004</v>
      </c>
      <c r="AC7" s="319">
        <v>43952</v>
      </c>
      <c r="AD7" s="320">
        <f t="shared" si="4"/>
        <v>951.597329940001</v>
      </c>
      <c r="AE7" s="320">
        <f t="shared" si="5"/>
        <v>534.519146660002</v>
      </c>
      <c r="AF7" s="320">
        <f t="shared" si="6"/>
        <v>1105.78441288</v>
      </c>
      <c r="AG7" s="320">
        <f t="shared" si="7"/>
        <v>206.35120338</v>
      </c>
      <c r="AH7" s="320">
        <f t="shared" si="8"/>
        <v>2798.25209286</v>
      </c>
      <c r="AI7" s="320">
        <f t="shared" si="9"/>
        <v>0</v>
      </c>
      <c r="AK7" s="295" t="s">
        <v>220</v>
      </c>
      <c r="AL7" s="304">
        <f>SUM(AD3:AD7)</f>
        <v>5863.15087576</v>
      </c>
      <c r="AM7" s="304">
        <f>SUM(AE3:AE7)</f>
        <v>1581.92993442031</v>
      </c>
      <c r="AN7" s="304">
        <f>SUM(AF3:AF7)</f>
        <v>6495.57017010009</v>
      </c>
      <c r="AO7" s="304">
        <f>SUM(AG3:AG7)</f>
        <v>420.85867766</v>
      </c>
      <c r="AP7" s="304">
        <f t="shared" si="10"/>
        <v>14361.5096579404</v>
      </c>
      <c r="AR7" s="295" t="s">
        <v>220</v>
      </c>
      <c r="AS7" s="287">
        <f t="shared" si="11"/>
        <v>0.408254495203316</v>
      </c>
      <c r="AT7" s="287">
        <f t="shared" si="12"/>
        <v>0.110150671628429</v>
      </c>
      <c r="AU7" s="287">
        <f t="shared" si="13"/>
        <v>0.452290206587629</v>
      </c>
      <c r="AV7" s="287">
        <f t="shared" si="14"/>
        <v>0.0293046265806262</v>
      </c>
      <c r="AW7" s="295">
        <f t="shared" si="15"/>
        <v>1</v>
      </c>
      <c r="AY7" s="21" t="s">
        <v>220</v>
      </c>
      <c r="AZ7" s="159">
        <v>5667.6945279</v>
      </c>
      <c r="BA7" s="159">
        <v>1581.92993442031</v>
      </c>
      <c r="BB7" s="159">
        <v>5864.69044286009</v>
      </c>
      <c r="BC7" s="159">
        <v>376.92047986</v>
      </c>
      <c r="BD7" s="159">
        <v>13491.2353850404</v>
      </c>
    </row>
    <row r="8" hidden="1" spans="1:56">
      <c r="A8" s="310">
        <v>43983</v>
      </c>
      <c r="B8" s="311">
        <v>771.137421740001</v>
      </c>
      <c r="C8" s="311">
        <v>400.119286239903</v>
      </c>
      <c r="D8" s="311">
        <v>1396.0129392401</v>
      </c>
      <c r="E8" s="311">
        <v>308.42394682001</v>
      </c>
      <c r="F8" s="311">
        <f t="shared" si="0"/>
        <v>2875.69359404001</v>
      </c>
      <c r="H8" s="310">
        <v>43983</v>
      </c>
      <c r="I8" s="311">
        <v>5.03562752</v>
      </c>
      <c r="J8" s="311">
        <v>0</v>
      </c>
      <c r="K8" s="311">
        <v>112.28006222</v>
      </c>
      <c r="L8" s="311">
        <v>0</v>
      </c>
      <c r="M8" s="311">
        <f t="shared" si="1"/>
        <v>117.31568974</v>
      </c>
      <c r="O8" s="310">
        <v>43983</v>
      </c>
      <c r="P8" s="311"/>
      <c r="Q8" s="311"/>
      <c r="R8" s="311"/>
      <c r="S8" s="311">
        <v>5.03417002</v>
      </c>
      <c r="T8" s="311">
        <f t="shared" si="2"/>
        <v>5.03417002</v>
      </c>
      <c r="V8" s="319">
        <v>43983</v>
      </c>
      <c r="W8" s="320">
        <v>0.01000004</v>
      </c>
      <c r="X8" s="321"/>
      <c r="Y8" s="320"/>
      <c r="Z8" s="320"/>
      <c r="AA8" s="320">
        <f t="shared" si="3"/>
        <v>0.01000004</v>
      </c>
      <c r="AC8" s="319">
        <v>43983</v>
      </c>
      <c r="AD8" s="320">
        <f t="shared" si="4"/>
        <v>776.183049300001</v>
      </c>
      <c r="AE8" s="320">
        <f t="shared" si="5"/>
        <v>400.119286239903</v>
      </c>
      <c r="AF8" s="320">
        <f t="shared" si="6"/>
        <v>1508.2930014601</v>
      </c>
      <c r="AG8" s="320">
        <f t="shared" si="7"/>
        <v>313.45811684001</v>
      </c>
      <c r="AH8" s="320">
        <f t="shared" si="8"/>
        <v>2998.05345384001</v>
      </c>
      <c r="AI8" s="320">
        <f t="shared" si="9"/>
        <v>0</v>
      </c>
      <c r="AK8" s="295" t="s">
        <v>221</v>
      </c>
      <c r="AL8" s="304">
        <f>SUM(AD3:AD8)</f>
        <v>6639.33392506</v>
      </c>
      <c r="AM8" s="304">
        <f>SUM(AE3:AE8)</f>
        <v>1982.04922066021</v>
      </c>
      <c r="AN8" s="304">
        <f>SUM(AF3:AF8)</f>
        <v>8003.86317156019</v>
      </c>
      <c r="AO8" s="304">
        <f>SUM(AG3:AG8)</f>
        <v>734.31679450001</v>
      </c>
      <c r="AP8" s="304">
        <f t="shared" si="10"/>
        <v>17359.5631117804</v>
      </c>
      <c r="AR8" s="295" t="s">
        <v>221</v>
      </c>
      <c r="AS8" s="287">
        <f t="shared" si="11"/>
        <v>0.382459736014581</v>
      </c>
      <c r="AT8" s="287">
        <f t="shared" si="12"/>
        <v>0.114176215605056</v>
      </c>
      <c r="AU8" s="287">
        <f t="shared" si="13"/>
        <v>0.461063629310387</v>
      </c>
      <c r="AV8" s="287">
        <f t="shared" si="14"/>
        <v>0.0423004190699761</v>
      </c>
      <c r="AW8" s="295">
        <f t="shared" si="15"/>
        <v>1</v>
      </c>
      <c r="AY8" s="21" t="s">
        <v>221</v>
      </c>
      <c r="AZ8" s="159">
        <v>6438.83194964</v>
      </c>
      <c r="BA8" s="159">
        <v>1982.04922066021</v>
      </c>
      <c r="BB8" s="159">
        <v>7260.70338210019</v>
      </c>
      <c r="BC8" s="159">
        <v>685.34442668001</v>
      </c>
      <c r="BD8" s="159">
        <v>16366.9289790804</v>
      </c>
    </row>
    <row r="9" hidden="1" spans="1:56">
      <c r="A9" s="310">
        <v>44013</v>
      </c>
      <c r="B9" s="311">
        <v>692.787955379999</v>
      </c>
      <c r="C9" s="311">
        <v>541.305149200498</v>
      </c>
      <c r="D9" s="311">
        <v>739.32796328</v>
      </c>
      <c r="E9" s="311">
        <v>171.631853</v>
      </c>
      <c r="F9" s="311">
        <f t="shared" si="0"/>
        <v>2145.0529208605</v>
      </c>
      <c r="H9" s="310">
        <v>44013</v>
      </c>
      <c r="I9" s="311">
        <v>0.02328396</v>
      </c>
      <c r="J9" s="311">
        <v>0</v>
      </c>
      <c r="K9" s="311">
        <v>105.77402496</v>
      </c>
      <c r="L9" s="311">
        <v>0</v>
      </c>
      <c r="M9" s="311">
        <f t="shared" si="1"/>
        <v>105.79730892</v>
      </c>
      <c r="O9" s="310">
        <v>44013</v>
      </c>
      <c r="P9" s="311"/>
      <c r="Q9" s="311"/>
      <c r="R9" s="311"/>
      <c r="S9" s="311">
        <v>10.45212258</v>
      </c>
      <c r="T9" s="311">
        <f t="shared" si="2"/>
        <v>10.45212258</v>
      </c>
      <c r="V9" s="319">
        <v>44013</v>
      </c>
      <c r="W9" s="320"/>
      <c r="X9" s="321"/>
      <c r="Y9" s="320"/>
      <c r="Z9" s="320"/>
      <c r="AA9" s="320">
        <f t="shared" si="3"/>
        <v>0</v>
      </c>
      <c r="AC9" s="319">
        <v>44013</v>
      </c>
      <c r="AD9" s="320">
        <f t="shared" si="4"/>
        <v>692.811239339999</v>
      </c>
      <c r="AE9" s="320">
        <f t="shared" si="5"/>
        <v>541.305149200498</v>
      </c>
      <c r="AF9" s="320">
        <f t="shared" si="6"/>
        <v>845.10198824</v>
      </c>
      <c r="AG9" s="320">
        <f t="shared" si="7"/>
        <v>182.08397558</v>
      </c>
      <c r="AH9" s="320">
        <f t="shared" si="8"/>
        <v>2261.3023523605</v>
      </c>
      <c r="AI9" s="320">
        <f t="shared" si="9"/>
        <v>0</v>
      </c>
      <c r="AK9" s="295" t="s">
        <v>222</v>
      </c>
      <c r="AL9" s="304">
        <f>SUM(AD3:AD9)</f>
        <v>7332.1451644</v>
      </c>
      <c r="AM9" s="304">
        <f>SUM(AE3:AE9)</f>
        <v>2523.35436986071</v>
      </c>
      <c r="AN9" s="304">
        <f>SUM(AF3:AF9)</f>
        <v>8848.96515980019</v>
      </c>
      <c r="AO9" s="304">
        <f>SUM(AG3:AG9)</f>
        <v>916.40077008001</v>
      </c>
      <c r="AP9" s="304">
        <f t="shared" si="10"/>
        <v>19620.8654641409</v>
      </c>
      <c r="AR9" s="295" t="s">
        <v>222</v>
      </c>
      <c r="AS9" s="287">
        <f t="shared" si="11"/>
        <v>0.373691220593721</v>
      </c>
      <c r="AT9" s="287">
        <f t="shared" si="12"/>
        <v>0.128605660870179</v>
      </c>
      <c r="AU9" s="287">
        <f t="shared" si="13"/>
        <v>0.45099769813786</v>
      </c>
      <c r="AV9" s="287">
        <f t="shared" si="14"/>
        <v>0.04670542039824</v>
      </c>
      <c r="AW9" s="295">
        <f t="shared" si="15"/>
        <v>1</v>
      </c>
      <c r="AY9" s="21" t="s">
        <v>222</v>
      </c>
      <c r="AZ9" s="159">
        <v>7131.61990502</v>
      </c>
      <c r="BA9" s="159">
        <v>2523.35436986071</v>
      </c>
      <c r="BB9" s="159">
        <v>8000.03134538019</v>
      </c>
      <c r="BC9" s="159">
        <v>856.97627968001</v>
      </c>
      <c r="BD9" s="159">
        <v>18511.9818999409</v>
      </c>
    </row>
    <row r="10" hidden="1" spans="1:56">
      <c r="A10" s="310">
        <v>44044</v>
      </c>
      <c r="B10" s="311">
        <v>976.97592326</v>
      </c>
      <c r="C10" s="311">
        <v>375.320215739802</v>
      </c>
      <c r="D10" s="311">
        <v>937.490614660002</v>
      </c>
      <c r="E10" s="311">
        <v>427.87452422</v>
      </c>
      <c r="F10" s="311">
        <f t="shared" si="0"/>
        <v>2717.6612778798</v>
      </c>
      <c r="H10" s="310">
        <v>44044</v>
      </c>
      <c r="I10" s="311">
        <v>0.27428454</v>
      </c>
      <c r="J10" s="311">
        <v>0.763412</v>
      </c>
      <c r="K10" s="311">
        <v>198.73142138</v>
      </c>
      <c r="L10" s="311">
        <v>0</v>
      </c>
      <c r="M10" s="311">
        <f t="shared" si="1"/>
        <v>199.76911792</v>
      </c>
      <c r="O10" s="310">
        <v>44044</v>
      </c>
      <c r="P10" s="311"/>
      <c r="Q10" s="311"/>
      <c r="R10" s="311"/>
      <c r="S10" s="311">
        <v>5.3365223</v>
      </c>
      <c r="T10" s="311">
        <f t="shared" si="2"/>
        <v>5.3365223</v>
      </c>
      <c r="V10" s="319">
        <v>44044</v>
      </c>
      <c r="W10" s="320">
        <v>65.09999964</v>
      </c>
      <c r="X10" s="321"/>
      <c r="Y10" s="320"/>
      <c r="Z10" s="320"/>
      <c r="AA10" s="320">
        <f t="shared" si="3"/>
        <v>65.09999964</v>
      </c>
      <c r="AC10" s="319">
        <v>44044</v>
      </c>
      <c r="AD10" s="320">
        <f t="shared" si="4"/>
        <v>1042.35020744</v>
      </c>
      <c r="AE10" s="320">
        <f t="shared" si="5"/>
        <v>376.083627739802</v>
      </c>
      <c r="AF10" s="320">
        <f t="shared" si="6"/>
        <v>1136.22203604</v>
      </c>
      <c r="AG10" s="320">
        <f t="shared" si="7"/>
        <v>433.21104652</v>
      </c>
      <c r="AH10" s="320">
        <f t="shared" si="8"/>
        <v>2987.8669177398</v>
      </c>
      <c r="AI10" s="320">
        <f t="shared" si="9"/>
        <v>0</v>
      </c>
      <c r="AK10" s="295" t="s">
        <v>223</v>
      </c>
      <c r="AL10" s="304">
        <f>SUM(AD3:AD10)</f>
        <v>8374.49537184</v>
      </c>
      <c r="AM10" s="304">
        <f>SUM(AE3:AE10)</f>
        <v>2899.43799760051</v>
      </c>
      <c r="AN10" s="304">
        <f>SUM(AF3:AF10)</f>
        <v>9985.18719584019</v>
      </c>
      <c r="AO10" s="304">
        <f>SUM(AG3:AG10)</f>
        <v>1349.61181660001</v>
      </c>
      <c r="AP10" s="304">
        <f t="shared" si="10"/>
        <v>22608.7323818807</v>
      </c>
      <c r="AR10" s="295" t="s">
        <v>223</v>
      </c>
      <c r="AS10" s="287">
        <f t="shared" si="11"/>
        <v>0.370409770454515</v>
      </c>
      <c r="AT10" s="287">
        <f t="shared" si="12"/>
        <v>0.128244164627478</v>
      </c>
      <c r="AU10" s="287">
        <f t="shared" si="13"/>
        <v>0.441651793085162</v>
      </c>
      <c r="AV10" s="287">
        <f t="shared" si="14"/>
        <v>0.059694271832844</v>
      </c>
      <c r="AW10" s="295">
        <f t="shared" si="15"/>
        <v>1</v>
      </c>
      <c r="AY10" s="21" t="s">
        <v>223</v>
      </c>
      <c r="AZ10" s="159">
        <v>8108.59582828</v>
      </c>
      <c r="BA10" s="159">
        <v>2898.67458560051</v>
      </c>
      <c r="BB10" s="159">
        <v>8937.52196004019</v>
      </c>
      <c r="BC10" s="159">
        <v>1284.85080390001</v>
      </c>
      <c r="BD10" s="159">
        <v>21229.6431778207</v>
      </c>
    </row>
    <row r="11" hidden="1" spans="1:56">
      <c r="A11" s="310">
        <v>44075</v>
      </c>
      <c r="B11" s="311">
        <v>1085.1145418</v>
      </c>
      <c r="C11" s="311">
        <v>422.722419380093</v>
      </c>
      <c r="D11" s="311">
        <v>1053.06368038</v>
      </c>
      <c r="E11" s="311">
        <v>258.89113066</v>
      </c>
      <c r="F11" s="311">
        <f t="shared" si="0"/>
        <v>2819.79177222009</v>
      </c>
      <c r="H11" s="310">
        <v>44075</v>
      </c>
      <c r="I11" s="311">
        <v>0.48239752</v>
      </c>
      <c r="J11" s="311">
        <v>0.245602</v>
      </c>
      <c r="K11" s="311">
        <v>134.96318136</v>
      </c>
      <c r="L11" s="311">
        <v>0.28263734</v>
      </c>
      <c r="M11" s="311">
        <f t="shared" si="1"/>
        <v>135.97381822</v>
      </c>
      <c r="O11" s="310">
        <v>44075</v>
      </c>
      <c r="P11" s="311"/>
      <c r="Q11" s="311"/>
      <c r="R11" s="311"/>
      <c r="S11" s="311">
        <v>-7.22310394</v>
      </c>
      <c r="T11" s="311">
        <f t="shared" si="2"/>
        <v>-7.22310394</v>
      </c>
      <c r="V11" s="319">
        <v>44075</v>
      </c>
      <c r="W11" s="320">
        <v>41.90000012</v>
      </c>
      <c r="X11" s="321"/>
      <c r="Y11" s="320"/>
      <c r="Z11" s="320"/>
      <c r="AA11" s="320">
        <f t="shared" si="3"/>
        <v>41.90000012</v>
      </c>
      <c r="AC11" s="319">
        <v>44075</v>
      </c>
      <c r="AD11" s="320">
        <f t="shared" si="4"/>
        <v>1127.49693944</v>
      </c>
      <c r="AE11" s="320">
        <f t="shared" si="5"/>
        <v>422.968021380093</v>
      </c>
      <c r="AF11" s="320">
        <f t="shared" si="6"/>
        <v>1188.02686174</v>
      </c>
      <c r="AG11" s="320">
        <f t="shared" si="7"/>
        <v>251.95066406</v>
      </c>
      <c r="AH11" s="320">
        <f t="shared" si="8"/>
        <v>2990.44248662009</v>
      </c>
      <c r="AI11" s="320">
        <f t="shared" si="9"/>
        <v>0</v>
      </c>
      <c r="AK11" s="295" t="s">
        <v>224</v>
      </c>
      <c r="AL11" s="304">
        <f>SUM(AD3:AD11)</f>
        <v>9501.99231128</v>
      </c>
      <c r="AM11" s="304">
        <f>SUM(AE3:AE11)</f>
        <v>3322.40601898061</v>
      </c>
      <c r="AN11" s="304">
        <f>SUM(AF3:AF11)</f>
        <v>11173.2140575802</v>
      </c>
      <c r="AO11" s="304">
        <f>SUM(AG3:AG11)</f>
        <v>1601.56248066001</v>
      </c>
      <c r="AP11" s="304">
        <f t="shared" si="10"/>
        <v>25599.1748685008</v>
      </c>
      <c r="AR11" s="295" t="s">
        <v>224</v>
      </c>
      <c r="AS11" s="287">
        <f t="shared" si="11"/>
        <v>0.371183538535532</v>
      </c>
      <c r="AT11" s="287">
        <f t="shared" si="12"/>
        <v>0.12978566832905</v>
      </c>
      <c r="AU11" s="287">
        <f t="shared" si="13"/>
        <v>0.436467742221198</v>
      </c>
      <c r="AV11" s="287">
        <f t="shared" si="14"/>
        <v>0.062563050914219</v>
      </c>
      <c r="AW11" s="295">
        <f t="shared" si="15"/>
        <v>1</v>
      </c>
      <c r="AY11" s="21" t="s">
        <v>224</v>
      </c>
      <c r="AZ11" s="159">
        <v>9193.71037008</v>
      </c>
      <c r="BA11" s="159">
        <v>3321.3970049806</v>
      </c>
      <c r="BB11" s="159">
        <v>9990.58564042019</v>
      </c>
      <c r="BC11" s="159">
        <v>1543.74193456001</v>
      </c>
      <c r="BD11" s="159">
        <v>24049.4349500408</v>
      </c>
    </row>
    <row r="12" hidden="1" spans="1:56">
      <c r="A12" s="310">
        <v>44105</v>
      </c>
      <c r="B12" s="311">
        <v>243.653969959999</v>
      </c>
      <c r="C12" s="311">
        <v>563.521580800199</v>
      </c>
      <c r="D12" s="311">
        <v>858.343336560001</v>
      </c>
      <c r="E12" s="311">
        <v>441.92058402</v>
      </c>
      <c r="F12" s="311">
        <f t="shared" si="0"/>
        <v>2107.4394713402</v>
      </c>
      <c r="H12" s="310">
        <v>44105</v>
      </c>
      <c r="I12" s="311">
        <v>-0.0080114799999998</v>
      </c>
      <c r="J12" s="311">
        <v>0</v>
      </c>
      <c r="K12" s="311">
        <v>183.27774074</v>
      </c>
      <c r="L12" s="311">
        <v>0.2340533</v>
      </c>
      <c r="M12" s="311">
        <f t="shared" si="1"/>
        <v>183.50378256</v>
      </c>
      <c r="O12" s="310">
        <v>44105</v>
      </c>
      <c r="P12" s="311"/>
      <c r="Q12" s="311"/>
      <c r="R12" s="311"/>
      <c r="S12" s="311">
        <v>2.60169686</v>
      </c>
      <c r="T12" s="311">
        <f t="shared" si="2"/>
        <v>2.60169686</v>
      </c>
      <c r="V12" s="319">
        <v>44105</v>
      </c>
      <c r="W12" s="320">
        <v>62.85000018</v>
      </c>
      <c r="X12" s="321"/>
      <c r="Y12" s="320"/>
      <c r="Z12" s="320"/>
      <c r="AA12" s="320">
        <f t="shared" si="3"/>
        <v>62.85000018</v>
      </c>
      <c r="AC12" s="319">
        <v>44105</v>
      </c>
      <c r="AD12" s="320">
        <f t="shared" si="4"/>
        <v>306.495958659999</v>
      </c>
      <c r="AE12" s="320">
        <f t="shared" si="5"/>
        <v>563.521580800199</v>
      </c>
      <c r="AF12" s="320">
        <f t="shared" si="6"/>
        <v>1041.6210773</v>
      </c>
      <c r="AG12" s="320">
        <f t="shared" si="7"/>
        <v>444.75633418</v>
      </c>
      <c r="AH12" s="320">
        <f t="shared" si="8"/>
        <v>2356.3949509402</v>
      </c>
      <c r="AI12" s="320">
        <f t="shared" si="9"/>
        <v>0</v>
      </c>
      <c r="AK12" s="295" t="s">
        <v>225</v>
      </c>
      <c r="AL12" s="304">
        <f>SUM(AD3:AD12)</f>
        <v>9808.48826994</v>
      </c>
      <c r="AM12" s="304">
        <f>SUM(AE3:AE12)</f>
        <v>3885.9275997808</v>
      </c>
      <c r="AN12" s="304">
        <f>SUM(AF3:AF12)</f>
        <v>12214.8351348802</v>
      </c>
      <c r="AO12" s="304">
        <f>SUM(AG3:AG12)</f>
        <v>2046.31881484001</v>
      </c>
      <c r="AP12" s="304">
        <f t="shared" si="10"/>
        <v>27955.569819441</v>
      </c>
      <c r="AR12" s="295" t="s">
        <v>225</v>
      </c>
      <c r="AS12" s="287">
        <f t="shared" si="11"/>
        <v>0.350859894228267</v>
      </c>
      <c r="AT12" s="287">
        <f t="shared" si="12"/>
        <v>0.139003698543051</v>
      </c>
      <c r="AU12" s="287">
        <f t="shared" si="13"/>
        <v>0.436937440866817</v>
      </c>
      <c r="AV12" s="287">
        <f t="shared" si="14"/>
        <v>0.0731989663618643</v>
      </c>
      <c r="AW12" s="295">
        <f t="shared" si="15"/>
        <v>1</v>
      </c>
      <c r="AY12" s="21" t="s">
        <v>225</v>
      </c>
      <c r="AZ12" s="159">
        <v>9437.36434004</v>
      </c>
      <c r="BA12" s="159">
        <v>3884.9185857808</v>
      </c>
      <c r="BB12" s="159">
        <v>10848.9289769802</v>
      </c>
      <c r="BC12" s="159">
        <v>1985.66251858001</v>
      </c>
      <c r="BD12" s="159">
        <v>26156.874421381</v>
      </c>
    </row>
    <row r="13" hidden="1" spans="1:56">
      <c r="A13" s="310">
        <v>44136</v>
      </c>
      <c r="B13" s="311">
        <v>679.465551480001</v>
      </c>
      <c r="C13" s="311">
        <v>630.528934060997</v>
      </c>
      <c r="D13" s="311">
        <v>2092.64525732</v>
      </c>
      <c r="E13" s="311">
        <v>180.99483128</v>
      </c>
      <c r="F13" s="311">
        <f t="shared" si="0"/>
        <v>3583.634574141</v>
      </c>
      <c r="H13" s="310">
        <v>44136</v>
      </c>
      <c r="I13" s="311">
        <v>0.250874440000001</v>
      </c>
      <c r="J13" s="311">
        <v>0</v>
      </c>
      <c r="K13" s="311">
        <v>598.84461076</v>
      </c>
      <c r="L13" s="311">
        <v>0.22402782</v>
      </c>
      <c r="M13" s="311">
        <f t="shared" si="1"/>
        <v>599.31951302</v>
      </c>
      <c r="O13" s="310">
        <v>44136</v>
      </c>
      <c r="P13" s="311"/>
      <c r="Q13" s="311"/>
      <c r="R13" s="311"/>
      <c r="S13" s="311">
        <v>13.90553792</v>
      </c>
      <c r="T13" s="311">
        <f t="shared" si="2"/>
        <v>13.90553792</v>
      </c>
      <c r="V13" s="319">
        <v>44136</v>
      </c>
      <c r="W13" s="320"/>
      <c r="X13" s="321"/>
      <c r="Y13" s="320"/>
      <c r="Z13" s="320"/>
      <c r="AA13" s="320">
        <f t="shared" si="3"/>
        <v>0</v>
      </c>
      <c r="AC13" s="319">
        <v>44136</v>
      </c>
      <c r="AD13" s="320">
        <f t="shared" si="4"/>
        <v>679.716425920001</v>
      </c>
      <c r="AE13" s="320">
        <f t="shared" si="5"/>
        <v>630.528934060997</v>
      </c>
      <c r="AF13" s="320">
        <f t="shared" si="6"/>
        <v>2691.48986808</v>
      </c>
      <c r="AG13" s="320">
        <f t="shared" si="7"/>
        <v>195.12439702</v>
      </c>
      <c r="AH13" s="320">
        <f t="shared" si="8"/>
        <v>4196.859625081</v>
      </c>
      <c r="AI13" s="320">
        <f t="shared" si="9"/>
        <v>0</v>
      </c>
      <c r="AK13" s="295" t="s">
        <v>226</v>
      </c>
      <c r="AL13" s="304">
        <f>SUM(AD3:AD13)</f>
        <v>10488.20469586</v>
      </c>
      <c r="AM13" s="304">
        <f>SUM(AE3:AE13)</f>
        <v>4516.4565338418</v>
      </c>
      <c r="AN13" s="304">
        <f>SUM(AF3:AF13)</f>
        <v>14906.3250029602</v>
      </c>
      <c r="AO13" s="304">
        <f>SUM(AG3:AG13)</f>
        <v>2241.44321186001</v>
      </c>
      <c r="AP13" s="304">
        <f t="shared" si="10"/>
        <v>32152.429444522</v>
      </c>
      <c r="AR13" s="295" t="s">
        <v>226</v>
      </c>
      <c r="AS13" s="287">
        <f t="shared" si="11"/>
        <v>0.326202556915864</v>
      </c>
      <c r="AT13" s="287">
        <f t="shared" si="12"/>
        <v>0.140470148348659</v>
      </c>
      <c r="AU13" s="287">
        <f t="shared" si="13"/>
        <v>0.463614266806201</v>
      </c>
      <c r="AV13" s="287">
        <f t="shared" si="14"/>
        <v>0.0697130279292751</v>
      </c>
      <c r="AW13" s="295">
        <f t="shared" si="15"/>
        <v>1</v>
      </c>
      <c r="AY13" s="21" t="s">
        <v>226</v>
      </c>
      <c r="AZ13" s="159">
        <v>10116.82989152</v>
      </c>
      <c r="BA13" s="159">
        <v>4515.4475198418</v>
      </c>
      <c r="BB13" s="159">
        <v>12941.5742343002</v>
      </c>
      <c r="BC13" s="159">
        <v>2166.65734986001</v>
      </c>
      <c r="BD13" s="159">
        <v>29740.508995522</v>
      </c>
    </row>
    <row r="14" hidden="1" spans="1:56">
      <c r="A14" s="310">
        <v>44166</v>
      </c>
      <c r="B14" s="311">
        <v>899.326539980001</v>
      </c>
      <c r="C14" s="311">
        <v>500.976012800008</v>
      </c>
      <c r="D14" s="311">
        <v>2715.58922504009</v>
      </c>
      <c r="E14" s="311">
        <v>402.796887519999</v>
      </c>
      <c r="F14" s="311">
        <f t="shared" si="0"/>
        <v>4518.6886653401</v>
      </c>
      <c r="H14" s="310">
        <v>44166</v>
      </c>
      <c r="I14" s="311">
        <v>1.3039537</v>
      </c>
      <c r="J14" s="311">
        <v>0</v>
      </c>
      <c r="K14" s="311">
        <v>145.95540362</v>
      </c>
      <c r="L14" s="311">
        <v>2.57226172</v>
      </c>
      <c r="M14" s="311">
        <f t="shared" si="1"/>
        <v>149.83161904</v>
      </c>
      <c r="O14" s="310">
        <v>44166</v>
      </c>
      <c r="P14" s="311"/>
      <c r="Q14" s="311"/>
      <c r="R14" s="311"/>
      <c r="S14" s="311">
        <v>89.5096542</v>
      </c>
      <c r="T14" s="311">
        <f t="shared" si="2"/>
        <v>89.5096542</v>
      </c>
      <c r="V14" s="319">
        <v>44166</v>
      </c>
      <c r="W14" s="320">
        <v>84.09199844</v>
      </c>
      <c r="X14" s="321"/>
      <c r="Y14" s="320"/>
      <c r="Z14" s="320"/>
      <c r="AA14" s="320">
        <f t="shared" si="3"/>
        <v>84.09199844</v>
      </c>
      <c r="AC14" s="319">
        <v>44166</v>
      </c>
      <c r="AD14" s="320">
        <f t="shared" si="4"/>
        <v>984.722492120001</v>
      </c>
      <c r="AE14" s="320">
        <f t="shared" si="5"/>
        <v>500.976012800008</v>
      </c>
      <c r="AF14" s="320">
        <f t="shared" si="6"/>
        <v>2861.54462866009</v>
      </c>
      <c r="AG14" s="320">
        <f t="shared" si="7"/>
        <v>494.878803439999</v>
      </c>
      <c r="AH14" s="320">
        <f t="shared" si="8"/>
        <v>4842.1219370201</v>
      </c>
      <c r="AI14" s="320">
        <f t="shared" si="9"/>
        <v>0</v>
      </c>
      <c r="AK14" s="295" t="s">
        <v>227</v>
      </c>
      <c r="AL14" s="304">
        <f>SUM(AD3:AD14)</f>
        <v>11472.92718798</v>
      </c>
      <c r="AM14" s="304">
        <f>SUM(AE3:AE14)</f>
        <v>5017.43254664181</v>
      </c>
      <c r="AN14" s="304">
        <f>SUM(AF3:AF14)</f>
        <v>17767.8696316203</v>
      </c>
      <c r="AO14" s="304">
        <f>SUM(AG3:AG14)</f>
        <v>2736.32201530001</v>
      </c>
      <c r="AP14" s="304">
        <f t="shared" si="10"/>
        <v>36994.5513815421</v>
      </c>
      <c r="AR14" s="295" t="s">
        <v>227</v>
      </c>
      <c r="AS14" s="287">
        <f t="shared" si="11"/>
        <v>0.310124782151143</v>
      </c>
      <c r="AT14" s="287">
        <f t="shared" si="12"/>
        <v>0.13562625736138</v>
      </c>
      <c r="AU14" s="287">
        <f t="shared" si="13"/>
        <v>0.480283419262797</v>
      </c>
      <c r="AV14" s="287">
        <f t="shared" si="14"/>
        <v>0.0739655412246804</v>
      </c>
      <c r="AW14" s="295">
        <f t="shared" si="15"/>
        <v>1</v>
      </c>
      <c r="AY14" s="21" t="s">
        <v>227</v>
      </c>
      <c r="AZ14" s="159">
        <v>11016.1564315</v>
      </c>
      <c r="BA14" s="159">
        <v>5016.42353264181</v>
      </c>
      <c r="BB14" s="159">
        <v>15657.1634593403</v>
      </c>
      <c r="BC14" s="159">
        <v>2569.45423738001</v>
      </c>
      <c r="BD14" s="159">
        <v>34259.1976608621</v>
      </c>
    </row>
    <row r="15" hidden="1" spans="1:56">
      <c r="A15" s="291">
        <v>44197</v>
      </c>
      <c r="B15" s="312">
        <v>402.278228699999</v>
      </c>
      <c r="C15" s="312">
        <v>559.519240400001</v>
      </c>
      <c r="D15" s="312">
        <v>1607.6582581</v>
      </c>
      <c r="E15" s="312">
        <v>507.680884400002</v>
      </c>
      <c r="F15" s="312">
        <f t="shared" si="0"/>
        <v>3077.1366116</v>
      </c>
      <c r="H15" s="291">
        <v>44197</v>
      </c>
      <c r="I15" s="312">
        <v>14.1838123</v>
      </c>
      <c r="J15" s="312">
        <v>0</v>
      </c>
      <c r="K15" s="312">
        <v>156.18728788</v>
      </c>
      <c r="L15" s="312">
        <v>1.01405854</v>
      </c>
      <c r="M15" s="312">
        <f t="shared" si="1"/>
        <v>171.38515872</v>
      </c>
      <c r="O15" s="291">
        <v>44197</v>
      </c>
      <c r="P15" s="312">
        <v>0</v>
      </c>
      <c r="Q15" s="312">
        <v>0</v>
      </c>
      <c r="R15" s="312">
        <v>0</v>
      </c>
      <c r="S15" s="312">
        <v>19.11353416</v>
      </c>
      <c r="T15" s="312">
        <f t="shared" si="2"/>
        <v>19.11353416</v>
      </c>
      <c r="V15" s="322">
        <v>44197</v>
      </c>
      <c r="W15" s="323">
        <v>0.0515955</v>
      </c>
      <c r="X15" s="324">
        <v>0</v>
      </c>
      <c r="Y15" s="323">
        <v>0</v>
      </c>
      <c r="Z15" s="323">
        <v>-0.05951476</v>
      </c>
      <c r="AA15" s="323">
        <f t="shared" si="3"/>
        <v>-0.00791926</v>
      </c>
      <c r="AC15" s="322">
        <v>44197</v>
      </c>
      <c r="AD15" s="323">
        <f t="shared" si="4"/>
        <v>416.513636499999</v>
      </c>
      <c r="AE15" s="323">
        <f t="shared" si="5"/>
        <v>559.519240400001</v>
      </c>
      <c r="AF15" s="323">
        <f t="shared" si="6"/>
        <v>1763.84554598</v>
      </c>
      <c r="AG15" s="323">
        <f t="shared" si="7"/>
        <v>527.748962340002</v>
      </c>
      <c r="AH15" s="323">
        <f t="shared" si="8"/>
        <v>3267.62738522</v>
      </c>
      <c r="AI15" s="323">
        <f t="shared" si="9"/>
        <v>0</v>
      </c>
      <c r="AK15" s="295" t="s">
        <v>228</v>
      </c>
      <c r="AL15" s="304">
        <f>AD15</f>
        <v>416.513636499999</v>
      </c>
      <c r="AM15" s="304">
        <f>AE15</f>
        <v>559.519240400001</v>
      </c>
      <c r="AN15" s="304">
        <f>AF15</f>
        <v>1763.84554598</v>
      </c>
      <c r="AO15" s="304">
        <f>AG15</f>
        <v>527.748962340002</v>
      </c>
      <c r="AP15" s="304">
        <f t="shared" si="10"/>
        <v>3267.62738522</v>
      </c>
      <c r="AR15" s="295" t="s">
        <v>228</v>
      </c>
      <c r="AS15" s="287">
        <f t="shared" si="11"/>
        <v>0.127466686802772</v>
      </c>
      <c r="AT15" s="287">
        <f t="shared" si="12"/>
        <v>0.171231041498426</v>
      </c>
      <c r="AU15" s="287">
        <f t="shared" si="13"/>
        <v>0.539793966092387</v>
      </c>
      <c r="AV15" s="287">
        <f t="shared" si="14"/>
        <v>0.161508305606415</v>
      </c>
      <c r="AW15" s="295">
        <f t="shared" si="15"/>
        <v>1</v>
      </c>
      <c r="AY15" s="21" t="s">
        <v>228</v>
      </c>
      <c r="AZ15" s="159">
        <v>402.278228699999</v>
      </c>
      <c r="BA15" s="159">
        <v>559.519240400001</v>
      </c>
      <c r="BB15" s="159">
        <v>1607.6582581</v>
      </c>
      <c r="BC15" s="159">
        <v>507.680884400002</v>
      </c>
      <c r="BD15" s="159">
        <v>3077.1366116</v>
      </c>
    </row>
    <row r="16" hidden="1" spans="1:56">
      <c r="A16" s="291">
        <v>44228</v>
      </c>
      <c r="B16" s="312">
        <v>488.588753479998</v>
      </c>
      <c r="C16" s="312">
        <v>542.103976720104</v>
      </c>
      <c r="D16" s="312">
        <v>1137.1924499</v>
      </c>
      <c r="E16" s="312">
        <v>282.05379282</v>
      </c>
      <c r="F16" s="312">
        <f t="shared" si="0"/>
        <v>2449.9389729201</v>
      </c>
      <c r="H16" s="291">
        <v>44228</v>
      </c>
      <c r="I16" s="312">
        <v>546.48273924</v>
      </c>
      <c r="J16" s="312">
        <v>0</v>
      </c>
      <c r="K16" s="312">
        <v>201.93547278</v>
      </c>
      <c r="L16" s="312">
        <v>0.86096592</v>
      </c>
      <c r="M16" s="312">
        <f t="shared" si="1"/>
        <v>749.27917794</v>
      </c>
      <c r="O16" s="291">
        <v>44228</v>
      </c>
      <c r="P16" s="312">
        <v>0</v>
      </c>
      <c r="Q16" s="312">
        <v>0</v>
      </c>
      <c r="R16" s="312">
        <v>0</v>
      </c>
      <c r="S16" s="312">
        <v>-15.10292028</v>
      </c>
      <c r="T16" s="312">
        <f t="shared" si="2"/>
        <v>-15.10292028</v>
      </c>
      <c r="V16" s="322">
        <v>44228</v>
      </c>
      <c r="W16" s="323">
        <v>1.5389875</v>
      </c>
      <c r="X16" s="324">
        <v>0</v>
      </c>
      <c r="Y16" s="323">
        <v>0</v>
      </c>
      <c r="Z16" s="323">
        <v>0.06840392</v>
      </c>
      <c r="AA16" s="323">
        <f t="shared" si="3"/>
        <v>1.60739142</v>
      </c>
      <c r="AC16" s="322">
        <v>44228</v>
      </c>
      <c r="AD16" s="323">
        <f t="shared" si="4"/>
        <v>1036.61048022</v>
      </c>
      <c r="AE16" s="323">
        <f t="shared" si="5"/>
        <v>542.103976720104</v>
      </c>
      <c r="AF16" s="323">
        <f t="shared" si="6"/>
        <v>1339.12792268</v>
      </c>
      <c r="AG16" s="323">
        <f t="shared" si="7"/>
        <v>267.88024238</v>
      </c>
      <c r="AH16" s="323">
        <f t="shared" si="8"/>
        <v>3185.7226220001</v>
      </c>
      <c r="AI16" s="323">
        <f t="shared" si="9"/>
        <v>0</v>
      </c>
      <c r="AK16" s="295" t="s">
        <v>229</v>
      </c>
      <c r="AL16" s="304">
        <f>SUM(AD15:AD16)</f>
        <v>1453.12411672</v>
      </c>
      <c r="AM16" s="304">
        <f>SUM(AE15:AE16)</f>
        <v>1101.6232171201</v>
      </c>
      <c r="AN16" s="304">
        <f>SUM(AF15:AF16)</f>
        <v>3102.97346866</v>
      </c>
      <c r="AO16" s="304">
        <f>SUM(AG15:AG16)</f>
        <v>795.629204720002</v>
      </c>
      <c r="AP16" s="304">
        <f t="shared" si="10"/>
        <v>6453.3500072201</v>
      </c>
      <c r="AR16" s="295" t="s">
        <v>229</v>
      </c>
      <c r="AS16" s="287">
        <f t="shared" si="11"/>
        <v>0.225173609845153</v>
      </c>
      <c r="AT16" s="287">
        <f t="shared" si="12"/>
        <v>0.170705635970092</v>
      </c>
      <c r="AU16" s="287">
        <f t="shared" si="13"/>
        <v>0.480831423243485</v>
      </c>
      <c r="AV16" s="287">
        <f t="shared" si="14"/>
        <v>0.123289330941269</v>
      </c>
      <c r="AW16" s="295">
        <f t="shared" si="15"/>
        <v>1</v>
      </c>
      <c r="AY16" s="21" t="s">
        <v>229</v>
      </c>
      <c r="AZ16" s="159">
        <v>890.866982179997</v>
      </c>
      <c r="BA16" s="159">
        <v>1101.6232171201</v>
      </c>
      <c r="BB16" s="159">
        <v>2744.850708</v>
      </c>
      <c r="BC16" s="159">
        <v>789.734677220002</v>
      </c>
      <c r="BD16" s="159">
        <v>5527.0755845201</v>
      </c>
    </row>
    <row r="17" hidden="1" spans="1:56">
      <c r="A17" s="291">
        <v>44256</v>
      </c>
      <c r="B17" s="312">
        <v>356.535295740001</v>
      </c>
      <c r="C17" s="312">
        <v>728.132220999991</v>
      </c>
      <c r="D17" s="312">
        <v>2787.05705628</v>
      </c>
      <c r="E17" s="312">
        <v>365.723094359997</v>
      </c>
      <c r="F17" s="312">
        <f t="shared" si="0"/>
        <v>4237.44766737999</v>
      </c>
      <c r="H17" s="291">
        <v>44256</v>
      </c>
      <c r="I17" s="312">
        <v>330.3272594</v>
      </c>
      <c r="J17" s="312">
        <v>0</v>
      </c>
      <c r="K17" s="312">
        <v>154.32760904</v>
      </c>
      <c r="L17" s="312">
        <v>9.92371152</v>
      </c>
      <c r="M17" s="312">
        <f t="shared" si="1"/>
        <v>494.57857996</v>
      </c>
      <c r="O17" s="291">
        <v>44256</v>
      </c>
      <c r="P17" s="312">
        <v>0</v>
      </c>
      <c r="Q17" s="312">
        <v>0</v>
      </c>
      <c r="R17" s="312">
        <v>0</v>
      </c>
      <c r="S17" s="312">
        <v>-17.59579118</v>
      </c>
      <c r="T17" s="312">
        <f t="shared" si="2"/>
        <v>-17.59579118</v>
      </c>
      <c r="V17" s="322">
        <v>44256</v>
      </c>
      <c r="W17" s="323">
        <v>2.01691924</v>
      </c>
      <c r="X17" s="324">
        <v>0</v>
      </c>
      <c r="Y17" s="323">
        <v>0</v>
      </c>
      <c r="Z17" s="323">
        <v>0</v>
      </c>
      <c r="AA17" s="323">
        <f t="shared" si="3"/>
        <v>2.01691924</v>
      </c>
      <c r="AC17" s="322">
        <v>44256</v>
      </c>
      <c r="AD17" s="323">
        <f t="shared" si="4"/>
        <v>688.879474380001</v>
      </c>
      <c r="AE17" s="323">
        <f t="shared" si="5"/>
        <v>728.132220999991</v>
      </c>
      <c r="AF17" s="323">
        <f t="shared" si="6"/>
        <v>2941.38466532</v>
      </c>
      <c r="AG17" s="323">
        <f t="shared" si="7"/>
        <v>358.051014699997</v>
      </c>
      <c r="AH17" s="323">
        <f t="shared" si="8"/>
        <v>4716.44737539999</v>
      </c>
      <c r="AI17" s="323">
        <f t="shared" si="9"/>
        <v>0</v>
      </c>
      <c r="AK17" s="295" t="s">
        <v>230</v>
      </c>
      <c r="AL17" s="304">
        <f>SUM(AD15:AD17)</f>
        <v>2142.0035911</v>
      </c>
      <c r="AM17" s="304">
        <f>SUM(AE15:AE17)</f>
        <v>1829.7554381201</v>
      </c>
      <c r="AN17" s="304">
        <f>SUM(AF15:AF17)</f>
        <v>6044.35813398</v>
      </c>
      <c r="AO17" s="304">
        <f>SUM(AG15:AG17)</f>
        <v>1153.68021942</v>
      </c>
      <c r="AP17" s="304">
        <f t="shared" si="10"/>
        <v>11169.7973826201</v>
      </c>
      <c r="AR17" s="295" t="s">
        <v>230</v>
      </c>
      <c r="AS17" s="287">
        <f t="shared" si="11"/>
        <v>0.19176745268745</v>
      </c>
      <c r="AT17" s="287">
        <f t="shared" si="12"/>
        <v>0.163812768973513</v>
      </c>
      <c r="AU17" s="287">
        <f t="shared" si="13"/>
        <v>0.541134089270488</v>
      </c>
      <c r="AV17" s="287">
        <f t="shared" si="14"/>
        <v>0.10328568906855</v>
      </c>
      <c r="AW17" s="295">
        <f t="shared" si="15"/>
        <v>1</v>
      </c>
      <c r="AY17" s="21" t="s">
        <v>230</v>
      </c>
      <c r="AZ17" s="159">
        <v>1247.40227792</v>
      </c>
      <c r="BA17" s="159">
        <v>1829.7554381201</v>
      </c>
      <c r="BB17" s="159">
        <v>5531.90776428</v>
      </c>
      <c r="BC17" s="159">
        <v>1155.45777158</v>
      </c>
      <c r="BD17" s="159">
        <v>9764.52325190009</v>
      </c>
    </row>
    <row r="18" hidden="1" spans="1:56">
      <c r="A18" s="291">
        <v>44287</v>
      </c>
      <c r="B18" s="312">
        <v>236.521633060001</v>
      </c>
      <c r="C18" s="312">
        <v>813.212964559978</v>
      </c>
      <c r="D18" s="312">
        <v>639.932419660001</v>
      </c>
      <c r="E18" s="312">
        <v>329.586349240001</v>
      </c>
      <c r="F18" s="312">
        <f t="shared" si="0"/>
        <v>2019.25336651998</v>
      </c>
      <c r="H18" s="291">
        <v>44287</v>
      </c>
      <c r="I18" s="312">
        <v>28.47880482</v>
      </c>
      <c r="J18" s="312">
        <v>0</v>
      </c>
      <c r="K18" s="312">
        <v>153.5337284</v>
      </c>
      <c r="L18" s="312">
        <v>0.37578484</v>
      </c>
      <c r="M18" s="312">
        <f t="shared" si="1"/>
        <v>182.38831806</v>
      </c>
      <c r="O18" s="291">
        <v>44287</v>
      </c>
      <c r="P18" s="312">
        <v>0</v>
      </c>
      <c r="Q18" s="312">
        <v>0</v>
      </c>
      <c r="R18" s="312">
        <v>0</v>
      </c>
      <c r="S18" s="312">
        <v>27.92590988</v>
      </c>
      <c r="T18" s="312">
        <f t="shared" si="2"/>
        <v>27.92590988</v>
      </c>
      <c r="V18" s="322">
        <v>44287</v>
      </c>
      <c r="W18" s="323">
        <v>45.29379682</v>
      </c>
      <c r="X18" s="324">
        <v>0</v>
      </c>
      <c r="Y18" s="323">
        <v>0</v>
      </c>
      <c r="Z18" s="323">
        <v>1.50378172</v>
      </c>
      <c r="AA18" s="323">
        <f t="shared" si="3"/>
        <v>46.79757854</v>
      </c>
      <c r="AC18" s="322">
        <v>44287</v>
      </c>
      <c r="AD18" s="323">
        <f t="shared" si="4"/>
        <v>310.294234700001</v>
      </c>
      <c r="AE18" s="323">
        <f t="shared" si="5"/>
        <v>813.212964559978</v>
      </c>
      <c r="AF18" s="323">
        <f t="shared" si="6"/>
        <v>793.466148060001</v>
      </c>
      <c r="AG18" s="323">
        <f t="shared" si="7"/>
        <v>359.391825680001</v>
      </c>
      <c r="AH18" s="323">
        <f t="shared" si="8"/>
        <v>2276.36517299998</v>
      </c>
      <c r="AI18" s="323">
        <f t="shared" si="9"/>
        <v>0</v>
      </c>
      <c r="AK18" s="295" t="s">
        <v>231</v>
      </c>
      <c r="AL18" s="304">
        <f>SUM(AD15:AD18)</f>
        <v>2452.2978258</v>
      </c>
      <c r="AM18" s="304">
        <f>SUM(AE15:AE18)</f>
        <v>2642.96840268007</v>
      </c>
      <c r="AN18" s="304">
        <f>SUM(AF15:AF18)</f>
        <v>6837.82428204</v>
      </c>
      <c r="AO18" s="304">
        <f>SUM(AG15:AG18)</f>
        <v>1513.0720451</v>
      </c>
      <c r="AP18" s="304">
        <f t="shared" si="10"/>
        <v>13446.1625556201</v>
      </c>
      <c r="AR18" s="295" t="s">
        <v>231</v>
      </c>
      <c r="AS18" s="287">
        <f t="shared" si="11"/>
        <v>0.182379010788845</v>
      </c>
      <c r="AT18" s="287">
        <f t="shared" si="12"/>
        <v>0.196559307664728</v>
      </c>
      <c r="AU18" s="287">
        <f t="shared" si="13"/>
        <v>0.508533513093816</v>
      </c>
      <c r="AV18" s="287">
        <f t="shared" si="14"/>
        <v>0.112528168452611</v>
      </c>
      <c r="AW18" s="295">
        <f t="shared" si="15"/>
        <v>1</v>
      </c>
      <c r="AY18" s="21" t="s">
        <v>231</v>
      </c>
      <c r="AZ18" s="159">
        <v>1483.92391098</v>
      </c>
      <c r="BA18" s="159">
        <v>2642.96840268007</v>
      </c>
      <c r="BB18" s="159">
        <v>6171.84018394</v>
      </c>
      <c r="BC18" s="159">
        <v>1485.04412082</v>
      </c>
      <c r="BD18" s="159">
        <v>11783.7766184201</v>
      </c>
    </row>
    <row r="19" hidden="1" spans="1:56">
      <c r="A19" s="291">
        <v>44317</v>
      </c>
      <c r="B19" s="312">
        <v>256.64980436</v>
      </c>
      <c r="C19" s="312">
        <v>1101.23785261999</v>
      </c>
      <c r="D19" s="312">
        <v>1111.48854272</v>
      </c>
      <c r="E19" s="312">
        <v>340.375510959999</v>
      </c>
      <c r="F19" s="312">
        <f t="shared" si="0"/>
        <v>2809.75171065999</v>
      </c>
      <c r="H19" s="291">
        <v>44317</v>
      </c>
      <c r="I19" s="312">
        <v>226.5730019</v>
      </c>
      <c r="J19" s="312">
        <v>0</v>
      </c>
      <c r="K19" s="312">
        <v>146.84181802</v>
      </c>
      <c r="L19" s="312">
        <v>10.72832254</v>
      </c>
      <c r="M19" s="312">
        <f t="shared" si="1"/>
        <v>384.14314246</v>
      </c>
      <c r="O19" s="291">
        <v>44317</v>
      </c>
      <c r="P19" s="312">
        <v>0</v>
      </c>
      <c r="Q19" s="312">
        <v>0</v>
      </c>
      <c r="R19" s="312">
        <v>0</v>
      </c>
      <c r="S19" s="312">
        <v>10.13129238</v>
      </c>
      <c r="T19" s="312">
        <f t="shared" si="2"/>
        <v>10.13129238</v>
      </c>
      <c r="V19" s="322">
        <v>44317</v>
      </c>
      <c r="W19" s="323">
        <v>1.56700436</v>
      </c>
      <c r="X19" s="324">
        <v>0</v>
      </c>
      <c r="Y19" s="323">
        <v>0</v>
      </c>
      <c r="Z19" s="323">
        <v>0.1399995</v>
      </c>
      <c r="AA19" s="323">
        <f t="shared" si="3"/>
        <v>1.70700386</v>
      </c>
      <c r="AC19" s="322">
        <v>44317</v>
      </c>
      <c r="AD19" s="323">
        <f t="shared" si="4"/>
        <v>484.78981062</v>
      </c>
      <c r="AE19" s="323">
        <f t="shared" si="5"/>
        <v>1101.23785261999</v>
      </c>
      <c r="AF19" s="323">
        <f t="shared" si="6"/>
        <v>1258.33036074</v>
      </c>
      <c r="AG19" s="323">
        <f t="shared" si="7"/>
        <v>361.375125379999</v>
      </c>
      <c r="AH19" s="323">
        <f t="shared" si="8"/>
        <v>3205.73314935999</v>
      </c>
      <c r="AI19" s="323">
        <f t="shared" si="9"/>
        <v>0</v>
      </c>
      <c r="AK19" s="295" t="s">
        <v>232</v>
      </c>
      <c r="AL19" s="304">
        <f>SUM(AD15:AD19)</f>
        <v>2937.08763642</v>
      </c>
      <c r="AM19" s="304">
        <f>SUM(AE15:AE19)</f>
        <v>3744.20625530006</v>
      </c>
      <c r="AN19" s="304">
        <f>SUM(AF15:AF19)</f>
        <v>8096.15464278</v>
      </c>
      <c r="AO19" s="304">
        <f>SUM(AG15:AG19)</f>
        <v>1874.44717048</v>
      </c>
      <c r="AP19" s="304">
        <f t="shared" si="10"/>
        <v>16651.8957049801</v>
      </c>
      <c r="AR19" s="295" t="s">
        <v>232</v>
      </c>
      <c r="AS19" s="287">
        <f t="shared" si="11"/>
        <v>0.176381577716801</v>
      </c>
      <c r="AT19" s="287">
        <f t="shared" si="12"/>
        <v>0.224851651826061</v>
      </c>
      <c r="AU19" s="287">
        <f t="shared" si="13"/>
        <v>0.486200177218183</v>
      </c>
      <c r="AV19" s="287">
        <f t="shared" si="14"/>
        <v>0.112566593238955</v>
      </c>
      <c r="AW19" s="295">
        <f t="shared" si="15"/>
        <v>1</v>
      </c>
      <c r="AY19" s="21" t="s">
        <v>232</v>
      </c>
      <c r="AZ19" s="159">
        <v>1740.57371534</v>
      </c>
      <c r="BA19" s="159">
        <v>3744.20625530006</v>
      </c>
      <c r="BB19" s="159">
        <v>7283.32872666</v>
      </c>
      <c r="BC19" s="159">
        <v>1825.41963178</v>
      </c>
      <c r="BD19" s="159">
        <v>14593.5283290801</v>
      </c>
    </row>
    <row r="20" hidden="1" spans="1:56">
      <c r="A20" s="291">
        <v>44348</v>
      </c>
      <c r="B20" s="312">
        <v>460.4561986</v>
      </c>
      <c r="C20" s="312">
        <v>1107.42813784002</v>
      </c>
      <c r="D20" s="312">
        <v>2248.05565680001</v>
      </c>
      <c r="E20" s="312">
        <f>267.930894339999+897733.18/10000</f>
        <v>357.704212339999</v>
      </c>
      <c r="F20" s="312">
        <f t="shared" si="0"/>
        <v>4173.64420558003</v>
      </c>
      <c r="H20" s="291">
        <v>44348</v>
      </c>
      <c r="I20" s="312">
        <v>387.50774782</v>
      </c>
      <c r="J20" s="312">
        <v>0</v>
      </c>
      <c r="K20" s="312">
        <v>194.94648892</v>
      </c>
      <c r="L20" s="312">
        <v>0.9571482</v>
      </c>
      <c r="M20" s="312">
        <f t="shared" si="1"/>
        <v>583.41138494</v>
      </c>
      <c r="O20" s="291">
        <v>44348</v>
      </c>
      <c r="P20" s="312">
        <v>0</v>
      </c>
      <c r="Q20" s="312">
        <v>0</v>
      </c>
      <c r="R20" s="312">
        <v>0</v>
      </c>
      <c r="S20" s="312">
        <v>75.2321103400002</v>
      </c>
      <c r="T20" s="312">
        <f t="shared" si="2"/>
        <v>75.2321103400002</v>
      </c>
      <c r="V20" s="322">
        <v>44348</v>
      </c>
      <c r="W20" s="323">
        <v>174.97704398</v>
      </c>
      <c r="X20" s="324">
        <v>0</v>
      </c>
      <c r="Y20" s="323">
        <v>0</v>
      </c>
      <c r="Z20" s="323">
        <v>6.16613024</v>
      </c>
      <c r="AA20" s="323">
        <f t="shared" si="3"/>
        <v>181.14317422</v>
      </c>
      <c r="AC20" s="322">
        <v>44348</v>
      </c>
      <c r="AD20" s="323">
        <f t="shared" si="4"/>
        <v>1022.9409904</v>
      </c>
      <c r="AE20" s="323">
        <f t="shared" si="5"/>
        <v>1107.42813784002</v>
      </c>
      <c r="AF20" s="323">
        <f t="shared" si="6"/>
        <v>2443.00214572001</v>
      </c>
      <c r="AG20" s="323">
        <f t="shared" si="7"/>
        <v>440.059601119999</v>
      </c>
      <c r="AH20" s="323">
        <f t="shared" si="8"/>
        <v>5013.43087508003</v>
      </c>
      <c r="AI20" s="323">
        <f t="shared" si="9"/>
        <v>0</v>
      </c>
      <c r="AK20" s="295" t="s">
        <v>233</v>
      </c>
      <c r="AL20" s="304">
        <f>SUM(AD15:AD20)</f>
        <v>3960.02862682</v>
      </c>
      <c r="AM20" s="304">
        <f>SUM(AE15:AE20)</f>
        <v>4851.63439314008</v>
      </c>
      <c r="AN20" s="304">
        <f>SUM(AF15:AF20)</f>
        <v>10539.1567885</v>
      </c>
      <c r="AO20" s="304">
        <f>SUM(AG15:AG20)</f>
        <v>2314.5067716</v>
      </c>
      <c r="AP20" s="304">
        <f t="shared" si="10"/>
        <v>21665.3265800601</v>
      </c>
      <c r="AR20" s="295" t="s">
        <v>233</v>
      </c>
      <c r="AS20" s="287">
        <f t="shared" si="11"/>
        <v>0.182781857092551</v>
      </c>
      <c r="AT20" s="287">
        <f t="shared" si="12"/>
        <v>0.223935437816356</v>
      </c>
      <c r="AU20" s="287">
        <f t="shared" si="13"/>
        <v>0.486452708181184</v>
      </c>
      <c r="AV20" s="287">
        <f t="shared" si="14"/>
        <v>0.106829996909909</v>
      </c>
      <c r="AW20" s="295">
        <f t="shared" si="15"/>
        <v>1</v>
      </c>
      <c r="AY20" s="21" t="s">
        <v>233</v>
      </c>
      <c r="AZ20" s="159">
        <v>2201.02991394</v>
      </c>
      <c r="BA20" s="159">
        <v>4851.63439314008</v>
      </c>
      <c r="BB20" s="159">
        <v>9531.38438346001</v>
      </c>
      <c r="BC20" s="159">
        <v>2183.12384412</v>
      </c>
      <c r="BD20" s="159">
        <v>18767.1725346601</v>
      </c>
    </row>
    <row r="21" hidden="1" spans="1:56">
      <c r="A21" s="291">
        <v>44378</v>
      </c>
      <c r="B21" s="312">
        <v>286.43738028</v>
      </c>
      <c r="C21" s="312">
        <v>860.617549840005</v>
      </c>
      <c r="D21" s="312">
        <v>671.291088999999</v>
      </c>
      <c r="E21" s="312">
        <v>216.768337640001</v>
      </c>
      <c r="F21" s="312">
        <f t="shared" si="0"/>
        <v>2035.11435676001</v>
      </c>
      <c r="H21" s="291">
        <v>44378</v>
      </c>
      <c r="I21" s="312">
        <v>115.30655196</v>
      </c>
      <c r="J21" s="312">
        <v>0</v>
      </c>
      <c r="K21" s="312">
        <v>239.2756497</v>
      </c>
      <c r="L21" s="312">
        <v>0.51343644</v>
      </c>
      <c r="M21" s="312">
        <f t="shared" si="1"/>
        <v>355.0956381</v>
      </c>
      <c r="O21" s="291">
        <v>44378</v>
      </c>
      <c r="P21" s="312">
        <v>0</v>
      </c>
      <c r="Q21" s="312">
        <v>0</v>
      </c>
      <c r="R21" s="312">
        <v>0</v>
      </c>
      <c r="S21" s="312">
        <v>35.53128056</v>
      </c>
      <c r="T21" s="312">
        <f t="shared" si="2"/>
        <v>35.53128056</v>
      </c>
      <c r="V21" s="322">
        <v>44378</v>
      </c>
      <c r="W21" s="323">
        <v>0.18943684</v>
      </c>
      <c r="X21" s="324">
        <v>0</v>
      </c>
      <c r="Y21" s="323">
        <v>0</v>
      </c>
      <c r="Z21" s="323">
        <v>5.6012838</v>
      </c>
      <c r="AA21" s="323">
        <f t="shared" si="3"/>
        <v>5.79072064</v>
      </c>
      <c r="AC21" s="322">
        <v>44378</v>
      </c>
      <c r="AD21" s="323">
        <f t="shared" si="4"/>
        <v>401.93336908</v>
      </c>
      <c r="AE21" s="323">
        <f t="shared" si="5"/>
        <v>860.617549840005</v>
      </c>
      <c r="AF21" s="323">
        <f t="shared" si="6"/>
        <v>910.566738699999</v>
      </c>
      <c r="AG21" s="323">
        <f t="shared" si="7"/>
        <v>258.414338440001</v>
      </c>
      <c r="AH21" s="323">
        <f t="shared" si="8"/>
        <v>2431.53199606001</v>
      </c>
      <c r="AI21" s="323">
        <f t="shared" si="9"/>
        <v>0</v>
      </c>
      <c r="AK21" s="295" t="s">
        <v>234</v>
      </c>
      <c r="AL21" s="304">
        <f>SUM(AD15:AD21)</f>
        <v>4361.9619959</v>
      </c>
      <c r="AM21" s="304">
        <f>SUM(AE15:AE21)</f>
        <v>5712.25194298009</v>
      </c>
      <c r="AN21" s="304">
        <f>SUM(AF15:AF21)</f>
        <v>11449.7235272</v>
      </c>
      <c r="AO21" s="304">
        <f>SUM(AG15:AG21)</f>
        <v>2572.92111004</v>
      </c>
      <c r="AP21" s="304">
        <f t="shared" si="10"/>
        <v>24096.8585761201</v>
      </c>
      <c r="AR21" s="295" t="s">
        <v>234</v>
      </c>
      <c r="AS21" s="287">
        <f t="shared" si="11"/>
        <v>0.181017869284534</v>
      </c>
      <c r="AT21" s="287">
        <f t="shared" si="12"/>
        <v>0.237053802052061</v>
      </c>
      <c r="AU21" s="287">
        <f t="shared" si="13"/>
        <v>0.475154198669973</v>
      </c>
      <c r="AV21" s="287">
        <f t="shared" si="14"/>
        <v>0.106774129993432</v>
      </c>
      <c r="AW21" s="295">
        <f t="shared" si="15"/>
        <v>1</v>
      </c>
      <c r="AY21" s="21" t="s">
        <v>234</v>
      </c>
      <c r="AZ21" s="159">
        <v>2487.46729422</v>
      </c>
      <c r="BA21" s="159">
        <v>5712.25194298009</v>
      </c>
      <c r="BB21" s="159">
        <v>10202.67547246</v>
      </c>
      <c r="BC21" s="159">
        <v>2399.89218176</v>
      </c>
      <c r="BD21" s="159">
        <v>20802.2868914201</v>
      </c>
    </row>
    <row r="22" hidden="1" spans="1:56">
      <c r="A22" s="291">
        <v>44409</v>
      </c>
      <c r="B22" s="312">
        <v>242.473694060001</v>
      </c>
      <c r="C22" s="312">
        <v>1083.10786816</v>
      </c>
      <c r="D22" s="312">
        <v>2403.40552914</v>
      </c>
      <c r="E22" s="312">
        <v>355.561045120001</v>
      </c>
      <c r="F22" s="312">
        <f t="shared" si="0"/>
        <v>4084.54813648</v>
      </c>
      <c r="H22" s="291">
        <v>44409</v>
      </c>
      <c r="I22" s="312">
        <v>120.21480352</v>
      </c>
      <c r="J22" s="312">
        <v>0</v>
      </c>
      <c r="K22" s="312">
        <v>165.6623279</v>
      </c>
      <c r="L22" s="312">
        <v>0.78503918</v>
      </c>
      <c r="M22" s="312">
        <f t="shared" si="1"/>
        <v>286.6621706</v>
      </c>
      <c r="O22" s="291">
        <v>44409</v>
      </c>
      <c r="P22" s="312">
        <v>5.07562662</v>
      </c>
      <c r="Q22" s="312">
        <v>0</v>
      </c>
      <c r="R22" s="312">
        <v>0</v>
      </c>
      <c r="S22" s="312">
        <v>18.26892298</v>
      </c>
      <c r="T22" s="312">
        <f t="shared" si="2"/>
        <v>23.3445496</v>
      </c>
      <c r="V22" s="322">
        <v>44409</v>
      </c>
      <c r="W22" s="323">
        <v>0.11049016</v>
      </c>
      <c r="X22" s="324">
        <v>0</v>
      </c>
      <c r="Y22" s="323">
        <v>0</v>
      </c>
      <c r="Z22" s="323">
        <v>6.78075216</v>
      </c>
      <c r="AA22" s="323">
        <f t="shared" si="3"/>
        <v>6.89124232</v>
      </c>
      <c r="AC22" s="322">
        <v>44409</v>
      </c>
      <c r="AD22" s="323">
        <f t="shared" si="4"/>
        <v>367.874614360001</v>
      </c>
      <c r="AE22" s="323">
        <f t="shared" si="5"/>
        <v>1083.10786816</v>
      </c>
      <c r="AF22" s="323">
        <f t="shared" si="6"/>
        <v>2569.06785704</v>
      </c>
      <c r="AG22" s="323">
        <f t="shared" si="7"/>
        <v>381.395759440001</v>
      </c>
      <c r="AH22" s="323">
        <f t="shared" si="8"/>
        <v>4401.446099</v>
      </c>
      <c r="AI22" s="323">
        <f t="shared" si="9"/>
        <v>0</v>
      </c>
      <c r="AK22" s="295" t="s">
        <v>235</v>
      </c>
      <c r="AL22" s="304">
        <f>SUM(AD15:AD22)</f>
        <v>4729.83661026</v>
      </c>
      <c r="AM22" s="304">
        <f>SUM(AE15:AE22)</f>
        <v>6795.35981114009</v>
      </c>
      <c r="AN22" s="304">
        <f>SUM(AF15:AF22)</f>
        <v>14018.79138424</v>
      </c>
      <c r="AO22" s="304">
        <f>SUM(AG15:AG22)</f>
        <v>2954.31686948</v>
      </c>
      <c r="AP22" s="304">
        <f t="shared" si="10"/>
        <v>28498.3046751201</v>
      </c>
      <c r="AR22" s="295" t="s">
        <v>235</v>
      </c>
      <c r="AS22" s="287">
        <f t="shared" si="11"/>
        <v>0.165969051990285</v>
      </c>
      <c r="AT22" s="287">
        <f t="shared" si="12"/>
        <v>0.238447861674826</v>
      </c>
      <c r="AU22" s="287">
        <f t="shared" si="13"/>
        <v>0.491916678695587</v>
      </c>
      <c r="AV22" s="287">
        <f t="shared" si="14"/>
        <v>0.103666407639301</v>
      </c>
      <c r="AW22" s="295">
        <f t="shared" si="15"/>
        <v>1</v>
      </c>
      <c r="AY22" s="21" t="s">
        <v>235</v>
      </c>
      <c r="AZ22" s="159">
        <v>2729.94098828</v>
      </c>
      <c r="BA22" s="159">
        <v>6795.35981114009</v>
      </c>
      <c r="BB22" s="159">
        <v>12606.0810016</v>
      </c>
      <c r="BC22" s="159">
        <v>2755.45322688</v>
      </c>
      <c r="BD22" s="159">
        <v>24886.8350279001</v>
      </c>
    </row>
    <row r="23" hidden="1" spans="1:56">
      <c r="A23" s="291">
        <v>44440</v>
      </c>
      <c r="B23" s="312">
        <v>487.324547279999</v>
      </c>
      <c r="C23" s="312">
        <v>550.623674339994</v>
      </c>
      <c r="D23" s="312">
        <v>1512.2164968799</v>
      </c>
      <c r="E23" s="312">
        <v>215.697975419999</v>
      </c>
      <c r="F23" s="312">
        <f t="shared" si="0"/>
        <v>2765.86269391989</v>
      </c>
      <c r="H23" s="291">
        <v>44440</v>
      </c>
      <c r="I23" s="312">
        <v>271.61448904</v>
      </c>
      <c r="J23" s="312">
        <v>0</v>
      </c>
      <c r="K23" s="312">
        <v>290.27186492</v>
      </c>
      <c r="L23" s="312">
        <v>8.70183044</v>
      </c>
      <c r="M23" s="312">
        <f t="shared" si="1"/>
        <v>570.5881844</v>
      </c>
      <c r="O23" s="291">
        <v>44440</v>
      </c>
      <c r="P23" s="312">
        <v>-4.99999986</v>
      </c>
      <c r="Q23" s="312">
        <v>0</v>
      </c>
      <c r="R23" s="312">
        <v>0</v>
      </c>
      <c r="S23" s="312">
        <v>2.49876343999996</v>
      </c>
      <c r="T23" s="312">
        <f t="shared" si="2"/>
        <v>-2.50123642000004</v>
      </c>
      <c r="V23" s="322">
        <v>44440</v>
      </c>
      <c r="W23" s="323">
        <v>6.08799234</v>
      </c>
      <c r="X23" s="324">
        <v>0</v>
      </c>
      <c r="Y23" s="323">
        <v>0</v>
      </c>
      <c r="Z23" s="323">
        <v>3.2931073</v>
      </c>
      <c r="AA23" s="323">
        <f t="shared" si="3"/>
        <v>9.38109964</v>
      </c>
      <c r="AC23" s="322">
        <v>44440</v>
      </c>
      <c r="AD23" s="323">
        <f t="shared" si="4"/>
        <v>760.027028799999</v>
      </c>
      <c r="AE23" s="323">
        <f t="shared" si="5"/>
        <v>550.623674339994</v>
      </c>
      <c r="AF23" s="323">
        <f t="shared" si="6"/>
        <v>1802.4883617999</v>
      </c>
      <c r="AG23" s="323">
        <f t="shared" si="7"/>
        <v>230.191676599999</v>
      </c>
      <c r="AH23" s="323">
        <f t="shared" si="8"/>
        <v>3343.33074153989</v>
      </c>
      <c r="AI23" s="323">
        <f t="shared" si="9"/>
        <v>0</v>
      </c>
      <c r="AK23" s="295" t="s">
        <v>236</v>
      </c>
      <c r="AL23" s="304">
        <f>SUM(AD15:AD23)</f>
        <v>5489.86363906</v>
      </c>
      <c r="AM23" s="304">
        <f>SUM(AE15:AE23)</f>
        <v>7345.98348548008</v>
      </c>
      <c r="AN23" s="304">
        <f>SUM(AF15:AF23)</f>
        <v>15821.2797460399</v>
      </c>
      <c r="AO23" s="304">
        <f>SUM(AG15:AG23)</f>
        <v>3184.50854608</v>
      </c>
      <c r="AP23" s="304">
        <f t="shared" si="10"/>
        <v>31841.63541666</v>
      </c>
      <c r="AR23" s="295" t="s">
        <v>236</v>
      </c>
      <c r="AS23" s="287">
        <f t="shared" si="11"/>
        <v>0.172411484750172</v>
      </c>
      <c r="AT23" s="287">
        <f t="shared" si="12"/>
        <v>0.23070371195936</v>
      </c>
      <c r="AU23" s="287">
        <f t="shared" si="13"/>
        <v>0.496873968281227</v>
      </c>
      <c r="AV23" s="287">
        <f t="shared" si="14"/>
        <v>0.100010835009241</v>
      </c>
      <c r="AW23" s="295">
        <f t="shared" si="15"/>
        <v>1</v>
      </c>
      <c r="AY23" s="21" t="s">
        <v>236</v>
      </c>
      <c r="AZ23" s="159">
        <v>3217.26553556</v>
      </c>
      <c r="BA23" s="159">
        <v>7345.98348548008</v>
      </c>
      <c r="BB23" s="159">
        <v>14118.2974984799</v>
      </c>
      <c r="BC23" s="159">
        <v>2971.1512023</v>
      </c>
      <c r="BD23" s="159">
        <v>27652.69772182</v>
      </c>
    </row>
    <row r="24" hidden="1" spans="1:56">
      <c r="A24" s="291">
        <v>44470</v>
      </c>
      <c r="B24" s="312">
        <v>223.609979180001</v>
      </c>
      <c r="C24" s="312">
        <v>533.787605780393</v>
      </c>
      <c r="D24" s="312">
        <v>842.037553900002</v>
      </c>
      <c r="E24" s="312">
        <v>333.63151354</v>
      </c>
      <c r="F24" s="312">
        <f t="shared" si="0"/>
        <v>1933.0666524004</v>
      </c>
      <c r="H24" s="291">
        <v>44470</v>
      </c>
      <c r="I24" s="312">
        <v>100.33987242</v>
      </c>
      <c r="J24" s="312">
        <v>0</v>
      </c>
      <c r="K24" s="312">
        <v>144.03379534</v>
      </c>
      <c r="L24" s="312">
        <v>4.46531784</v>
      </c>
      <c r="M24" s="312">
        <f t="shared" si="1"/>
        <v>248.8389856</v>
      </c>
      <c r="O24" s="291">
        <v>44470</v>
      </c>
      <c r="P24" s="312">
        <v>0</v>
      </c>
      <c r="Q24" s="312">
        <v>0</v>
      </c>
      <c r="R24" s="312">
        <v>0.57000016</v>
      </c>
      <c r="S24" s="312">
        <v>-56.13124106</v>
      </c>
      <c r="T24" s="312">
        <f t="shared" si="2"/>
        <v>-55.5612409</v>
      </c>
      <c r="V24" s="322">
        <v>44470</v>
      </c>
      <c r="W24" s="323">
        <v>15.10967142</v>
      </c>
      <c r="X24" s="324">
        <v>0</v>
      </c>
      <c r="Y24" s="323">
        <v>0</v>
      </c>
      <c r="Z24" s="323">
        <v>5.6083328</v>
      </c>
      <c r="AA24" s="323">
        <f t="shared" si="3"/>
        <v>20.71800422</v>
      </c>
      <c r="AC24" s="322">
        <v>44470</v>
      </c>
      <c r="AD24" s="323">
        <f t="shared" si="4"/>
        <v>339.059523020001</v>
      </c>
      <c r="AE24" s="323">
        <f t="shared" si="5"/>
        <v>533.787605780393</v>
      </c>
      <c r="AF24" s="323">
        <f t="shared" si="6"/>
        <v>986.641349400002</v>
      </c>
      <c r="AG24" s="323">
        <f t="shared" si="7"/>
        <v>287.57392312</v>
      </c>
      <c r="AH24" s="323">
        <f t="shared" si="8"/>
        <v>2147.0624013204</v>
      </c>
      <c r="AI24" s="323">
        <f t="shared" si="9"/>
        <v>0</v>
      </c>
      <c r="AK24" s="295" t="s">
        <v>237</v>
      </c>
      <c r="AL24" s="304">
        <f>SUM(AD15:AD24)</f>
        <v>5828.92316208</v>
      </c>
      <c r="AM24" s="304">
        <f>SUM(AE15:AE24)</f>
        <v>7879.77109126048</v>
      </c>
      <c r="AN24" s="304">
        <f>SUM(AF15:AF24)</f>
        <v>16807.9210954399</v>
      </c>
      <c r="AO24" s="304">
        <f>SUM(AG15:AG24)</f>
        <v>3472.0824692</v>
      </c>
      <c r="AP24" s="304">
        <f t="shared" si="10"/>
        <v>33988.6978179804</v>
      </c>
      <c r="AR24" s="295" t="s">
        <v>237</v>
      </c>
      <c r="AS24" s="287">
        <f t="shared" si="11"/>
        <v>0.171495924712845</v>
      </c>
      <c r="AT24" s="287">
        <f t="shared" si="12"/>
        <v>0.231835039208004</v>
      </c>
      <c r="AU24" s="287">
        <f t="shared" si="13"/>
        <v>0.494515005707231</v>
      </c>
      <c r="AV24" s="287">
        <f t="shared" si="14"/>
        <v>0.102154030371921</v>
      </c>
      <c r="AW24" s="295">
        <f t="shared" si="15"/>
        <v>1</v>
      </c>
      <c r="AY24" s="21" t="s">
        <v>237</v>
      </c>
      <c r="AZ24" s="159">
        <v>3440.87551474</v>
      </c>
      <c r="BA24" s="159">
        <v>7879.77109126048</v>
      </c>
      <c r="BB24" s="159">
        <v>14960.3350523799</v>
      </c>
      <c r="BC24" s="159">
        <v>3304.78271584</v>
      </c>
      <c r="BD24" s="159">
        <v>29585.7643742204</v>
      </c>
    </row>
    <row r="25" hidden="1" spans="1:56">
      <c r="A25" s="291">
        <v>44501</v>
      </c>
      <c r="B25" s="312">
        <v>462.204964999999</v>
      </c>
      <c r="C25" s="312">
        <v>453.201376160007</v>
      </c>
      <c r="D25" s="312">
        <v>1766.85604986</v>
      </c>
      <c r="E25" s="312">
        <v>181.29136562</v>
      </c>
      <c r="F25" s="312">
        <f t="shared" si="0"/>
        <v>2863.55375664001</v>
      </c>
      <c r="H25" s="291">
        <v>44501</v>
      </c>
      <c r="I25" s="312">
        <v>444.2008599</v>
      </c>
      <c r="J25" s="312">
        <v>0</v>
      </c>
      <c r="K25" s="312">
        <f>1017.12313038</f>
        <v>1017.12313038</v>
      </c>
      <c r="L25" s="312">
        <v>0.47012166</v>
      </c>
      <c r="M25" s="312">
        <f t="shared" si="1"/>
        <v>1461.79411194</v>
      </c>
      <c r="O25" s="291">
        <v>44501</v>
      </c>
      <c r="P25" s="312">
        <v>2.21745322</v>
      </c>
      <c r="Q25" s="312">
        <v>0</v>
      </c>
      <c r="R25" s="312">
        <v>0</v>
      </c>
      <c r="S25" s="312">
        <v>323.37468336</v>
      </c>
      <c r="T25" s="312">
        <f t="shared" si="2"/>
        <v>325.59213658</v>
      </c>
      <c r="V25" s="322">
        <v>44501</v>
      </c>
      <c r="W25" s="323">
        <v>-3.97010068</v>
      </c>
      <c r="X25" s="324">
        <v>0</v>
      </c>
      <c r="Y25" s="323">
        <v>0</v>
      </c>
      <c r="Z25" s="323">
        <v>7.49087372</v>
      </c>
      <c r="AA25" s="323">
        <f t="shared" si="3"/>
        <v>3.52077304</v>
      </c>
      <c r="AC25" s="322">
        <v>44501</v>
      </c>
      <c r="AD25" s="323">
        <f t="shared" si="4"/>
        <v>904.653177439999</v>
      </c>
      <c r="AE25" s="323">
        <f t="shared" si="5"/>
        <v>453.201376160007</v>
      </c>
      <c r="AF25" s="323">
        <f t="shared" si="6"/>
        <v>2783.97918024</v>
      </c>
      <c r="AG25" s="323">
        <f t="shared" si="7"/>
        <v>512.62704436</v>
      </c>
      <c r="AH25" s="323">
        <f t="shared" si="8"/>
        <v>4654.46077820001</v>
      </c>
      <c r="AI25" s="323">
        <f t="shared" si="9"/>
        <v>0</v>
      </c>
      <c r="AK25" s="295" t="s">
        <v>238</v>
      </c>
      <c r="AL25" s="304">
        <f>SUM(AD15:AD25)</f>
        <v>6733.57633952</v>
      </c>
      <c r="AM25" s="304">
        <f>SUM(AE15:AE25)</f>
        <v>8332.97246742048</v>
      </c>
      <c r="AN25" s="304">
        <f>SUM(AF15:AF25)</f>
        <v>19591.9002756799</v>
      </c>
      <c r="AO25" s="304">
        <f>SUM(AG15:AG25)</f>
        <v>3984.70951356</v>
      </c>
      <c r="AP25" s="304">
        <f t="shared" si="10"/>
        <v>38643.1585961804</v>
      </c>
      <c r="AR25" s="295" t="s">
        <v>238</v>
      </c>
      <c r="AS25" s="287">
        <f t="shared" si="11"/>
        <v>0.17425015407994</v>
      </c>
      <c r="AT25" s="287">
        <f t="shared" si="12"/>
        <v>0.2156390101156</v>
      </c>
      <c r="AU25" s="287">
        <f t="shared" si="13"/>
        <v>0.506995312686899</v>
      </c>
      <c r="AV25" s="287">
        <f t="shared" si="14"/>
        <v>0.103115523117561</v>
      </c>
      <c r="AW25" s="295">
        <f t="shared" si="15"/>
        <v>1</v>
      </c>
      <c r="AY25" s="21" t="s">
        <v>238</v>
      </c>
      <c r="AZ25" s="159">
        <v>3903.08047974</v>
      </c>
      <c r="BA25" s="159">
        <v>8332.97246742048</v>
      </c>
      <c r="BB25" s="159">
        <v>16727.1911022399</v>
      </c>
      <c r="BC25" s="159">
        <v>3486.07408146</v>
      </c>
      <c r="BD25" s="159">
        <v>32449.3181308604</v>
      </c>
    </row>
    <row r="26" hidden="1" spans="1:56">
      <c r="A26" s="291">
        <v>44531</v>
      </c>
      <c r="B26" s="312">
        <v>-54.8798023599988</v>
      </c>
      <c r="C26" s="312">
        <v>286.937020660003</v>
      </c>
      <c r="D26" s="312">
        <f>3497.65611226+3013980.6/10000-1126936.84*1.06/10000+1145995.76/10000</f>
        <v>3794.19844322</v>
      </c>
      <c r="E26" s="312">
        <f>169.845578359999+785557.6/10000</f>
        <v>248.401338359999</v>
      </c>
      <c r="F26" s="312">
        <f t="shared" si="0"/>
        <v>4274.65699988</v>
      </c>
      <c r="H26" s="291">
        <v>44531</v>
      </c>
      <c r="I26" s="312">
        <v>137.75378612</v>
      </c>
      <c r="J26" s="312">
        <v>0</v>
      </c>
      <c r="K26" s="312">
        <v>273.04712568</v>
      </c>
      <c r="L26" s="312">
        <v>31.82778684</v>
      </c>
      <c r="M26" s="312">
        <f t="shared" si="1"/>
        <v>442.62869864</v>
      </c>
      <c r="O26" s="291">
        <v>44531</v>
      </c>
      <c r="P26" s="312">
        <v>6.03623042</v>
      </c>
      <c r="Q26" s="312">
        <v>0</v>
      </c>
      <c r="R26" s="312">
        <v>0.72400014</v>
      </c>
      <c r="S26" s="312">
        <v>11.3193764199998</v>
      </c>
      <c r="T26" s="312">
        <f t="shared" si="2"/>
        <v>18.0796069799998</v>
      </c>
      <c r="V26" s="322">
        <v>44531</v>
      </c>
      <c r="W26" s="323">
        <v>17.84563318</v>
      </c>
      <c r="X26" s="324">
        <v>0</v>
      </c>
      <c r="Y26" s="323">
        <v>0</v>
      </c>
      <c r="Z26" s="323">
        <v>6.7942714</v>
      </c>
      <c r="AA26" s="323">
        <f t="shared" si="3"/>
        <v>24.63990458</v>
      </c>
      <c r="AC26" s="322">
        <v>44531</v>
      </c>
      <c r="AD26" s="323">
        <f t="shared" si="4"/>
        <v>106.755847360001</v>
      </c>
      <c r="AE26" s="323">
        <f t="shared" si="5"/>
        <v>286.937020660003</v>
      </c>
      <c r="AF26" s="323">
        <f t="shared" si="6"/>
        <v>4067.96956904</v>
      </c>
      <c r="AG26" s="323">
        <f t="shared" si="7"/>
        <v>298.342773019999</v>
      </c>
      <c r="AH26" s="323">
        <f t="shared" si="8"/>
        <v>4760.00521008</v>
      </c>
      <c r="AI26" s="323">
        <f t="shared" si="9"/>
        <v>0</v>
      </c>
      <c r="AK26" s="336" t="s">
        <v>239</v>
      </c>
      <c r="AL26" s="337">
        <f>SUM(AD15:AD26)</f>
        <v>6840.33218688</v>
      </c>
      <c r="AM26" s="337">
        <f>SUM(AE15:AE26)</f>
        <v>8619.90948808049</v>
      </c>
      <c r="AN26" s="337">
        <f>SUM(AF15:AF26)</f>
        <v>23659.8698447199</v>
      </c>
      <c r="AO26" s="337">
        <f>SUM(AG15:AG26)</f>
        <v>4283.05228658</v>
      </c>
      <c r="AP26" s="337">
        <f t="shared" si="10"/>
        <v>43403.1638062604</v>
      </c>
      <c r="AR26" s="295" t="s">
        <v>239</v>
      </c>
      <c r="AS26" s="287">
        <f t="shared" si="11"/>
        <v>0.157599851877465</v>
      </c>
      <c r="AT26" s="287">
        <f t="shared" si="12"/>
        <v>0.198600948229428</v>
      </c>
      <c r="AU26" s="287">
        <f t="shared" si="13"/>
        <v>0.545118552885475</v>
      </c>
      <c r="AV26" s="287">
        <f t="shared" si="14"/>
        <v>0.0986806470076317</v>
      </c>
      <c r="AW26" s="295">
        <f t="shared" si="15"/>
        <v>1</v>
      </c>
      <c r="AY26" s="21" t="s">
        <v>239</v>
      </c>
      <c r="AZ26" s="159">
        <v>3848.20067738</v>
      </c>
      <c r="BA26" s="159">
        <v>8619.90948808049</v>
      </c>
      <c r="BB26" s="159">
        <v>20521.3895454599</v>
      </c>
      <c r="BC26" s="159">
        <v>3734.47541982</v>
      </c>
      <c r="BD26" s="159">
        <v>36723.9751307404</v>
      </c>
    </row>
    <row r="27" hidden="1" spans="1:56">
      <c r="A27" s="293">
        <v>44562</v>
      </c>
      <c r="B27" s="313">
        <v>415.719937160002</v>
      </c>
      <c r="C27" s="313">
        <v>174.161129659995</v>
      </c>
      <c r="D27" s="313">
        <v>1453.40840446</v>
      </c>
      <c r="E27" s="313">
        <v>373.950523460003</v>
      </c>
      <c r="F27" s="313">
        <f t="shared" si="0"/>
        <v>2417.23999474</v>
      </c>
      <c r="H27" s="293">
        <v>44562</v>
      </c>
      <c r="I27" s="313">
        <v>-51.1732066</v>
      </c>
      <c r="J27" s="313">
        <v>0</v>
      </c>
      <c r="K27" s="313">
        <v>202.543453</v>
      </c>
      <c r="L27" s="313">
        <v>10.352368</v>
      </c>
      <c r="M27" s="313">
        <f t="shared" si="1"/>
        <v>161.7226144</v>
      </c>
      <c r="O27" s="293">
        <v>44562</v>
      </c>
      <c r="P27" s="313">
        <v>-1.69375174</v>
      </c>
      <c r="Q27" s="313">
        <v>0</v>
      </c>
      <c r="R27" s="313">
        <v>0</v>
      </c>
      <c r="S27" s="313">
        <v>-14.2624929200002</v>
      </c>
      <c r="T27" s="313">
        <f t="shared" si="2"/>
        <v>-15.9562446600002</v>
      </c>
      <c r="V27" s="325">
        <v>44562</v>
      </c>
      <c r="W27" s="313">
        <v>0.25894634</v>
      </c>
      <c r="X27" s="326">
        <v>0</v>
      </c>
      <c r="Y27" s="313">
        <v>0</v>
      </c>
      <c r="Z27" s="313">
        <v>8.61466876</v>
      </c>
      <c r="AA27" s="313">
        <f t="shared" si="3"/>
        <v>8.8736151</v>
      </c>
      <c r="AC27" s="325">
        <v>44562</v>
      </c>
      <c r="AD27" s="313">
        <f t="shared" si="4"/>
        <v>363.111925160002</v>
      </c>
      <c r="AE27" s="313">
        <f t="shared" si="5"/>
        <v>174.161129659995</v>
      </c>
      <c r="AF27" s="313">
        <f t="shared" si="6"/>
        <v>1655.95185746</v>
      </c>
      <c r="AG27" s="313">
        <f t="shared" si="7"/>
        <v>378.655067300003</v>
      </c>
      <c r="AH27" s="313">
        <f t="shared" si="8"/>
        <v>2571.87997958</v>
      </c>
      <c r="AI27" s="338">
        <f t="shared" si="9"/>
        <v>0</v>
      </c>
      <c r="AK27" s="339" t="s">
        <v>240</v>
      </c>
      <c r="AL27" s="340">
        <f>AD27</f>
        <v>363.111925160002</v>
      </c>
      <c r="AM27" s="340">
        <f>AE27</f>
        <v>174.161129659995</v>
      </c>
      <c r="AN27" s="340">
        <f>AF27</f>
        <v>1655.95185746</v>
      </c>
      <c r="AO27" s="340">
        <f>AG27</f>
        <v>378.655067300003</v>
      </c>
      <c r="AP27" s="340">
        <f t="shared" si="10"/>
        <v>2571.87997958</v>
      </c>
      <c r="AQ27" s="347"/>
      <c r="AR27" s="339" t="s">
        <v>240</v>
      </c>
      <c r="AS27" s="348">
        <f t="shared" si="11"/>
        <v>0.141185408356147</v>
      </c>
      <c r="AT27" s="348">
        <f t="shared" si="12"/>
        <v>0.0677174405659615</v>
      </c>
      <c r="AU27" s="348">
        <f t="shared" si="13"/>
        <v>0.643868248366094</v>
      </c>
      <c r="AV27" s="349">
        <f t="shared" si="14"/>
        <v>0.147228902711797</v>
      </c>
      <c r="AW27" s="344">
        <f t="shared" si="15"/>
        <v>1</v>
      </c>
      <c r="AY27" s="21" t="s">
        <v>240</v>
      </c>
      <c r="AZ27" s="159">
        <v>415.719937160002</v>
      </c>
      <c r="BA27" s="159">
        <v>174.161129659995</v>
      </c>
      <c r="BB27" s="159">
        <v>1453.40840446</v>
      </c>
      <c r="BC27" s="159">
        <v>373.950523460003</v>
      </c>
      <c r="BD27" s="159">
        <v>2417.23999474</v>
      </c>
    </row>
    <row r="28" hidden="1" spans="1:56">
      <c r="A28" s="293">
        <v>44593</v>
      </c>
      <c r="B28" s="313">
        <v>221.051268759999</v>
      </c>
      <c r="C28" s="313">
        <v>278.826544799799</v>
      </c>
      <c r="D28" s="313">
        <v>647.5564926599</v>
      </c>
      <c r="E28" s="313">
        <v>262.57616632</v>
      </c>
      <c r="F28" s="313">
        <f t="shared" si="0"/>
        <v>1410.0104725397</v>
      </c>
      <c r="H28" s="293">
        <v>44593</v>
      </c>
      <c r="I28" s="313">
        <v>502.32813502</v>
      </c>
      <c r="J28" s="313">
        <v>0</v>
      </c>
      <c r="K28" s="313">
        <v>193.02708332</v>
      </c>
      <c r="L28" s="313">
        <v>3.484379</v>
      </c>
      <c r="M28" s="313">
        <f t="shared" si="1"/>
        <v>698.83959734</v>
      </c>
      <c r="O28" s="293">
        <v>44593</v>
      </c>
      <c r="P28" s="313">
        <v>0.10716918</v>
      </c>
      <c r="Q28" s="313">
        <v>0</v>
      </c>
      <c r="R28" s="313">
        <v>9.44999964</v>
      </c>
      <c r="S28" s="313">
        <v>-106.6247375</v>
      </c>
      <c r="T28" s="313">
        <f t="shared" si="2"/>
        <v>-97.06756868</v>
      </c>
      <c r="V28" s="325">
        <v>44593</v>
      </c>
      <c r="W28" s="313">
        <v>0.85740538</v>
      </c>
      <c r="X28" s="326">
        <v>0</v>
      </c>
      <c r="Y28" s="313">
        <v>0</v>
      </c>
      <c r="Z28" s="313">
        <v>9.47129822</v>
      </c>
      <c r="AA28" s="313">
        <f t="shared" si="3"/>
        <v>10.3287036</v>
      </c>
      <c r="AC28" s="325">
        <v>44593</v>
      </c>
      <c r="AD28" s="313">
        <f t="shared" si="4"/>
        <v>724.343978339999</v>
      </c>
      <c r="AE28" s="313">
        <f t="shared" si="5"/>
        <v>278.826544799799</v>
      </c>
      <c r="AF28" s="313">
        <f t="shared" si="6"/>
        <v>850.0335756199</v>
      </c>
      <c r="AG28" s="313">
        <f t="shared" si="7"/>
        <v>168.90710604</v>
      </c>
      <c r="AH28" s="313">
        <f t="shared" si="8"/>
        <v>2022.1112047997</v>
      </c>
      <c r="AI28" s="338">
        <f t="shared" si="9"/>
        <v>0</v>
      </c>
      <c r="AK28" s="339" t="s">
        <v>241</v>
      </c>
      <c r="AL28" s="340">
        <f>SUM(AD27:AD28)</f>
        <v>1087.4559035</v>
      </c>
      <c r="AM28" s="340">
        <f>SUM(AE27:AE28)</f>
        <v>452.987674459794</v>
      </c>
      <c r="AN28" s="340">
        <f>SUM(AF27:AF28)</f>
        <v>2505.9854330799</v>
      </c>
      <c r="AO28" s="340">
        <f>SUM(AG27:AG28)</f>
        <v>547.562173340003</v>
      </c>
      <c r="AP28" s="340">
        <f t="shared" si="10"/>
        <v>4593.9911843797</v>
      </c>
      <c r="AQ28" s="347"/>
      <c r="AR28" s="339" t="s">
        <v>241</v>
      </c>
      <c r="AS28" s="348">
        <f t="shared" si="11"/>
        <v>0.236712666580102</v>
      </c>
      <c r="AT28" s="348">
        <f t="shared" si="12"/>
        <v>0.0986043847885525</v>
      </c>
      <c r="AU28" s="348">
        <f t="shared" si="13"/>
        <v>0.545491998678763</v>
      </c>
      <c r="AV28" s="349">
        <f t="shared" si="14"/>
        <v>0.119190949952582</v>
      </c>
      <c r="AW28" s="344">
        <f t="shared" si="15"/>
        <v>1</v>
      </c>
      <c r="AY28" s="21" t="s">
        <v>241</v>
      </c>
      <c r="AZ28" s="159">
        <v>636.771205920001</v>
      </c>
      <c r="BA28" s="159">
        <v>452.987674459794</v>
      </c>
      <c r="BB28" s="159">
        <v>2100.9648971199</v>
      </c>
      <c r="BC28" s="159">
        <v>636.526689780003</v>
      </c>
      <c r="BD28" s="159">
        <v>3827.2504672797</v>
      </c>
    </row>
    <row r="29" hidden="1" spans="1:56">
      <c r="A29" s="293">
        <v>44621</v>
      </c>
      <c r="B29" s="313">
        <v>462.08027914001</v>
      </c>
      <c r="C29" s="313">
        <v>221.161068379897</v>
      </c>
      <c r="D29" s="313">
        <f>1749.7701880402+146.567852*1.06</f>
        <v>1905.1321111602</v>
      </c>
      <c r="E29" s="313">
        <v>454.048917259898</v>
      </c>
      <c r="F29" s="313">
        <f t="shared" si="0"/>
        <v>3042.42237594001</v>
      </c>
      <c r="H29" s="293">
        <v>44621</v>
      </c>
      <c r="I29" s="313">
        <v>23.70920232</v>
      </c>
      <c r="J29" s="313">
        <v>0</v>
      </c>
      <c r="K29" s="313">
        <v>327.83535416</v>
      </c>
      <c r="L29" s="313">
        <v>10.96680558</v>
      </c>
      <c r="M29" s="313">
        <f t="shared" si="1"/>
        <v>362.51136206</v>
      </c>
      <c r="O29" s="293">
        <v>44621</v>
      </c>
      <c r="P29" s="313">
        <v>0.06497588</v>
      </c>
      <c r="Q29" s="313">
        <v>0</v>
      </c>
      <c r="R29" s="313">
        <v>11.42585978</v>
      </c>
      <c r="S29" s="313">
        <v>-40.1705995200002</v>
      </c>
      <c r="T29" s="313">
        <f t="shared" si="2"/>
        <v>-28.6797638600002</v>
      </c>
      <c r="V29" s="325">
        <v>44621</v>
      </c>
      <c r="W29" s="313">
        <v>22.29000012</v>
      </c>
      <c r="X29" s="326">
        <v>0</v>
      </c>
      <c r="Y29" s="313">
        <v>0</v>
      </c>
      <c r="Z29" s="313">
        <v>15.8348842</v>
      </c>
      <c r="AA29" s="313">
        <f t="shared" si="3"/>
        <v>38.12488432</v>
      </c>
      <c r="AC29" s="325">
        <v>44621</v>
      </c>
      <c r="AD29" s="313">
        <f t="shared" si="4"/>
        <v>508.14445746001</v>
      </c>
      <c r="AE29" s="313">
        <f t="shared" si="5"/>
        <v>221.161068379897</v>
      </c>
      <c r="AF29" s="313">
        <f t="shared" si="6"/>
        <v>2244.3933251002</v>
      </c>
      <c r="AG29" s="313">
        <f t="shared" si="7"/>
        <v>440.680007519898</v>
      </c>
      <c r="AH29" s="313">
        <f t="shared" si="8"/>
        <v>3414.37885846001</v>
      </c>
      <c r="AI29" s="338">
        <f t="shared" si="9"/>
        <v>0</v>
      </c>
      <c r="AK29" s="339" t="s">
        <v>242</v>
      </c>
      <c r="AL29" s="340">
        <f>SUM(AD27:AD29)</f>
        <v>1595.60036096001</v>
      </c>
      <c r="AM29" s="340">
        <f>SUM(AE27:AE29)</f>
        <v>674.148742839691</v>
      </c>
      <c r="AN29" s="340">
        <f>SUM(AF27:AF29)</f>
        <v>4750.3787581801</v>
      </c>
      <c r="AO29" s="340">
        <f>SUM(AG27:AG29)</f>
        <v>988.242180859901</v>
      </c>
      <c r="AP29" s="340">
        <f t="shared" si="10"/>
        <v>8008.3700428397</v>
      </c>
      <c r="AQ29" s="347"/>
      <c r="AR29" s="339" t="s">
        <v>242</v>
      </c>
      <c r="AS29" s="348">
        <f t="shared" si="11"/>
        <v>0.199241587542104</v>
      </c>
      <c r="AT29" s="348">
        <f t="shared" si="12"/>
        <v>0.0841805185366588</v>
      </c>
      <c r="AU29" s="348">
        <f t="shared" si="13"/>
        <v>0.593176730441848</v>
      </c>
      <c r="AV29" s="349">
        <f t="shared" si="14"/>
        <v>0.123401163479389</v>
      </c>
      <c r="AW29" s="344">
        <f t="shared" si="15"/>
        <v>1</v>
      </c>
      <c r="AY29" s="21" t="s">
        <v>242</v>
      </c>
      <c r="AZ29" s="159">
        <v>1098.85148506001</v>
      </c>
      <c r="BA29" s="159">
        <v>674.148742839691</v>
      </c>
      <c r="BB29" s="159">
        <v>4006.0970082801</v>
      </c>
      <c r="BC29" s="159">
        <v>1090.5756070399</v>
      </c>
      <c r="BD29" s="159">
        <v>6869.6728432197</v>
      </c>
    </row>
    <row r="30" hidden="1" spans="1:56">
      <c r="A30" s="293">
        <v>44652</v>
      </c>
      <c r="B30" s="313">
        <v>483.342630359901</v>
      </c>
      <c r="C30" s="313">
        <v>235.771657060002</v>
      </c>
      <c r="D30" s="313">
        <f>1278.9378202401-11.900448*1.06</f>
        <v>1266.3233453601</v>
      </c>
      <c r="E30" s="313">
        <v>479.26412892</v>
      </c>
      <c r="F30" s="313">
        <f t="shared" si="0"/>
        <v>2464.7017617</v>
      </c>
      <c r="H30" s="293">
        <v>44652</v>
      </c>
      <c r="I30" s="313">
        <v>13.3679939</v>
      </c>
      <c r="J30" s="313">
        <v>0</v>
      </c>
      <c r="K30" s="313">
        <v>225.4543468</v>
      </c>
      <c r="L30" s="313">
        <v>6.02446972</v>
      </c>
      <c r="M30" s="313">
        <f t="shared" si="1"/>
        <v>244.84681042</v>
      </c>
      <c r="O30" s="293">
        <v>44652</v>
      </c>
      <c r="P30" s="313">
        <v>0.13202724</v>
      </c>
      <c r="Q30" s="313">
        <v>0</v>
      </c>
      <c r="R30" s="313">
        <v>14.63615034</v>
      </c>
      <c r="S30" s="313">
        <v>-33.56507384</v>
      </c>
      <c r="T30" s="313">
        <f t="shared" si="2"/>
        <v>-18.79689626</v>
      </c>
      <c r="V30" s="325">
        <v>44652</v>
      </c>
      <c r="W30" s="313">
        <v>0.70618684</v>
      </c>
      <c r="X30" s="326">
        <v>0</v>
      </c>
      <c r="Y30" s="313">
        <v>0</v>
      </c>
      <c r="Z30" s="313">
        <v>0.7369385</v>
      </c>
      <c r="AA30" s="313">
        <f t="shared" si="3"/>
        <v>1.44312534</v>
      </c>
      <c r="AC30" s="325">
        <v>44652</v>
      </c>
      <c r="AD30" s="313">
        <f t="shared" si="4"/>
        <v>497.548838339901</v>
      </c>
      <c r="AE30" s="313">
        <f t="shared" si="5"/>
        <v>235.771657060002</v>
      </c>
      <c r="AF30" s="313">
        <f t="shared" si="6"/>
        <v>1506.4138425001</v>
      </c>
      <c r="AG30" s="313">
        <f t="shared" si="7"/>
        <v>452.4604633</v>
      </c>
      <c r="AH30" s="313">
        <f t="shared" si="8"/>
        <v>2692.1948012</v>
      </c>
      <c r="AI30" s="338">
        <f t="shared" si="9"/>
        <v>0</v>
      </c>
      <c r="AK30" s="339" t="s">
        <v>243</v>
      </c>
      <c r="AL30" s="340">
        <f>SUM(AD27:AD30)</f>
        <v>2093.14919929991</v>
      </c>
      <c r="AM30" s="340">
        <f>SUM(AE27:AE30)</f>
        <v>909.920399899693</v>
      </c>
      <c r="AN30" s="340">
        <f>SUM(AF27:AF30)</f>
        <v>6256.7926006802</v>
      </c>
      <c r="AO30" s="340">
        <f>SUM(AG27:AG30)</f>
        <v>1440.7026441599</v>
      </c>
      <c r="AP30" s="340">
        <f t="shared" si="10"/>
        <v>10700.5648440397</v>
      </c>
      <c r="AQ30" s="347"/>
      <c r="AR30" s="339" t="s">
        <v>243</v>
      </c>
      <c r="AS30" s="348">
        <f t="shared" si="11"/>
        <v>0.195611094349455</v>
      </c>
      <c r="AT30" s="348">
        <f t="shared" si="12"/>
        <v>0.0850348007943268</v>
      </c>
      <c r="AU30" s="348">
        <f t="shared" si="13"/>
        <v>0.584716105352633</v>
      </c>
      <c r="AV30" s="349">
        <f t="shared" si="14"/>
        <v>0.134637999503585</v>
      </c>
      <c r="AW30" s="344">
        <f t="shared" si="15"/>
        <v>1</v>
      </c>
      <c r="AY30" s="21" t="s">
        <v>243</v>
      </c>
      <c r="AZ30" s="159">
        <v>1582.19411541991</v>
      </c>
      <c r="BA30" s="159">
        <v>909.920399899693</v>
      </c>
      <c r="BB30" s="159">
        <v>5272.4203536402</v>
      </c>
      <c r="BC30" s="159">
        <v>1569.8397359599</v>
      </c>
      <c r="BD30" s="159">
        <v>9334.37460491971</v>
      </c>
    </row>
    <row r="31" hidden="1" spans="1:56">
      <c r="A31" s="293">
        <v>44682</v>
      </c>
      <c r="B31" s="313">
        <v>255.904170900022</v>
      </c>
      <c r="C31" s="313">
        <v>261.198581400297</v>
      </c>
      <c r="D31" s="313">
        <f>1781.82149948+208.222596*1.06</f>
        <v>2002.53745124</v>
      </c>
      <c r="E31" s="313">
        <v>-74.2635379599987</v>
      </c>
      <c r="F31" s="313">
        <f t="shared" si="0"/>
        <v>2445.37666558032</v>
      </c>
      <c r="H31" s="293">
        <v>44682</v>
      </c>
      <c r="I31" s="313">
        <v>-25.46879278</v>
      </c>
      <c r="J31" s="313">
        <v>0</v>
      </c>
      <c r="K31" s="313">
        <v>146.70190756</v>
      </c>
      <c r="L31" s="313">
        <v>15.15283038</v>
      </c>
      <c r="M31" s="313">
        <f t="shared" si="1"/>
        <v>136.38594516</v>
      </c>
      <c r="O31" s="293">
        <v>44682</v>
      </c>
      <c r="P31" s="313">
        <v>0</v>
      </c>
      <c r="Q31" s="313">
        <v>0</v>
      </c>
      <c r="R31" s="313">
        <v>46.69070404</v>
      </c>
      <c r="S31" s="313">
        <v>-40.04566474</v>
      </c>
      <c r="T31" s="313">
        <f t="shared" si="2"/>
        <v>6.6450393</v>
      </c>
      <c r="V31" s="325">
        <v>44682</v>
      </c>
      <c r="W31" s="313">
        <v>13.0006138</v>
      </c>
      <c r="X31" s="326">
        <v>0</v>
      </c>
      <c r="Y31" s="313">
        <v>0</v>
      </c>
      <c r="Z31" s="313">
        <v>8.08391404</v>
      </c>
      <c r="AA31" s="313">
        <f t="shared" si="3"/>
        <v>21.08452784</v>
      </c>
      <c r="AC31" s="325">
        <v>44682</v>
      </c>
      <c r="AD31" s="313">
        <f t="shared" si="4"/>
        <v>243.435991920022</v>
      </c>
      <c r="AE31" s="313">
        <f t="shared" si="5"/>
        <v>261.198581400297</v>
      </c>
      <c r="AF31" s="313">
        <f t="shared" si="6"/>
        <v>2195.93006284</v>
      </c>
      <c r="AG31" s="313">
        <f t="shared" si="7"/>
        <v>-91.0724582799987</v>
      </c>
      <c r="AH31" s="313">
        <f t="shared" si="8"/>
        <v>2609.49217788032</v>
      </c>
      <c r="AI31" s="338">
        <f t="shared" si="9"/>
        <v>0</v>
      </c>
      <c r="AK31" s="339" t="s">
        <v>244</v>
      </c>
      <c r="AL31" s="340">
        <f>SUM(AD$27:AD31)</f>
        <v>2336.58519121993</v>
      </c>
      <c r="AM31" s="340">
        <f>SUM(AE$27:AE31)</f>
        <v>1171.11898129999</v>
      </c>
      <c r="AN31" s="340">
        <f>SUM(AF$27:AF31)</f>
        <v>8452.7226635202</v>
      </c>
      <c r="AO31" s="340">
        <f>SUM(AG$27:AG31)</f>
        <v>1349.6301858799</v>
      </c>
      <c r="AP31" s="340">
        <f t="shared" si="10"/>
        <v>13310.05702192</v>
      </c>
      <c r="AQ31" s="347"/>
      <c r="AR31" s="339" t="s">
        <v>244</v>
      </c>
      <c r="AS31" s="348">
        <f t="shared" si="11"/>
        <v>0.175550351690595</v>
      </c>
      <c r="AT31" s="348">
        <f t="shared" si="12"/>
        <v>0.0879875254757587</v>
      </c>
      <c r="AU31" s="348">
        <f t="shared" si="13"/>
        <v>0.635062843802968</v>
      </c>
      <c r="AV31" s="349">
        <f t="shared" si="14"/>
        <v>0.101399279030678</v>
      </c>
      <c r="AW31" s="344">
        <f t="shared" si="15"/>
        <v>1</v>
      </c>
      <c r="AY31" s="21" t="s">
        <v>244</v>
      </c>
      <c r="AZ31" s="159">
        <v>1838.09828631993</v>
      </c>
      <c r="BA31" s="159">
        <v>1171.11898129999</v>
      </c>
      <c r="BB31" s="159">
        <v>7274.9578048802</v>
      </c>
      <c r="BC31" s="159">
        <v>1495.5761979999</v>
      </c>
      <c r="BD31" s="159">
        <v>11779.7512705</v>
      </c>
    </row>
    <row r="32" hidden="1" spans="1:56">
      <c r="A32" s="293">
        <v>44713</v>
      </c>
      <c r="B32" s="313">
        <v>461.156574520011</v>
      </c>
      <c r="C32" s="313">
        <v>318.103063299997</v>
      </c>
      <c r="D32" s="313">
        <f>2397.19591002-280.713167*1.06</f>
        <v>2099.639953</v>
      </c>
      <c r="E32" s="313">
        <v>209.550847800098</v>
      </c>
      <c r="F32" s="313">
        <f t="shared" si="0"/>
        <v>3088.45043862011</v>
      </c>
      <c r="H32" s="293">
        <v>44713</v>
      </c>
      <c r="I32" s="313">
        <f>821.37546696-4002426.4402/10000</f>
        <v>421.13282294</v>
      </c>
      <c r="J32" s="313">
        <v>0</v>
      </c>
      <c r="K32" s="313">
        <v>270.34050578</v>
      </c>
      <c r="L32" s="313">
        <v>5.51476024</v>
      </c>
      <c r="M32" s="313">
        <f t="shared" si="1"/>
        <v>696.98808896</v>
      </c>
      <c r="O32" s="293">
        <v>44713</v>
      </c>
      <c r="P32" s="313">
        <v>0</v>
      </c>
      <c r="Q32" s="313">
        <v>0</v>
      </c>
      <c r="R32" s="313">
        <v>11.429556</v>
      </c>
      <c r="S32" s="313">
        <f>-20.51372314-461458.76/10000</f>
        <v>-66.65959914</v>
      </c>
      <c r="T32" s="313">
        <f t="shared" si="2"/>
        <v>-55.23004314</v>
      </c>
      <c r="V32" s="325">
        <v>44713</v>
      </c>
      <c r="W32" s="313">
        <v>6.64610672</v>
      </c>
      <c r="X32" s="326">
        <v>0</v>
      </c>
      <c r="Y32" s="313">
        <v>0</v>
      </c>
      <c r="Z32" s="313">
        <f>144.16042612-1386687.6116/10000</f>
        <v>5.49166496000001</v>
      </c>
      <c r="AA32" s="313">
        <f t="shared" si="3"/>
        <v>12.13777168</v>
      </c>
      <c r="AC32" s="325">
        <v>44713</v>
      </c>
      <c r="AD32" s="313">
        <f t="shared" si="4"/>
        <v>888.935504180011</v>
      </c>
      <c r="AE32" s="313">
        <f t="shared" si="5"/>
        <v>318.103063299997</v>
      </c>
      <c r="AF32" s="313">
        <f t="shared" si="6"/>
        <v>2381.41001478</v>
      </c>
      <c r="AG32" s="313">
        <f t="shared" si="7"/>
        <v>153.897673860098</v>
      </c>
      <c r="AH32" s="313">
        <f t="shared" si="8"/>
        <v>3742.34625612011</v>
      </c>
      <c r="AI32" s="338">
        <f t="shared" si="9"/>
        <v>0</v>
      </c>
      <c r="AK32" s="339" t="s">
        <v>245</v>
      </c>
      <c r="AL32" s="340">
        <f>SUM(AD$27:AD32)</f>
        <v>3225.52069539994</v>
      </c>
      <c r="AM32" s="340">
        <f>SUM(AE$27:AE32)</f>
        <v>1489.22204459999</v>
      </c>
      <c r="AN32" s="340">
        <f>SUM(AF$27:AF32)</f>
        <v>10834.1326783002</v>
      </c>
      <c r="AO32" s="340">
        <f>SUM(AG$27:AG32)</f>
        <v>1503.52785974</v>
      </c>
      <c r="AP32" s="340">
        <f t="shared" si="10"/>
        <v>17052.4032780401</v>
      </c>
      <c r="AQ32" s="347"/>
      <c r="AR32" s="339" t="s">
        <v>245</v>
      </c>
      <c r="AS32" s="348">
        <f t="shared" si="11"/>
        <v>0.189153437366434</v>
      </c>
      <c r="AT32" s="348">
        <f t="shared" si="12"/>
        <v>0.0873320915719714</v>
      </c>
      <c r="AU32" s="348">
        <f t="shared" si="13"/>
        <v>0.63534344699977</v>
      </c>
      <c r="AV32" s="349">
        <f t="shared" si="14"/>
        <v>0.0881710240618238</v>
      </c>
      <c r="AW32" s="344">
        <f t="shared" si="15"/>
        <v>1</v>
      </c>
      <c r="AY32" s="21" t="s">
        <v>245</v>
      </c>
      <c r="AZ32" s="159">
        <v>2299.25486083994</v>
      </c>
      <c r="BA32" s="159">
        <v>1489.22204459999</v>
      </c>
      <c r="BB32" s="159">
        <v>9374.5977578802</v>
      </c>
      <c r="BC32" s="159">
        <v>1705.1270458</v>
      </c>
      <c r="BD32" s="159">
        <v>14868.2017091201</v>
      </c>
    </row>
    <row r="33" hidden="1" spans="1:56">
      <c r="A33" s="293">
        <v>44743</v>
      </c>
      <c r="B33" s="313">
        <v>357.68882846</v>
      </c>
      <c r="C33" s="313">
        <v>328.75447592</v>
      </c>
      <c r="D33" s="313">
        <f>1407.25765466+15.963167*1.06</f>
        <v>1424.17861168</v>
      </c>
      <c r="E33" s="313">
        <v>431.43085864</v>
      </c>
      <c r="F33" s="313">
        <f t="shared" si="0"/>
        <v>2542.0527747</v>
      </c>
      <c r="H33" s="293">
        <v>44743</v>
      </c>
      <c r="I33" s="313">
        <v>323.63538718</v>
      </c>
      <c r="J33" s="313">
        <v>0</v>
      </c>
      <c r="K33" s="313">
        <v>123.40799946</v>
      </c>
      <c r="L33" s="313">
        <v>22.72319668</v>
      </c>
      <c r="M33" s="313">
        <f t="shared" si="1"/>
        <v>469.76658332</v>
      </c>
      <c r="O33" s="293">
        <v>44743</v>
      </c>
      <c r="P33" s="313">
        <v>0</v>
      </c>
      <c r="Q33" s="313">
        <v>0</v>
      </c>
      <c r="R33" s="313">
        <v>49.48897154</v>
      </c>
      <c r="S33" s="313">
        <v>56.66852432</v>
      </c>
      <c r="T33" s="313">
        <f t="shared" si="2"/>
        <v>106.15749586</v>
      </c>
      <c r="V33" s="325">
        <v>44743</v>
      </c>
      <c r="W33" s="313">
        <v>13.24818104</v>
      </c>
      <c r="X33" s="326">
        <v>0</v>
      </c>
      <c r="Y33" s="313">
        <v>-0.0342645</v>
      </c>
      <c r="Z33" s="313">
        <v>2.338784</v>
      </c>
      <c r="AA33" s="313">
        <f t="shared" si="3"/>
        <v>15.55270054</v>
      </c>
      <c r="AC33" s="325">
        <v>44743</v>
      </c>
      <c r="AD33" s="313">
        <f t="shared" si="4"/>
        <v>694.57239668</v>
      </c>
      <c r="AE33" s="313">
        <f t="shared" si="5"/>
        <v>328.75447592</v>
      </c>
      <c r="AF33" s="313">
        <f t="shared" si="6"/>
        <v>1597.04131818</v>
      </c>
      <c r="AG33" s="313">
        <f t="shared" si="7"/>
        <v>513.16136364</v>
      </c>
      <c r="AH33" s="313">
        <f t="shared" si="8"/>
        <v>3133.52955442</v>
      </c>
      <c r="AI33" s="338">
        <f t="shared" si="9"/>
        <v>0</v>
      </c>
      <c r="AK33" s="339" t="s">
        <v>246</v>
      </c>
      <c r="AL33" s="340">
        <f>SUM(AD$27:AD33)</f>
        <v>3920.09309207995</v>
      </c>
      <c r="AM33" s="340">
        <f>SUM(AE$27:AE33)</f>
        <v>1817.97652051999</v>
      </c>
      <c r="AN33" s="340">
        <f>SUM(AF$27:AF33)</f>
        <v>12431.1739964802</v>
      </c>
      <c r="AO33" s="340">
        <f>SUM(AG$27:AG33)</f>
        <v>2016.68922338</v>
      </c>
      <c r="AP33" s="340">
        <f t="shared" si="10"/>
        <v>20185.9328324601</v>
      </c>
      <c r="AQ33" s="347"/>
      <c r="AR33" s="339" t="s">
        <v>246</v>
      </c>
      <c r="AS33" s="348">
        <f t="shared" si="11"/>
        <v>0.194199253738535</v>
      </c>
      <c r="AT33" s="348">
        <f t="shared" si="12"/>
        <v>0.090061556015711</v>
      </c>
      <c r="AU33" s="348">
        <f t="shared" si="13"/>
        <v>0.615833516323316</v>
      </c>
      <c r="AV33" s="349">
        <f t="shared" si="14"/>
        <v>0.0999056739224381</v>
      </c>
      <c r="AW33" s="344">
        <f t="shared" si="15"/>
        <v>1</v>
      </c>
      <c r="AY33" s="21" t="s">
        <v>246</v>
      </c>
      <c r="AZ33" s="159">
        <v>2656.94368929994</v>
      </c>
      <c r="BA33" s="159">
        <v>1817.97652051999</v>
      </c>
      <c r="BB33" s="159">
        <v>10798.7763695602</v>
      </c>
      <c r="BC33" s="159">
        <v>2136.55790444</v>
      </c>
      <c r="BD33" s="159">
        <v>17410.2544838201</v>
      </c>
    </row>
    <row r="34" hidden="1" spans="1:56">
      <c r="A34" s="293">
        <v>44774</v>
      </c>
      <c r="B34" s="313">
        <v>511.071954180001</v>
      </c>
      <c r="C34" s="313">
        <v>80.1307540600004</v>
      </c>
      <c r="D34" s="313">
        <f>2412.31793416+302.64*1.06</f>
        <v>2733.11633416</v>
      </c>
      <c r="E34" s="313">
        <v>1445.50099928</v>
      </c>
      <c r="F34" s="313">
        <f t="shared" si="0"/>
        <v>4769.82004168</v>
      </c>
      <c r="H34" s="293">
        <v>44774</v>
      </c>
      <c r="I34" s="313">
        <f>332.1508251-50.912318</f>
        <v>281.2385071</v>
      </c>
      <c r="J34" s="313">
        <v>12.0000003</v>
      </c>
      <c r="K34" s="313">
        <f>213.8241646-55.804324</f>
        <v>158.0198406</v>
      </c>
      <c r="L34" s="313">
        <v>7.91295406</v>
      </c>
      <c r="M34" s="313">
        <f t="shared" si="1"/>
        <v>459.17130206</v>
      </c>
      <c r="O34" s="293">
        <v>44774</v>
      </c>
      <c r="P34" s="313">
        <v>0</v>
      </c>
      <c r="Q34" s="313">
        <v>0</v>
      </c>
      <c r="R34" s="313">
        <v>12.2033666</v>
      </c>
      <c r="S34" s="313">
        <v>55.52490198</v>
      </c>
      <c r="T34" s="313">
        <f t="shared" si="2"/>
        <v>67.72826858</v>
      </c>
      <c r="V34" s="325">
        <v>44774</v>
      </c>
      <c r="W34" s="313">
        <f>-153.87611582+109.402302+51.577694</f>
        <v>7.10388018000001</v>
      </c>
      <c r="X34" s="326">
        <v>0</v>
      </c>
      <c r="Y34" s="313">
        <f>-197.06060592+196.948106</f>
        <v>-0.112499920000005</v>
      </c>
      <c r="Z34" s="313">
        <f>72.84941796-65.12811296</f>
        <v>7.721305</v>
      </c>
      <c r="AA34" s="313">
        <f t="shared" si="3"/>
        <v>14.71268526</v>
      </c>
      <c r="AC34" s="325">
        <v>44774</v>
      </c>
      <c r="AD34" s="313">
        <f t="shared" si="4"/>
        <v>799.414341460001</v>
      </c>
      <c r="AE34" s="313">
        <f t="shared" si="5"/>
        <v>92.1307543600004</v>
      </c>
      <c r="AF34" s="313">
        <f t="shared" si="6"/>
        <v>2903.22704144</v>
      </c>
      <c r="AG34" s="313">
        <f t="shared" si="7"/>
        <v>1516.66016032</v>
      </c>
      <c r="AH34" s="313">
        <f t="shared" si="8"/>
        <v>5311.43229758</v>
      </c>
      <c r="AI34" s="338">
        <f t="shared" si="9"/>
        <v>0</v>
      </c>
      <c r="AK34" s="339" t="s">
        <v>247</v>
      </c>
      <c r="AL34" s="340">
        <f>SUM(AD$27:AD34)</f>
        <v>4719.50743353995</v>
      </c>
      <c r="AM34" s="340">
        <f>SUM(AE$27:AE34)</f>
        <v>1910.10727487999</v>
      </c>
      <c r="AN34" s="340">
        <f>SUM(AF$27:AF34)</f>
        <v>15334.4010379202</v>
      </c>
      <c r="AO34" s="340">
        <f>SUM(AG$27:AG34)</f>
        <v>3533.3493837</v>
      </c>
      <c r="AP34" s="340">
        <f t="shared" si="10"/>
        <v>25497.3651300401</v>
      </c>
      <c r="AQ34" s="347"/>
      <c r="AR34" s="339" t="s">
        <v>247</v>
      </c>
      <c r="AS34" s="348">
        <f t="shared" si="11"/>
        <v>0.185097848717693</v>
      </c>
      <c r="AT34" s="348">
        <f t="shared" si="12"/>
        <v>0.0749139083641848</v>
      </c>
      <c r="AU34" s="348">
        <f t="shared" si="13"/>
        <v>0.601411203067949</v>
      </c>
      <c r="AV34" s="349">
        <f t="shared" si="14"/>
        <v>0.138577039850174</v>
      </c>
      <c r="AW34" s="344">
        <f t="shared" si="15"/>
        <v>1</v>
      </c>
      <c r="AY34" s="21" t="s">
        <v>247</v>
      </c>
      <c r="AZ34" s="159">
        <v>3168.01564347995</v>
      </c>
      <c r="BA34" s="159">
        <v>1898.10727457999</v>
      </c>
      <c r="BB34" s="159">
        <v>13531.8927037202</v>
      </c>
      <c r="BC34" s="159">
        <v>3582.05890372</v>
      </c>
      <c r="BD34" s="159">
        <v>22180.0745255001</v>
      </c>
    </row>
    <row r="35" hidden="1" spans="1:56">
      <c r="A35" s="293">
        <v>44805</v>
      </c>
      <c r="B35" s="313">
        <v>292.782998560001</v>
      </c>
      <c r="C35" s="313">
        <v>391.08024568</v>
      </c>
      <c r="D35" s="313">
        <f>1965.91679622-155.56*1.06</f>
        <v>1801.02319622</v>
      </c>
      <c r="E35" s="313">
        <v>380.51312582</v>
      </c>
      <c r="F35" s="313">
        <f t="shared" si="0"/>
        <v>2865.39956628</v>
      </c>
      <c r="H35" s="293">
        <v>44805</v>
      </c>
      <c r="I35" s="313">
        <v>31.62818248</v>
      </c>
      <c r="J35" s="313">
        <v>9.96634684</v>
      </c>
      <c r="K35" s="313">
        <f>130.84519584-15.262596</f>
        <v>115.58259984</v>
      </c>
      <c r="L35" s="313">
        <v>3.21859248</v>
      </c>
      <c r="M35" s="313">
        <f t="shared" si="1"/>
        <v>160.39572164</v>
      </c>
      <c r="O35" s="293">
        <v>44805</v>
      </c>
      <c r="P35" s="313">
        <v>0</v>
      </c>
      <c r="Q35" s="313">
        <v>0</v>
      </c>
      <c r="R35" s="313">
        <v>-16.5438122</v>
      </c>
      <c r="S35" s="313">
        <v>147.74788164</v>
      </c>
      <c r="T35" s="313">
        <f t="shared" si="2"/>
        <v>131.20406944</v>
      </c>
      <c r="V35" s="325">
        <v>44805</v>
      </c>
      <c r="W35" s="313">
        <v>5.49644238</v>
      </c>
      <c r="X35" s="326">
        <v>-3</v>
      </c>
      <c r="Y35" s="313">
        <v>-4.42806202</v>
      </c>
      <c r="Z35" s="313">
        <v>9.4485591</v>
      </c>
      <c r="AA35" s="313">
        <f t="shared" si="3"/>
        <v>7.51693946</v>
      </c>
      <c r="AC35" s="325">
        <v>44805</v>
      </c>
      <c r="AD35" s="313">
        <f t="shared" si="4"/>
        <v>329.907623420001</v>
      </c>
      <c r="AE35" s="313">
        <f t="shared" si="5"/>
        <v>398.04659252</v>
      </c>
      <c r="AF35" s="313">
        <f t="shared" si="6"/>
        <v>1895.63392184</v>
      </c>
      <c r="AG35" s="313">
        <f t="shared" si="7"/>
        <v>540.92815904</v>
      </c>
      <c r="AH35" s="313">
        <f t="shared" si="8"/>
        <v>3164.51629682</v>
      </c>
      <c r="AI35" s="338">
        <f t="shared" si="9"/>
        <v>0</v>
      </c>
      <c r="AK35" s="339" t="s">
        <v>248</v>
      </c>
      <c r="AL35" s="340">
        <f>SUM(AD$27:AD35)</f>
        <v>5049.41505695995</v>
      </c>
      <c r="AM35" s="340">
        <f>SUM(AE$27:AE35)</f>
        <v>2308.15386739999</v>
      </c>
      <c r="AN35" s="340">
        <f>SUM(AF$27:AF35)</f>
        <v>17230.0349597602</v>
      </c>
      <c r="AO35" s="340">
        <f>SUM(AG$27:AG35)</f>
        <v>4074.27754274</v>
      </c>
      <c r="AP35" s="340">
        <f t="shared" si="10"/>
        <v>28661.8814268601</v>
      </c>
      <c r="AQ35" s="347"/>
      <c r="AR35" s="339" t="s">
        <v>248</v>
      </c>
      <c r="AS35" s="348">
        <f t="shared" si="11"/>
        <v>0.176171793531598</v>
      </c>
      <c r="AT35" s="348">
        <f t="shared" si="12"/>
        <v>0.0805304380764387</v>
      </c>
      <c r="AU35" s="348">
        <f t="shared" si="13"/>
        <v>0.601148078981768</v>
      </c>
      <c r="AV35" s="349">
        <f t="shared" si="14"/>
        <v>0.142149689410195</v>
      </c>
      <c r="AW35" s="344">
        <f t="shared" si="15"/>
        <v>1</v>
      </c>
      <c r="AY35" s="21" t="s">
        <v>248</v>
      </c>
      <c r="AZ35" s="159">
        <v>3460.79864203995</v>
      </c>
      <c r="BA35" s="159">
        <v>2289.18752025999</v>
      </c>
      <c r="BB35" s="159">
        <v>15332.9158999402</v>
      </c>
      <c r="BC35" s="159">
        <v>3962.57202954</v>
      </c>
      <c r="BD35" s="159">
        <v>25045.4740917801</v>
      </c>
    </row>
    <row r="36" hidden="1" spans="1:56">
      <c r="A36" s="293">
        <v>44835</v>
      </c>
      <c r="B36" s="313">
        <v>440.93172026</v>
      </c>
      <c r="C36" s="313">
        <v>275.4914666</v>
      </c>
      <c r="D36" s="313">
        <f>1522.96789702-99.33*1.06</f>
        <v>1417.67809702</v>
      </c>
      <c r="E36" s="313">
        <v>706.14962446</v>
      </c>
      <c r="F36" s="313">
        <f t="shared" si="0"/>
        <v>2840.25090834</v>
      </c>
      <c r="H36" s="293">
        <v>44835</v>
      </c>
      <c r="I36" s="313">
        <f>374.78072956-3346001.91/10000</f>
        <v>40.18053856</v>
      </c>
      <c r="J36" s="313">
        <v>9.20373514</v>
      </c>
      <c r="K36" s="313">
        <f>492.69261312-1201974.45/10000-54.48/10000</f>
        <v>372.48972012</v>
      </c>
      <c r="L36" s="313">
        <v>9.77151354</v>
      </c>
      <c r="M36" s="313">
        <f t="shared" si="1"/>
        <v>431.64550736</v>
      </c>
      <c r="O36" s="293">
        <v>44835</v>
      </c>
      <c r="P36" s="313">
        <v>0</v>
      </c>
      <c r="Q36" s="313">
        <v>0</v>
      </c>
      <c r="R36" s="313">
        <v>-24.08955576</v>
      </c>
      <c r="S36" s="313">
        <v>19.95906966</v>
      </c>
      <c r="T36" s="313">
        <f t="shared" si="2"/>
        <v>-4.1304861</v>
      </c>
      <c r="V36" s="325">
        <v>44835</v>
      </c>
      <c r="W36" s="313">
        <v>5.61539452</v>
      </c>
      <c r="X36" s="326">
        <v>0</v>
      </c>
      <c r="Y36" s="313">
        <f>-19.65784946+196578.49/10000</f>
        <v>-4.60000002533434e-7</v>
      </c>
      <c r="Z36" s="313">
        <f>85.28447512-786236.3/10000</f>
        <v>6.66084511999999</v>
      </c>
      <c r="AA36" s="313">
        <f t="shared" si="3"/>
        <v>12.27623918</v>
      </c>
      <c r="AC36" s="325">
        <v>44835</v>
      </c>
      <c r="AD36" s="313">
        <f t="shared" si="4"/>
        <v>486.72765334</v>
      </c>
      <c r="AE36" s="313">
        <f t="shared" si="5"/>
        <v>284.69520174</v>
      </c>
      <c r="AF36" s="313">
        <f t="shared" si="6"/>
        <v>1766.07826092</v>
      </c>
      <c r="AG36" s="313">
        <f t="shared" si="7"/>
        <v>742.54105278</v>
      </c>
      <c r="AH36" s="313">
        <f t="shared" si="8"/>
        <v>3280.04216878</v>
      </c>
      <c r="AI36" s="338">
        <f t="shared" si="9"/>
        <v>0</v>
      </c>
      <c r="AK36" s="339" t="s">
        <v>249</v>
      </c>
      <c r="AL36" s="340">
        <f>SUM(AD$27:AD36)</f>
        <v>5536.14271029995</v>
      </c>
      <c r="AM36" s="340">
        <f>SUM(AE$27:AE36)</f>
        <v>2592.84906913999</v>
      </c>
      <c r="AN36" s="340">
        <f>SUM(AF$27:AF36)</f>
        <v>18996.1132206802</v>
      </c>
      <c r="AO36" s="340">
        <f>SUM(AG$27:AG36)</f>
        <v>4816.81859552</v>
      </c>
      <c r="AP36" s="340">
        <f t="shared" si="10"/>
        <v>31941.9235956401</v>
      </c>
      <c r="AQ36" s="347"/>
      <c r="AR36" s="339" t="s">
        <v>249</v>
      </c>
      <c r="AS36" s="348">
        <f t="shared" si="11"/>
        <v>0.173319014232931</v>
      </c>
      <c r="AT36" s="348">
        <f t="shared" si="12"/>
        <v>0.0811738548361532</v>
      </c>
      <c r="AU36" s="348">
        <f t="shared" si="13"/>
        <v>0.594707866099619</v>
      </c>
      <c r="AV36" s="349">
        <f t="shared" si="14"/>
        <v>0.150799264831297</v>
      </c>
      <c r="AW36" s="344">
        <f t="shared" si="15"/>
        <v>1</v>
      </c>
      <c r="AY36" s="21" t="s">
        <v>249</v>
      </c>
      <c r="AZ36" s="159">
        <v>3901.73036229995</v>
      </c>
      <c r="BA36" s="159">
        <v>2564.67898685999</v>
      </c>
      <c r="BB36" s="159">
        <v>16750.5939969602</v>
      </c>
      <c r="BC36" s="159">
        <v>4668.721654</v>
      </c>
      <c r="BD36" s="159">
        <v>27885.7250001201</v>
      </c>
    </row>
    <row r="37" hidden="1" spans="1:56">
      <c r="A37" s="293">
        <v>44866</v>
      </c>
      <c r="B37" s="313">
        <v>564.820933219999</v>
      </c>
      <c r="C37" s="313">
        <v>247.67335024</v>
      </c>
      <c r="D37" s="313">
        <f>2235.59010302+1551151.72*1.06/10000-166.06*1.06</f>
        <v>2223.98858534</v>
      </c>
      <c r="E37" s="313">
        <v>-77.4408111399982</v>
      </c>
      <c r="F37" s="313">
        <f t="shared" si="0"/>
        <v>2959.04205766</v>
      </c>
      <c r="H37" s="293">
        <v>44866</v>
      </c>
      <c r="I37" s="313">
        <f>-456.7482071+4817798.29*1.06/10000</f>
        <v>53.93841164</v>
      </c>
      <c r="J37" s="313">
        <v>16.32845518</v>
      </c>
      <c r="K37" s="313">
        <f>1871.99484962-1584219.13/10000-654996.22/10000-4817798.29*1.06/10000</f>
        <v>1137.38669588</v>
      </c>
      <c r="L37" s="313">
        <v>9.23449422</v>
      </c>
      <c r="M37" s="313">
        <f t="shared" si="1"/>
        <v>1216.88805692</v>
      </c>
      <c r="O37" s="293">
        <v>44866</v>
      </c>
      <c r="P37" s="313">
        <v>0</v>
      </c>
      <c r="Q37" s="313">
        <v>0</v>
      </c>
      <c r="R37" s="313">
        <v>-9.5518667</v>
      </c>
      <c r="S37" s="313">
        <v>2.95612481999997</v>
      </c>
      <c r="T37" s="313">
        <f t="shared" si="2"/>
        <v>-6.59574188000003</v>
      </c>
      <c r="V37" s="325">
        <v>44866</v>
      </c>
      <c r="W37" s="313">
        <f>7.51957958+68942.33/10000</f>
        <v>14.41381258</v>
      </c>
      <c r="X37" s="326">
        <v>0</v>
      </c>
      <c r="Y37" s="313">
        <v>-0.0488002799999997</v>
      </c>
      <c r="Z37" s="313">
        <v>15.60800074</v>
      </c>
      <c r="AA37" s="313">
        <f t="shared" si="3"/>
        <v>29.97301304</v>
      </c>
      <c r="AC37" s="325">
        <v>44866</v>
      </c>
      <c r="AD37" s="313">
        <f t="shared" si="4"/>
        <v>633.173157439999</v>
      </c>
      <c r="AE37" s="313">
        <f t="shared" si="5"/>
        <v>264.00180542</v>
      </c>
      <c r="AF37" s="313">
        <f t="shared" si="6"/>
        <v>3351.77461424</v>
      </c>
      <c r="AG37" s="313">
        <f t="shared" si="7"/>
        <v>-49.6421913599982</v>
      </c>
      <c r="AH37" s="313">
        <f t="shared" si="8"/>
        <v>4199.30738574</v>
      </c>
      <c r="AI37" s="338">
        <f t="shared" si="9"/>
        <v>0</v>
      </c>
      <c r="AK37" s="339" t="s">
        <v>250</v>
      </c>
      <c r="AL37" s="340">
        <f>SUM(AD$27:AD37)</f>
        <v>6169.31586773995</v>
      </c>
      <c r="AM37" s="340">
        <f>SUM(AE$27:AE37)</f>
        <v>2856.85087455999</v>
      </c>
      <c r="AN37" s="340">
        <f>SUM(AF$27:AF37)</f>
        <v>22347.8878349202</v>
      </c>
      <c r="AO37" s="340">
        <f>SUM(AG$27:AG37)</f>
        <v>4767.17640416</v>
      </c>
      <c r="AP37" s="340">
        <f t="shared" si="10"/>
        <v>36141.2309813801</v>
      </c>
      <c r="AQ37" s="347"/>
      <c r="AR37" s="339" t="s">
        <v>250</v>
      </c>
      <c r="AS37" s="348">
        <f t="shared" si="11"/>
        <v>0.170700214138206</v>
      </c>
      <c r="AT37" s="348">
        <f t="shared" si="12"/>
        <v>0.0790468613543304</v>
      </c>
      <c r="AU37" s="348">
        <f t="shared" si="13"/>
        <v>0.618348828417985</v>
      </c>
      <c r="AV37" s="349">
        <f t="shared" si="14"/>
        <v>0.131904096089479</v>
      </c>
      <c r="AW37" s="344">
        <f t="shared" si="15"/>
        <v>1</v>
      </c>
      <c r="AY37" s="21" t="s">
        <v>250</v>
      </c>
      <c r="AZ37" s="159">
        <v>4466.55129551995</v>
      </c>
      <c r="BA37" s="159">
        <v>2812.35233709999</v>
      </c>
      <c r="BB37" s="159">
        <v>18974.5825823002</v>
      </c>
      <c r="BC37" s="159">
        <v>4591.28084286</v>
      </c>
      <c r="BD37" s="159">
        <v>30844.7670577801</v>
      </c>
    </row>
    <row r="38" hidden="1" spans="1:56">
      <c r="A38" s="293">
        <v>44896</v>
      </c>
      <c r="B38" s="313">
        <v>653.70418148</v>
      </c>
      <c r="C38" s="313">
        <v>349.498680159999</v>
      </c>
      <c r="D38" s="313">
        <f>4991.5440916+184.5*1.06</f>
        <v>5187.1140916</v>
      </c>
      <c r="E38" s="313">
        <v>703.908558679997</v>
      </c>
      <c r="F38" s="313">
        <f t="shared" si="0"/>
        <v>6894.22551192</v>
      </c>
      <c r="H38" s="293">
        <v>44896</v>
      </c>
      <c r="I38" s="313">
        <f>296.25635462-194385.3/10000</f>
        <v>276.81782462</v>
      </c>
      <c r="J38" s="313">
        <v>9.0396005</v>
      </c>
      <c r="K38" s="313">
        <f>394.10007226-1262440.96/10000</f>
        <v>267.85597626</v>
      </c>
      <c r="L38" s="313">
        <f>-10.737429+194385.3/10000</f>
        <v>8.701101</v>
      </c>
      <c r="M38" s="313">
        <f t="shared" si="1"/>
        <v>562.41450238</v>
      </c>
      <c r="O38" s="293">
        <v>44896</v>
      </c>
      <c r="P38" s="313">
        <v>0</v>
      </c>
      <c r="Q38" s="313">
        <v>0</v>
      </c>
      <c r="R38" s="313">
        <v>0.17901068</v>
      </c>
      <c r="S38" s="313">
        <v>17.1998833</v>
      </c>
      <c r="T38" s="313">
        <f t="shared" si="2"/>
        <v>17.37889398</v>
      </c>
      <c r="V38" s="325">
        <v>44896</v>
      </c>
      <c r="W38" s="313">
        <f>146.27517276-1462653.77/10000</f>
        <v>0.00979576000000293</v>
      </c>
      <c r="X38" s="326">
        <v>0</v>
      </c>
      <c r="Y38" s="313">
        <f>-801.46041486+7727106.553/10000</f>
        <v>-28.74975956</v>
      </c>
      <c r="Z38" s="313">
        <f>-47.38925146-189966.92/10000</f>
        <v>-66.38594346</v>
      </c>
      <c r="AA38" s="313">
        <f t="shared" si="3"/>
        <v>-95.12590726</v>
      </c>
      <c r="AC38" s="325">
        <v>44896</v>
      </c>
      <c r="AD38" s="313">
        <f t="shared" si="4"/>
        <v>930.53180186</v>
      </c>
      <c r="AE38" s="313">
        <f t="shared" si="5"/>
        <v>358.538280659999</v>
      </c>
      <c r="AF38" s="313">
        <f t="shared" si="6"/>
        <v>5426.39931898</v>
      </c>
      <c r="AG38" s="313">
        <f t="shared" si="7"/>
        <v>663.423599519997</v>
      </c>
      <c r="AH38" s="313">
        <f t="shared" si="8"/>
        <v>7378.89300102</v>
      </c>
      <c r="AI38" s="338">
        <f t="shared" si="9"/>
        <v>0</v>
      </c>
      <c r="AK38" s="339" t="s">
        <v>251</v>
      </c>
      <c r="AL38" s="340">
        <f>SUM(AD$27:AD38)</f>
        <v>7099.84766959995</v>
      </c>
      <c r="AM38" s="340">
        <f>SUM(AE$27:AE38)</f>
        <v>3215.38915521999</v>
      </c>
      <c r="AN38" s="340">
        <f>SUM(AF$27:AF38)</f>
        <v>27774.2871539002</v>
      </c>
      <c r="AO38" s="340">
        <f>SUM(AG$27:AG38)</f>
        <v>5430.60000368</v>
      </c>
      <c r="AP38" s="340">
        <f t="shared" si="10"/>
        <v>43520.1239824001</v>
      </c>
      <c r="AQ38" s="347"/>
      <c r="AR38" s="339" t="s">
        <v>251</v>
      </c>
      <c r="AS38" s="348">
        <f t="shared" si="11"/>
        <v>0.16313941735256</v>
      </c>
      <c r="AT38" s="348">
        <f t="shared" si="12"/>
        <v>0.0738828123862955</v>
      </c>
      <c r="AU38" s="348">
        <f t="shared" si="13"/>
        <v>0.638194118314836</v>
      </c>
      <c r="AV38" s="349">
        <f t="shared" si="14"/>
        <v>0.124783651946308</v>
      </c>
      <c r="AW38" s="344">
        <f t="shared" si="15"/>
        <v>1</v>
      </c>
      <c r="AY38" s="21" t="s">
        <v>251</v>
      </c>
      <c r="AZ38" s="159">
        <v>5120.25547699995</v>
      </c>
      <c r="BA38" s="159">
        <v>3161.85101725999</v>
      </c>
      <c r="BB38" s="159">
        <v>24161.6966739002</v>
      </c>
      <c r="BC38" s="159">
        <v>5295.18940154</v>
      </c>
      <c r="BD38" s="159">
        <v>37738.9925697001</v>
      </c>
    </row>
    <row r="39" s="172" customFormat="1" spans="1:57">
      <c r="A39" s="290">
        <v>44927</v>
      </c>
      <c r="B39" s="314">
        <v>817.407197960002</v>
      </c>
      <c r="C39" s="314">
        <v>88.9428085999999</v>
      </c>
      <c r="D39" s="314">
        <f>2153.97856182+投资公司!D28*1.06</f>
        <v>2258.77334182</v>
      </c>
      <c r="E39" s="314">
        <v>563.540747900001</v>
      </c>
      <c r="F39" s="314">
        <f t="shared" si="0"/>
        <v>3728.66409628</v>
      </c>
      <c r="G39" s="315"/>
      <c r="H39" s="290">
        <v>44927</v>
      </c>
      <c r="I39" s="314">
        <v>327.65234304</v>
      </c>
      <c r="J39" s="314">
        <v>12.2624987</v>
      </c>
      <c r="K39" s="314">
        <v>268.21921682</v>
      </c>
      <c r="L39" s="314">
        <v>7.15855418</v>
      </c>
      <c r="M39" s="314">
        <f t="shared" si="1"/>
        <v>615.29261274</v>
      </c>
      <c r="N39" s="16"/>
      <c r="O39" s="290">
        <v>44927</v>
      </c>
      <c r="P39" s="314">
        <v>14.83200018</v>
      </c>
      <c r="Q39" s="314">
        <v>0</v>
      </c>
      <c r="R39" s="314">
        <v>0.03200034</v>
      </c>
      <c r="S39" s="314">
        <v>-25.5983428</v>
      </c>
      <c r="T39" s="314">
        <f t="shared" si="2"/>
        <v>-10.73434228</v>
      </c>
      <c r="U39" s="218"/>
      <c r="V39" s="327">
        <v>44927</v>
      </c>
      <c r="W39" s="314">
        <v>0.20580324</v>
      </c>
      <c r="X39" s="328">
        <v>0</v>
      </c>
      <c r="Y39" s="314">
        <v>0</v>
      </c>
      <c r="Z39" s="314">
        <v>9.8552493</v>
      </c>
      <c r="AA39" s="314">
        <f t="shared" si="3"/>
        <v>10.06105254</v>
      </c>
      <c r="AB39" s="303"/>
      <c r="AC39" s="327">
        <v>44927</v>
      </c>
      <c r="AD39" s="314">
        <f t="shared" si="4"/>
        <v>1160.09734442</v>
      </c>
      <c r="AE39" s="314">
        <f t="shared" si="5"/>
        <v>101.2053073</v>
      </c>
      <c r="AF39" s="314">
        <f t="shared" si="6"/>
        <v>2527.02455898</v>
      </c>
      <c r="AG39" s="314">
        <f t="shared" si="7"/>
        <v>554.956208580001</v>
      </c>
      <c r="AH39" s="314">
        <f t="shared" si="8"/>
        <v>4343.28341928</v>
      </c>
      <c r="AI39" s="341">
        <f t="shared" si="9"/>
        <v>0</v>
      </c>
      <c r="AK39" s="342" t="s">
        <v>252</v>
      </c>
      <c r="AL39" s="343">
        <f>SUM(AD$39:AD39)</f>
        <v>1160.09734442</v>
      </c>
      <c r="AM39" s="343">
        <f>SUM(AE$39:AE39)</f>
        <v>101.2053073</v>
      </c>
      <c r="AN39" s="343">
        <f>SUM(AF$39:AF39)</f>
        <v>2527.02455898</v>
      </c>
      <c r="AO39" s="343">
        <f>SUM(AG$39:AG39)</f>
        <v>554.956208580001</v>
      </c>
      <c r="AP39" s="343">
        <f t="shared" si="10"/>
        <v>4343.28341928</v>
      </c>
      <c r="AQ39" s="205"/>
      <c r="AR39" s="342" t="s">
        <v>252</v>
      </c>
      <c r="AS39" s="350">
        <f t="shared" si="11"/>
        <v>0.267101460445866</v>
      </c>
      <c r="AT39" s="350">
        <f t="shared" si="12"/>
        <v>0.0233015664717494</v>
      </c>
      <c r="AU39" s="350">
        <f t="shared" si="13"/>
        <v>0.581823545698731</v>
      </c>
      <c r="AV39" s="350">
        <f t="shared" si="14"/>
        <v>0.127773427383654</v>
      </c>
      <c r="AW39" s="342">
        <f t="shared" si="15"/>
        <v>1</v>
      </c>
      <c r="AY39" s="295" t="s">
        <v>252</v>
      </c>
      <c r="AZ39" s="355">
        <v>817.407197960002</v>
      </c>
      <c r="BA39" s="355">
        <v>88.9428085999999</v>
      </c>
      <c r="BB39" s="355">
        <v>2258.77334182</v>
      </c>
      <c r="BC39" s="355">
        <v>563.540747900001</v>
      </c>
      <c r="BD39" s="355">
        <v>3728.66409628</v>
      </c>
      <c r="BE39" s="357"/>
    </row>
    <row r="40" s="172" customFormat="1" spans="1:57">
      <c r="A40" s="290">
        <v>44958</v>
      </c>
      <c r="B40" s="314">
        <v>307.96654032</v>
      </c>
      <c r="C40" s="314">
        <v>53.5697627200003</v>
      </c>
      <c r="D40" s="314">
        <f>1701.70774596+投资公司!E28*1.06</f>
        <v>1795.26970596</v>
      </c>
      <c r="E40" s="314">
        <v>723.252593019999</v>
      </c>
      <c r="F40" s="314">
        <f t="shared" si="0"/>
        <v>2880.05860202</v>
      </c>
      <c r="G40" s="315"/>
      <c r="H40" s="290">
        <v>44958</v>
      </c>
      <c r="I40" s="314">
        <v>30.65241432</v>
      </c>
      <c r="J40" s="314">
        <v>7.38250038</v>
      </c>
      <c r="K40" s="314">
        <f>234.45925138-473567.99/10000</f>
        <v>187.10245238</v>
      </c>
      <c r="L40" s="314">
        <f>7.95893474</f>
        <v>7.95893474</v>
      </c>
      <c r="M40" s="314">
        <f t="shared" si="1"/>
        <v>233.09630182</v>
      </c>
      <c r="N40" s="16"/>
      <c r="O40" s="290">
        <v>44958</v>
      </c>
      <c r="P40" s="314">
        <v>33.50000044</v>
      </c>
      <c r="Q40" s="314">
        <v>0</v>
      </c>
      <c r="R40" s="314">
        <v>0.0391882</v>
      </c>
      <c r="S40" s="314">
        <v>-25.66983874</v>
      </c>
      <c r="T40" s="314">
        <f t="shared" si="2"/>
        <v>7.8693499</v>
      </c>
      <c r="U40" s="218"/>
      <c r="V40" s="327">
        <v>44958</v>
      </c>
      <c r="W40" s="314">
        <v>0.22532738</v>
      </c>
      <c r="X40" s="328">
        <v>0</v>
      </c>
      <c r="Y40" s="314">
        <v>0</v>
      </c>
      <c r="Z40" s="314">
        <v>2.71527692</v>
      </c>
      <c r="AA40" s="314">
        <f t="shared" si="3"/>
        <v>2.9406043</v>
      </c>
      <c r="AB40" s="303"/>
      <c r="AC40" s="327">
        <v>44958</v>
      </c>
      <c r="AD40" s="314">
        <f t="shared" si="4"/>
        <v>372.34428246</v>
      </c>
      <c r="AE40" s="314">
        <f t="shared" si="5"/>
        <v>60.9522631000003</v>
      </c>
      <c r="AF40" s="314">
        <f t="shared" si="6"/>
        <v>1982.41134654</v>
      </c>
      <c r="AG40" s="314">
        <f t="shared" si="7"/>
        <v>708.256965939999</v>
      </c>
      <c r="AH40" s="314">
        <f t="shared" si="8"/>
        <v>3123.96485804</v>
      </c>
      <c r="AI40" s="341">
        <f t="shared" si="9"/>
        <v>0</v>
      </c>
      <c r="AK40" s="342" t="s">
        <v>253</v>
      </c>
      <c r="AL40" s="343">
        <f>SUM(AD$39:AD40)</f>
        <v>1532.44162688</v>
      </c>
      <c r="AM40" s="343">
        <f>SUM(AE$39:AE40)</f>
        <v>162.1575704</v>
      </c>
      <c r="AN40" s="343">
        <f>SUM(AF$39:AF40)</f>
        <v>4509.43590552</v>
      </c>
      <c r="AO40" s="343">
        <f>SUM(AG$39:AG40)</f>
        <v>1263.21317452</v>
      </c>
      <c r="AP40" s="343">
        <f t="shared" si="10"/>
        <v>7467.24827732</v>
      </c>
      <c r="AQ40" s="205"/>
      <c r="AR40" s="342" t="s">
        <v>253</v>
      </c>
      <c r="AS40" s="350">
        <f t="shared" si="11"/>
        <v>0.205221732285831</v>
      </c>
      <c r="AT40" s="350">
        <f t="shared" si="12"/>
        <v>0.0217158402101769</v>
      </c>
      <c r="AU40" s="350">
        <f t="shared" si="13"/>
        <v>0.60389526878547</v>
      </c>
      <c r="AV40" s="350">
        <f t="shared" si="14"/>
        <v>0.169167158718522</v>
      </c>
      <c r="AW40" s="342">
        <f t="shared" si="15"/>
        <v>1</v>
      </c>
      <c r="AY40" s="295" t="s">
        <v>253</v>
      </c>
      <c r="AZ40" s="355">
        <v>1125.37373828</v>
      </c>
      <c r="BA40" s="355">
        <v>142.51257132</v>
      </c>
      <c r="BB40" s="355">
        <v>4054.04304778</v>
      </c>
      <c r="BC40" s="355">
        <v>1286.79334092</v>
      </c>
      <c r="BD40" s="355">
        <v>6608.7226983</v>
      </c>
      <c r="BE40" s="357"/>
    </row>
    <row r="41" s="172" customFormat="1" spans="1:57">
      <c r="A41" s="290">
        <v>44986</v>
      </c>
      <c r="B41" s="314">
        <v>259.3106938</v>
      </c>
      <c r="C41" s="314">
        <v>111.08653508</v>
      </c>
      <c r="D41" s="314">
        <f>1220.59314819999+投资公司!F28*1.06</f>
        <v>1340.35194819999</v>
      </c>
      <c r="E41" s="314">
        <v>907.384363040003</v>
      </c>
      <c r="F41" s="314">
        <f t="shared" si="0"/>
        <v>2618.13354011999</v>
      </c>
      <c r="G41" s="315"/>
      <c r="H41" s="290">
        <v>44986</v>
      </c>
      <c r="I41" s="314">
        <v>50.11452948</v>
      </c>
      <c r="J41" s="314">
        <v>10.98040008</v>
      </c>
      <c r="K41" s="314">
        <f>229.97762544+178013.39/10000</f>
        <v>247.77896444</v>
      </c>
      <c r="L41" s="314">
        <v>18.70333112</v>
      </c>
      <c r="M41" s="314">
        <f t="shared" si="1"/>
        <v>327.57722512</v>
      </c>
      <c r="N41" s="16"/>
      <c r="O41" s="290">
        <v>44986</v>
      </c>
      <c r="P41" s="314">
        <v>7.5405432</v>
      </c>
      <c r="Q41" s="314">
        <v>0</v>
      </c>
      <c r="R41" s="314">
        <v>-0.177868</v>
      </c>
      <c r="S41" s="314">
        <v>-31.58080048</v>
      </c>
      <c r="T41" s="314">
        <f t="shared" si="2"/>
        <v>-24.21812528</v>
      </c>
      <c r="U41" s="218"/>
      <c r="V41" s="327">
        <v>44986</v>
      </c>
      <c r="W41" s="314">
        <v>5.50630356</v>
      </c>
      <c r="X41" s="328">
        <v>0</v>
      </c>
      <c r="Y41" s="314">
        <f>-52.51333598+553478.08/10000</f>
        <v>2.83447201999999</v>
      </c>
      <c r="Z41" s="314">
        <f>9.02092754+69963.47/10000</f>
        <v>16.01727454</v>
      </c>
      <c r="AA41" s="314">
        <f t="shared" si="3"/>
        <v>24.35805012</v>
      </c>
      <c r="AB41" s="303"/>
      <c r="AC41" s="327">
        <v>44986</v>
      </c>
      <c r="AD41" s="314">
        <f t="shared" si="4"/>
        <v>322.47207004</v>
      </c>
      <c r="AE41" s="314">
        <f t="shared" si="5"/>
        <v>122.06693516</v>
      </c>
      <c r="AF41" s="314">
        <f t="shared" si="6"/>
        <v>1590.78751665999</v>
      </c>
      <c r="AG41" s="314">
        <f t="shared" si="7"/>
        <v>910.524168220003</v>
      </c>
      <c r="AH41" s="314">
        <f t="shared" si="8"/>
        <v>2945.85069007999</v>
      </c>
      <c r="AI41" s="341">
        <f t="shared" si="9"/>
        <v>0</v>
      </c>
      <c r="AK41" s="342" t="s">
        <v>254</v>
      </c>
      <c r="AL41" s="343">
        <f>SUM(AD$39:AD41)</f>
        <v>1854.91369692</v>
      </c>
      <c r="AM41" s="343">
        <f>SUM(AE$39:AE41)</f>
        <v>284.22450556</v>
      </c>
      <c r="AN41" s="343">
        <f>SUM(AF$39:AF41)</f>
        <v>6100.22342217999</v>
      </c>
      <c r="AO41" s="343">
        <f>SUM(AG$39:AG41)</f>
        <v>2173.73734274</v>
      </c>
      <c r="AP41" s="343">
        <f t="shared" si="10"/>
        <v>10413.0989674</v>
      </c>
      <c r="AQ41" s="205"/>
      <c r="AR41" s="342" t="s">
        <v>254</v>
      </c>
      <c r="AS41" s="350">
        <f t="shared" si="11"/>
        <v>0.178132725207657</v>
      </c>
      <c r="AT41" s="350">
        <f t="shared" si="12"/>
        <v>0.0272949010135997</v>
      </c>
      <c r="AU41" s="350">
        <f t="shared" si="13"/>
        <v>0.585822092085919</v>
      </c>
      <c r="AV41" s="350">
        <f t="shared" si="14"/>
        <v>0.208750281692824</v>
      </c>
      <c r="AW41" s="342">
        <f t="shared" si="15"/>
        <v>1</v>
      </c>
      <c r="AY41" s="295" t="s">
        <v>254</v>
      </c>
      <c r="AZ41" s="355">
        <v>1384.68443208</v>
      </c>
      <c r="BA41" s="355">
        <v>253.5991064</v>
      </c>
      <c r="BB41" s="355">
        <v>5394.39499597999</v>
      </c>
      <c r="BC41" s="355">
        <v>2194.17770396</v>
      </c>
      <c r="BD41" s="355">
        <v>9226.85623841999</v>
      </c>
      <c r="BE41" s="357"/>
    </row>
    <row r="42" s="172" customFormat="1" spans="1:57">
      <c r="A42" s="290">
        <v>45017</v>
      </c>
      <c r="B42" s="314">
        <v>457.697668180002</v>
      </c>
      <c r="C42" s="314">
        <v>110.45440196</v>
      </c>
      <c r="D42" s="314">
        <f>793.71007964+投资公司!G28*1.06</f>
        <v>675.62501964</v>
      </c>
      <c r="E42" s="314">
        <v>544.724119739999</v>
      </c>
      <c r="F42" s="314">
        <f t="shared" si="0"/>
        <v>1788.50120952</v>
      </c>
      <c r="G42" s="315"/>
      <c r="H42" s="290">
        <v>45017</v>
      </c>
      <c r="I42" s="314">
        <v>129.00531356</v>
      </c>
      <c r="J42" s="314">
        <v>7.45621278</v>
      </c>
      <c r="K42" s="314">
        <f>267.36228208-594316.35/10000+333333.33/10000</f>
        <v>241.26398008</v>
      </c>
      <c r="L42" s="314">
        <v>1.23105008</v>
      </c>
      <c r="M42" s="314">
        <f t="shared" si="1"/>
        <v>378.9565565</v>
      </c>
      <c r="N42" s="16"/>
      <c r="O42" s="290">
        <v>45017</v>
      </c>
      <c r="P42" s="314">
        <v>36.44145592</v>
      </c>
      <c r="Q42" s="314">
        <v>0</v>
      </c>
      <c r="R42" s="314">
        <v>0</v>
      </c>
      <c r="S42" s="314">
        <f>588.101674-5714599.6/10000</f>
        <v>16.6417140000001</v>
      </c>
      <c r="T42" s="314">
        <f t="shared" si="2"/>
        <v>53.0831699200001</v>
      </c>
      <c r="U42" s="218"/>
      <c r="V42" s="327">
        <v>45017</v>
      </c>
      <c r="W42" s="314">
        <v>0.03060962</v>
      </c>
      <c r="X42" s="328">
        <v>0</v>
      </c>
      <c r="Y42" s="314">
        <f>-4.4588741+170718.02/10000-333333.33/10000</f>
        <v>-20.7204051</v>
      </c>
      <c r="Z42" s="314">
        <f>-570.82232886-48402.57/10000+5714599.6/10000</f>
        <v>-4.20262586000001</v>
      </c>
      <c r="AA42" s="314">
        <f t="shared" si="3"/>
        <v>-24.89242134</v>
      </c>
      <c r="AB42" s="303"/>
      <c r="AC42" s="327">
        <v>45017</v>
      </c>
      <c r="AD42" s="314">
        <f t="shared" si="4"/>
        <v>623.175047280002</v>
      </c>
      <c r="AE42" s="314">
        <f t="shared" si="5"/>
        <v>117.91061474</v>
      </c>
      <c r="AF42" s="314">
        <f t="shared" si="6"/>
        <v>896.16859462</v>
      </c>
      <c r="AG42" s="314">
        <f t="shared" si="7"/>
        <v>558.394257959999</v>
      </c>
      <c r="AH42" s="314">
        <f t="shared" si="8"/>
        <v>2195.6485146</v>
      </c>
      <c r="AI42" s="341">
        <f t="shared" si="9"/>
        <v>0</v>
      </c>
      <c r="AK42" s="342" t="s">
        <v>255</v>
      </c>
      <c r="AL42" s="343">
        <f>SUM(AD$39:AD42)</f>
        <v>2478.0887442</v>
      </c>
      <c r="AM42" s="343">
        <f>SUM(AE$39:AE42)</f>
        <v>402.1351203</v>
      </c>
      <c r="AN42" s="343">
        <f>SUM(AF$39:AF42)</f>
        <v>6996.39201679999</v>
      </c>
      <c r="AO42" s="343">
        <f>SUM(AG$39:AG42)</f>
        <v>2732.1316007</v>
      </c>
      <c r="AP42" s="343">
        <f t="shared" si="10"/>
        <v>12608.747482</v>
      </c>
      <c r="AQ42" s="205"/>
      <c r="AR42" s="342" t="s">
        <v>255</v>
      </c>
      <c r="AS42" s="350">
        <f t="shared" si="11"/>
        <v>0.196537264921649</v>
      </c>
      <c r="AT42" s="350">
        <f t="shared" si="12"/>
        <v>0.0318933439561765</v>
      </c>
      <c r="AU42" s="350">
        <f t="shared" si="13"/>
        <v>0.55488398247232</v>
      </c>
      <c r="AV42" s="350">
        <f t="shared" si="14"/>
        <v>0.216685408649855</v>
      </c>
      <c r="AW42" s="342">
        <f t="shared" si="15"/>
        <v>1</v>
      </c>
      <c r="AY42" s="295" t="s">
        <v>255</v>
      </c>
      <c r="AZ42" s="355">
        <v>1842.38210026</v>
      </c>
      <c r="BA42" s="355">
        <v>364.05350836</v>
      </c>
      <c r="BB42" s="355">
        <v>6070.02001561999</v>
      </c>
      <c r="BC42" s="355">
        <v>2738.9018237</v>
      </c>
      <c r="BD42" s="355">
        <v>11015.35744794</v>
      </c>
      <c r="BE42" s="357"/>
    </row>
    <row r="43" s="172" customFormat="1" spans="1:57">
      <c r="A43" s="290">
        <v>45047</v>
      </c>
      <c r="B43" s="314">
        <v>804.653779339999</v>
      </c>
      <c r="C43" s="314">
        <v>155.48315426</v>
      </c>
      <c r="D43" s="314">
        <f>1600.87549612+投资公司!H28*1.06</f>
        <v>1556.66607612</v>
      </c>
      <c r="E43" s="314">
        <v>818.576372660003</v>
      </c>
      <c r="F43" s="314">
        <f t="shared" si="0"/>
        <v>3335.37938238</v>
      </c>
      <c r="G43" s="315"/>
      <c r="H43" s="290">
        <v>45047</v>
      </c>
      <c r="I43" s="314">
        <v>51.58597166</v>
      </c>
      <c r="J43" s="314">
        <v>14.35200038</v>
      </c>
      <c r="K43" s="314">
        <f>280.03363232-1022485.65/10000</f>
        <v>177.78506732</v>
      </c>
      <c r="L43" s="314">
        <v>10.7964498</v>
      </c>
      <c r="M43" s="314">
        <f t="shared" si="1"/>
        <v>254.51948916</v>
      </c>
      <c r="N43" s="218"/>
      <c r="O43" s="290">
        <v>45047</v>
      </c>
      <c r="P43" s="314">
        <v>-2.6012559</v>
      </c>
      <c r="Q43" s="314">
        <v>0</v>
      </c>
      <c r="R43" s="314">
        <v>27.62612386</v>
      </c>
      <c r="S43" s="314">
        <v>51.67386686</v>
      </c>
      <c r="T43" s="314">
        <f t="shared" si="2"/>
        <v>76.69873482</v>
      </c>
      <c r="U43" s="218"/>
      <c r="V43" s="327">
        <v>45047</v>
      </c>
      <c r="W43" s="314">
        <v>-6.07099948</v>
      </c>
      <c r="X43" s="328">
        <v>0</v>
      </c>
      <c r="Y43" s="314">
        <f>-81.77672842+155577.49/10000</f>
        <v>-66.21897942</v>
      </c>
      <c r="Z43" s="314">
        <f>34.58697002-6558.2/10000</f>
        <v>33.93115002</v>
      </c>
      <c r="AA43" s="314">
        <f t="shared" si="3"/>
        <v>-38.35882888</v>
      </c>
      <c r="AB43" s="303"/>
      <c r="AC43" s="327">
        <v>45047</v>
      </c>
      <c r="AD43" s="314">
        <f t="shared" si="4"/>
        <v>847.567495619999</v>
      </c>
      <c r="AE43" s="314">
        <f t="shared" si="5"/>
        <v>169.83515464</v>
      </c>
      <c r="AF43" s="314">
        <f t="shared" si="6"/>
        <v>1695.85828788</v>
      </c>
      <c r="AG43" s="314">
        <f t="shared" si="7"/>
        <v>914.977839340003</v>
      </c>
      <c r="AH43" s="314">
        <f t="shared" si="8"/>
        <v>3628.23877748</v>
      </c>
      <c r="AI43" s="341">
        <f t="shared" si="9"/>
        <v>0</v>
      </c>
      <c r="AK43" s="342" t="s">
        <v>256</v>
      </c>
      <c r="AL43" s="343">
        <f>SUM(AD$39:AD43)</f>
        <v>3325.65623982</v>
      </c>
      <c r="AM43" s="343">
        <f>SUM(AE$39:AE43)</f>
        <v>571.97027494</v>
      </c>
      <c r="AN43" s="343">
        <f>SUM(AF$39:AF43)</f>
        <v>8692.25030467999</v>
      </c>
      <c r="AO43" s="343">
        <f>SUM(AG$39:AG43)</f>
        <v>3647.10944004001</v>
      </c>
      <c r="AP43" s="343">
        <f t="shared" si="10"/>
        <v>16236.98625948</v>
      </c>
      <c r="AQ43" s="205"/>
      <c r="AR43" s="342" t="s">
        <v>256</v>
      </c>
      <c r="AS43" s="350">
        <f t="shared" si="11"/>
        <v>0.204819797631984</v>
      </c>
      <c r="AT43" s="350">
        <f t="shared" si="12"/>
        <v>0.0352263816572521</v>
      </c>
      <c r="AU43" s="350">
        <f t="shared" si="13"/>
        <v>0.535336432868199</v>
      </c>
      <c r="AV43" s="350">
        <f t="shared" si="14"/>
        <v>0.224617387842564</v>
      </c>
      <c r="AW43" s="342">
        <f t="shared" si="15"/>
        <v>1</v>
      </c>
      <c r="AY43" s="295" t="s">
        <v>256</v>
      </c>
      <c r="AZ43" s="355">
        <v>2647.0358796</v>
      </c>
      <c r="BA43" s="355">
        <v>519.53666262</v>
      </c>
      <c r="BB43" s="355">
        <v>7626.68609173999</v>
      </c>
      <c r="BC43" s="355">
        <v>3557.47819636</v>
      </c>
      <c r="BD43" s="355">
        <v>14350.73683032</v>
      </c>
      <c r="BE43" s="357"/>
    </row>
    <row r="44" s="172" customFormat="1" spans="1:57">
      <c r="A44" s="290">
        <v>45078</v>
      </c>
      <c r="B44" s="314">
        <v>583.504551519999</v>
      </c>
      <c r="C44" s="314">
        <v>222.25006326</v>
      </c>
      <c r="D44" s="314">
        <f>2661.65137478+投资公司!I28*1.06</f>
        <v>2554.70055478</v>
      </c>
      <c r="E44" s="314">
        <v>1001.82509377999</v>
      </c>
      <c r="F44" s="314">
        <f t="shared" si="0"/>
        <v>4362.28026333999</v>
      </c>
      <c r="G44" s="315"/>
      <c r="H44" s="290">
        <v>45078</v>
      </c>
      <c r="I44" s="314">
        <v>255.78530658</v>
      </c>
      <c r="J44" s="314">
        <v>14.2157872</v>
      </c>
      <c r="K44" s="314">
        <f>745.65932776-2065081.83/10000</f>
        <v>539.15114476</v>
      </c>
      <c r="L44" s="314">
        <v>22.40103618</v>
      </c>
      <c r="M44" s="314">
        <f t="shared" si="1"/>
        <v>831.55327472</v>
      </c>
      <c r="N44" s="218"/>
      <c r="O44" s="290">
        <v>45078</v>
      </c>
      <c r="P44" s="314">
        <v>10.33446152</v>
      </c>
      <c r="Q44" s="314">
        <v>0</v>
      </c>
      <c r="R44" s="314">
        <v>21.89261884</v>
      </c>
      <c r="S44" s="314">
        <v>14.3296778400001</v>
      </c>
      <c r="T44" s="314">
        <f t="shared" si="2"/>
        <v>46.5567582000001</v>
      </c>
      <c r="U44" s="218"/>
      <c r="V44" s="327">
        <v>45078</v>
      </c>
      <c r="W44" s="314">
        <v>13.81442138</v>
      </c>
      <c r="X44" s="328">
        <v>0</v>
      </c>
      <c r="Y44" s="314">
        <f>-195.75792846+1846400.41/10000</f>
        <v>-11.11788746</v>
      </c>
      <c r="Z44" s="314">
        <f>0.68976002-8826.97/10000</f>
        <v>-0.19293698</v>
      </c>
      <c r="AA44" s="314">
        <f t="shared" si="3"/>
        <v>2.50359694</v>
      </c>
      <c r="AB44" s="303"/>
      <c r="AC44" s="327">
        <v>45078</v>
      </c>
      <c r="AD44" s="314">
        <f t="shared" si="4"/>
        <v>863.438740999999</v>
      </c>
      <c r="AE44" s="314">
        <f t="shared" si="5"/>
        <v>236.46585046</v>
      </c>
      <c r="AF44" s="314">
        <f t="shared" si="6"/>
        <v>3104.62643092</v>
      </c>
      <c r="AG44" s="314">
        <f t="shared" si="7"/>
        <v>1038.36287081999</v>
      </c>
      <c r="AH44" s="314">
        <f t="shared" si="8"/>
        <v>5242.89389319999</v>
      </c>
      <c r="AI44" s="341">
        <f t="shared" si="9"/>
        <v>0</v>
      </c>
      <c r="AK44" s="342" t="s">
        <v>257</v>
      </c>
      <c r="AL44" s="343">
        <f>SUM(AD$39:AD44)</f>
        <v>4189.09498082</v>
      </c>
      <c r="AM44" s="343">
        <f>SUM(AE$39:AE44)</f>
        <v>808.4361254</v>
      </c>
      <c r="AN44" s="343">
        <f>SUM(AF$39:AF44)</f>
        <v>11796.8767356</v>
      </c>
      <c r="AO44" s="343">
        <f>SUM(AG$39:AG44)</f>
        <v>4685.47231086</v>
      </c>
      <c r="AP44" s="343">
        <f t="shared" si="10"/>
        <v>21479.88015268</v>
      </c>
      <c r="AQ44" s="205"/>
      <c r="AR44" s="342" t="s">
        <v>257</v>
      </c>
      <c r="AS44" s="350">
        <f t="shared" si="11"/>
        <v>0.195024131933871</v>
      </c>
      <c r="AT44" s="350">
        <f t="shared" si="12"/>
        <v>0.0376369011211235</v>
      </c>
      <c r="AU44" s="350">
        <f t="shared" si="13"/>
        <v>0.54920589182748</v>
      </c>
      <c r="AV44" s="350">
        <f t="shared" si="14"/>
        <v>0.218133075117526</v>
      </c>
      <c r="AW44" s="342">
        <f t="shared" si="15"/>
        <v>1</v>
      </c>
      <c r="AY44" s="295" t="s">
        <v>257</v>
      </c>
      <c r="AZ44" s="355">
        <v>3230.54043112</v>
      </c>
      <c r="BA44" s="355">
        <v>741.78672588</v>
      </c>
      <c r="BB44" s="355">
        <v>10181.38664652</v>
      </c>
      <c r="BC44" s="355">
        <v>4559.30329013999</v>
      </c>
      <c r="BD44" s="355">
        <v>18713.01709366</v>
      </c>
      <c r="BE44" s="357"/>
    </row>
    <row r="45" s="172" customFormat="1" spans="1:57">
      <c r="A45" s="290">
        <v>45108</v>
      </c>
      <c r="B45" s="314">
        <v>337.56989702</v>
      </c>
      <c r="C45" s="314">
        <v>139.74097342</v>
      </c>
      <c r="D45" s="314">
        <f>1485.70256246+投资公司!J28*1.06</f>
        <v>1656.07530246</v>
      </c>
      <c r="E45" s="314">
        <v>805.186565020001</v>
      </c>
      <c r="F45" s="314">
        <f t="shared" si="0"/>
        <v>2938.57273792</v>
      </c>
      <c r="G45" s="315"/>
      <c r="H45" s="290">
        <v>45108</v>
      </c>
      <c r="I45" s="314">
        <v>256.89027814</v>
      </c>
      <c r="J45" s="314">
        <v>3.3992928</v>
      </c>
      <c r="K45" s="314">
        <f>126.89005494+175247.86/10000</f>
        <v>144.41484094</v>
      </c>
      <c r="L45" s="314">
        <v>52.45814284</v>
      </c>
      <c r="M45" s="314">
        <f t="shared" si="1"/>
        <v>457.16255472</v>
      </c>
      <c r="N45" s="218"/>
      <c r="O45" s="290">
        <v>45108</v>
      </c>
      <c r="P45" s="314">
        <v>14.5962</v>
      </c>
      <c r="Q45" s="314">
        <v>0</v>
      </c>
      <c r="R45" s="314">
        <v>-23.25119116</v>
      </c>
      <c r="S45" s="314">
        <v>-11.9804719199999</v>
      </c>
      <c r="T45" s="314">
        <f t="shared" si="2"/>
        <v>-20.6354630799999</v>
      </c>
      <c r="U45" s="218"/>
      <c r="V45" s="327">
        <v>45108</v>
      </c>
      <c r="W45" s="314">
        <v>2.04502514</v>
      </c>
      <c r="X45" s="328">
        <v>0</v>
      </c>
      <c r="Y45" s="314">
        <f>-35.11575526+312751.86/10000</f>
        <v>-3.84056926</v>
      </c>
      <c r="Z45" s="314">
        <f>31.72053922+117626.74/10000</f>
        <v>43.48321322</v>
      </c>
      <c r="AA45" s="314">
        <f t="shared" si="3"/>
        <v>41.6876691</v>
      </c>
      <c r="AB45" s="303"/>
      <c r="AC45" s="327">
        <v>45108</v>
      </c>
      <c r="AD45" s="314">
        <f t="shared" si="4"/>
        <v>611.1014003</v>
      </c>
      <c r="AE45" s="314">
        <f t="shared" si="5"/>
        <v>143.14026622</v>
      </c>
      <c r="AF45" s="314">
        <f t="shared" si="6"/>
        <v>1773.39838298</v>
      </c>
      <c r="AG45" s="314">
        <f t="shared" si="7"/>
        <v>889.147449160001</v>
      </c>
      <c r="AH45" s="314">
        <f t="shared" si="8"/>
        <v>3416.78749866</v>
      </c>
      <c r="AI45" s="341">
        <f t="shared" si="9"/>
        <v>0</v>
      </c>
      <c r="AK45" s="342" t="s">
        <v>258</v>
      </c>
      <c r="AL45" s="343">
        <f>SUM(AD$39:AD45)</f>
        <v>4800.19638112</v>
      </c>
      <c r="AM45" s="343">
        <f>SUM(AE$39:AE45)</f>
        <v>951.57639162</v>
      </c>
      <c r="AN45" s="343">
        <f>SUM(AF$39:AF45)</f>
        <v>13570.27511858</v>
      </c>
      <c r="AO45" s="343">
        <f>SUM(AG$39:AG45)</f>
        <v>5574.61976002</v>
      </c>
      <c r="AP45" s="343">
        <f t="shared" si="10"/>
        <v>24896.66765134</v>
      </c>
      <c r="AQ45" s="205"/>
      <c r="AR45" s="342" t="s">
        <v>258</v>
      </c>
      <c r="AS45" s="350">
        <f t="shared" si="11"/>
        <v>0.192804774050219</v>
      </c>
      <c r="AT45" s="350">
        <f t="shared" si="12"/>
        <v>0.0382210344350556</v>
      </c>
      <c r="AU45" s="350">
        <f t="shared" si="13"/>
        <v>0.545063914119832</v>
      </c>
      <c r="AV45" s="350">
        <f t="shared" si="14"/>
        <v>0.223910277394893</v>
      </c>
      <c r="AW45" s="342">
        <f t="shared" si="15"/>
        <v>1</v>
      </c>
      <c r="AY45" s="295" t="s">
        <v>258</v>
      </c>
      <c r="AZ45" s="355">
        <v>3568.11032814</v>
      </c>
      <c r="BA45" s="355">
        <v>881.5276993</v>
      </c>
      <c r="BB45" s="355">
        <v>11837.46194898</v>
      </c>
      <c r="BC45" s="355">
        <v>5364.48985516</v>
      </c>
      <c r="BD45" s="355">
        <v>21651.58983158</v>
      </c>
      <c r="BE45" s="357"/>
    </row>
    <row r="46" s="172" customFormat="1" spans="1:57">
      <c r="A46" s="290">
        <v>45139</v>
      </c>
      <c r="B46" s="314">
        <v>633.62063284</v>
      </c>
      <c r="C46" s="314">
        <v>237.2429142</v>
      </c>
      <c r="D46" s="314">
        <f>1258.84286872+投资公司!K28*1.06</f>
        <v>1391.52730872</v>
      </c>
      <c r="E46" s="314">
        <v>1386.08232616</v>
      </c>
      <c r="F46" s="314">
        <f t="shared" si="0"/>
        <v>3648.47318192</v>
      </c>
      <c r="G46" s="315"/>
      <c r="H46" s="290">
        <v>45139</v>
      </c>
      <c r="I46" s="314">
        <v>52.64042362</v>
      </c>
      <c r="J46" s="314">
        <v>5.38556002</v>
      </c>
      <c r="K46" s="314">
        <f>336.98070238-1172097.42/10000</f>
        <v>219.77096038</v>
      </c>
      <c r="L46" s="314">
        <v>85.56397592</v>
      </c>
      <c r="M46" s="314">
        <f t="shared" si="1"/>
        <v>363.36091994</v>
      </c>
      <c r="N46" s="218"/>
      <c r="O46" s="290">
        <v>45139</v>
      </c>
      <c r="P46" s="314">
        <v>47.39434158</v>
      </c>
      <c r="Q46" s="314">
        <v>0</v>
      </c>
      <c r="R46" s="314">
        <v>77.66974464</v>
      </c>
      <c r="S46" s="314">
        <v>29.02436986</v>
      </c>
      <c r="T46" s="314">
        <f t="shared" si="2"/>
        <v>154.08845608</v>
      </c>
      <c r="U46" s="218"/>
      <c r="V46" s="327">
        <v>45139</v>
      </c>
      <c r="W46" s="314">
        <v>0.0612415</v>
      </c>
      <c r="X46" s="328">
        <v>-0.85000022</v>
      </c>
      <c r="Y46" s="314">
        <f>9.46919836+156741.76/10000</f>
        <v>25.14337436</v>
      </c>
      <c r="Z46" s="314">
        <f>6.55450894+85115.99/10000</f>
        <v>15.06610794</v>
      </c>
      <c r="AA46" s="314">
        <f t="shared" si="3"/>
        <v>39.42072358</v>
      </c>
      <c r="AB46" s="303"/>
      <c r="AC46" s="327">
        <v>45139</v>
      </c>
      <c r="AD46" s="314">
        <f t="shared" si="4"/>
        <v>733.71663954</v>
      </c>
      <c r="AE46" s="314">
        <f t="shared" si="5"/>
        <v>241.778474</v>
      </c>
      <c r="AF46" s="314">
        <f t="shared" si="6"/>
        <v>1714.1113881</v>
      </c>
      <c r="AG46" s="314">
        <f t="shared" si="7"/>
        <v>1515.73677988</v>
      </c>
      <c r="AH46" s="314">
        <f t="shared" si="8"/>
        <v>4205.34328152</v>
      </c>
      <c r="AI46" s="341">
        <f t="shared" si="9"/>
        <v>0</v>
      </c>
      <c r="AK46" s="342" t="s">
        <v>259</v>
      </c>
      <c r="AL46" s="343">
        <f>SUM(AD$39:AD46)</f>
        <v>5533.91302066</v>
      </c>
      <c r="AM46" s="343">
        <f>SUM(AE$39:AE46)</f>
        <v>1193.35486562</v>
      </c>
      <c r="AN46" s="343">
        <f>SUM(AF$39:AF46)</f>
        <v>15284.38650668</v>
      </c>
      <c r="AO46" s="343">
        <f>SUM(AG$39:AG46)</f>
        <v>7090.3565399</v>
      </c>
      <c r="AP46" s="343">
        <f t="shared" si="10"/>
        <v>29102.01093286</v>
      </c>
      <c r="AQ46" s="205"/>
      <c r="AR46" s="342" t="s">
        <v>259</v>
      </c>
      <c r="AS46" s="350">
        <f t="shared" si="11"/>
        <v>0.190155691763949</v>
      </c>
      <c r="AT46" s="350">
        <f t="shared" si="12"/>
        <v>0.0410059245862129</v>
      </c>
      <c r="AU46" s="350">
        <f t="shared" si="13"/>
        <v>0.525200356152087</v>
      </c>
      <c r="AV46" s="350">
        <f t="shared" si="14"/>
        <v>0.243638027497751</v>
      </c>
      <c r="AW46" s="342">
        <f t="shared" si="15"/>
        <v>1</v>
      </c>
      <c r="AY46" s="295" t="s">
        <v>259</v>
      </c>
      <c r="AZ46" s="355">
        <v>4201.73096098</v>
      </c>
      <c r="BA46" s="355">
        <v>1118.7706135</v>
      </c>
      <c r="BB46" s="355">
        <v>13228.9892577</v>
      </c>
      <c r="BC46" s="355">
        <v>6750.57218132</v>
      </c>
      <c r="BD46" s="355">
        <v>25300.0630135</v>
      </c>
      <c r="BE46" s="357"/>
    </row>
    <row r="47" s="172" customFormat="1" spans="1:57">
      <c r="A47" s="290">
        <v>45170</v>
      </c>
      <c r="B47" s="314">
        <v>436.93524784</v>
      </c>
      <c r="C47" s="314">
        <v>138.86158576</v>
      </c>
      <c r="D47" s="314">
        <f>1441.8020572+投资公司!L28*1.06</f>
        <v>1220.7178572</v>
      </c>
      <c r="E47" s="314">
        <v>527.79308742</v>
      </c>
      <c r="F47" s="314">
        <f t="shared" si="0"/>
        <v>2324.30777822</v>
      </c>
      <c r="G47" s="315"/>
      <c r="H47" s="290">
        <v>45170</v>
      </c>
      <c r="I47" s="314">
        <v>61.25735654</v>
      </c>
      <c r="J47" s="314">
        <v>1.06971808</v>
      </c>
      <c r="K47" s="314">
        <f>706.4115176-4088074.8/10000</f>
        <v>297.6040376</v>
      </c>
      <c r="L47" s="314">
        <v>2.4515733</v>
      </c>
      <c r="M47" s="314">
        <f t="shared" si="1"/>
        <v>362.38268552</v>
      </c>
      <c r="N47" s="218"/>
      <c r="O47" s="290">
        <v>45170</v>
      </c>
      <c r="P47" s="314">
        <v>37.16712026</v>
      </c>
      <c r="Q47" s="314">
        <v>-0.371</v>
      </c>
      <c r="R47" s="314">
        <v>1.32177654</v>
      </c>
      <c r="S47" s="314">
        <v>160.02247282</v>
      </c>
      <c r="T47" s="314">
        <f t="shared" si="2"/>
        <v>198.14036962</v>
      </c>
      <c r="U47" s="218"/>
      <c r="V47" s="327">
        <v>45170</v>
      </c>
      <c r="W47" s="314">
        <v>0.04340276</v>
      </c>
      <c r="X47" s="328">
        <v>0</v>
      </c>
      <c r="Y47" s="314">
        <f>32.168156-142504.63/10000</f>
        <v>17.917693</v>
      </c>
      <c r="Z47" s="314">
        <f>-56.88827822+68337.73/10000</f>
        <v>-50.05450522</v>
      </c>
      <c r="AA47" s="314">
        <f t="shared" si="3"/>
        <v>-32.09340946</v>
      </c>
      <c r="AB47" s="303"/>
      <c r="AC47" s="327">
        <v>45170</v>
      </c>
      <c r="AD47" s="314">
        <f t="shared" si="4"/>
        <v>535.4031274</v>
      </c>
      <c r="AE47" s="314">
        <f t="shared" si="5"/>
        <v>139.56030384</v>
      </c>
      <c r="AF47" s="314">
        <f t="shared" si="6"/>
        <v>1537.56136434</v>
      </c>
      <c r="AG47" s="314">
        <f t="shared" si="7"/>
        <v>640.21262832</v>
      </c>
      <c r="AH47" s="314">
        <f t="shared" si="8"/>
        <v>2852.7374239</v>
      </c>
      <c r="AI47" s="341">
        <f t="shared" si="9"/>
        <v>0</v>
      </c>
      <c r="AK47" s="342" t="s">
        <v>260</v>
      </c>
      <c r="AL47" s="343">
        <f>SUM(AD$39:AD47)</f>
        <v>6069.31614806</v>
      </c>
      <c r="AM47" s="343">
        <f>SUM(AE$39:AE47)</f>
        <v>1332.91516946</v>
      </c>
      <c r="AN47" s="343">
        <f>SUM(AF$39:AF47)</f>
        <v>16821.94787102</v>
      </c>
      <c r="AO47" s="343">
        <f>SUM(AG$39:AG47)</f>
        <v>7730.56916822</v>
      </c>
      <c r="AP47" s="343">
        <f t="shared" si="10"/>
        <v>31954.74835676</v>
      </c>
      <c r="AQ47" s="205"/>
      <c r="AR47" s="342" t="s">
        <v>260</v>
      </c>
      <c r="AS47" s="350">
        <f t="shared" si="11"/>
        <v>0.189934718943767</v>
      </c>
      <c r="AT47" s="350">
        <f t="shared" si="12"/>
        <v>0.041712585390397</v>
      </c>
      <c r="AU47" s="350">
        <f t="shared" si="13"/>
        <v>0.526430303353064</v>
      </c>
      <c r="AV47" s="350">
        <f t="shared" si="14"/>
        <v>0.241922392312772</v>
      </c>
      <c r="AW47" s="342">
        <f t="shared" si="15"/>
        <v>1</v>
      </c>
      <c r="AY47" s="295" t="s">
        <v>260</v>
      </c>
      <c r="AZ47" s="355">
        <v>4638.66620882</v>
      </c>
      <c r="BA47" s="355">
        <v>1257.63219926</v>
      </c>
      <c r="BB47" s="355">
        <v>14449.7071149</v>
      </c>
      <c r="BC47" s="355">
        <v>7278.36526874</v>
      </c>
      <c r="BD47" s="355">
        <v>27624.37079172</v>
      </c>
      <c r="BE47" s="357"/>
    </row>
    <row r="48" s="172" customFormat="1" spans="1:57">
      <c r="A48" s="290">
        <v>45200</v>
      </c>
      <c r="B48" s="314">
        <v>170.46442152</v>
      </c>
      <c r="C48" s="314">
        <v>183.3374304</v>
      </c>
      <c r="D48" s="314">
        <f>1625.6893732+投资公司!M28*1.06</f>
        <v>1816.2317932</v>
      </c>
      <c r="E48" s="314">
        <v>581.80387904</v>
      </c>
      <c r="F48" s="314">
        <f t="shared" si="0"/>
        <v>2751.83752416</v>
      </c>
      <c r="G48" s="315"/>
      <c r="H48" s="290">
        <v>45200</v>
      </c>
      <c r="I48" s="314">
        <v>291.49400146</v>
      </c>
      <c r="J48" s="314">
        <v>4.58556</v>
      </c>
      <c r="K48" s="314">
        <f>323.1437401-237559.95/10000</f>
        <v>299.3877451</v>
      </c>
      <c r="L48" s="314">
        <v>33.65208712</v>
      </c>
      <c r="M48" s="314">
        <f t="shared" si="1"/>
        <v>629.11939368</v>
      </c>
      <c r="N48" s="218"/>
      <c r="O48" s="290">
        <v>45200</v>
      </c>
      <c r="P48" s="314">
        <v>15.27354848</v>
      </c>
      <c r="Q48" s="314">
        <v>-24.90437246</v>
      </c>
      <c r="R48" s="314">
        <v>-51.2575455</v>
      </c>
      <c r="S48" s="314">
        <v>139.06962242</v>
      </c>
      <c r="T48" s="314">
        <f t="shared" si="2"/>
        <v>78.18125294</v>
      </c>
      <c r="U48" s="218"/>
      <c r="V48" s="327">
        <v>45200</v>
      </c>
      <c r="W48" s="314">
        <v>0</v>
      </c>
      <c r="X48" s="328">
        <v>0</v>
      </c>
      <c r="Y48" s="314">
        <f>-48.20195452+226790.6/10000</f>
        <v>-25.52289452</v>
      </c>
      <c r="Z48" s="314">
        <f>-19.2811519599998+111991.95/10000+F152</f>
        <v>-4.1466709599998</v>
      </c>
      <c r="AA48" s="314">
        <f t="shared" si="3"/>
        <v>-29.6695654799998</v>
      </c>
      <c r="AB48" s="303"/>
      <c r="AC48" s="327">
        <v>45200</v>
      </c>
      <c r="AD48" s="314">
        <f t="shared" si="4"/>
        <v>477.23197146</v>
      </c>
      <c r="AE48" s="314">
        <f t="shared" si="5"/>
        <v>163.01861794</v>
      </c>
      <c r="AF48" s="314">
        <f t="shared" si="6"/>
        <v>2038.83909828</v>
      </c>
      <c r="AG48" s="314">
        <f t="shared" si="7"/>
        <v>750.37891762</v>
      </c>
      <c r="AH48" s="314">
        <f t="shared" si="8"/>
        <v>3429.4686053</v>
      </c>
      <c r="AI48" s="341">
        <f t="shared" si="9"/>
        <v>0</v>
      </c>
      <c r="AK48" s="342" t="s">
        <v>261</v>
      </c>
      <c r="AL48" s="343">
        <f>SUM(AD$39:AD48)</f>
        <v>6546.54811952</v>
      </c>
      <c r="AM48" s="343">
        <f>SUM(AE$39:AE48)</f>
        <v>1495.9337874</v>
      </c>
      <c r="AN48" s="343">
        <f>SUM(AF$39:AF48)</f>
        <v>18860.7869693</v>
      </c>
      <c r="AO48" s="343">
        <f>SUM(AG$39:AG48)</f>
        <v>8480.94808584</v>
      </c>
      <c r="AP48" s="343">
        <f t="shared" si="10"/>
        <v>35384.21696206</v>
      </c>
      <c r="AQ48" s="205"/>
      <c r="AR48" s="342" t="s">
        <v>261</v>
      </c>
      <c r="AS48" s="350">
        <f t="shared" si="11"/>
        <v>0.185013225714148</v>
      </c>
      <c r="AT48" s="350">
        <f t="shared" si="12"/>
        <v>0.0422768656716068</v>
      </c>
      <c r="AU48" s="350">
        <f t="shared" si="13"/>
        <v>0.533028242211014</v>
      </c>
      <c r="AV48" s="350">
        <f t="shared" si="14"/>
        <v>0.239681666403231</v>
      </c>
      <c r="AW48" s="342">
        <f t="shared" si="15"/>
        <v>1</v>
      </c>
      <c r="AY48" s="295" t="s">
        <v>261</v>
      </c>
      <c r="AZ48" s="355">
        <v>4809.13063034</v>
      </c>
      <c r="BA48" s="355">
        <v>1440.96962966</v>
      </c>
      <c r="BB48" s="355">
        <v>16265.9389081</v>
      </c>
      <c r="BC48" s="355">
        <v>7860.16914778</v>
      </c>
      <c r="BD48" s="355">
        <v>30376.20831588</v>
      </c>
      <c r="BE48" s="357"/>
    </row>
    <row r="49" s="172" customFormat="1" spans="1:57">
      <c r="A49" s="290">
        <v>45231</v>
      </c>
      <c r="B49" s="314">
        <v>470.54314886</v>
      </c>
      <c r="C49" s="314">
        <v>143.56139362</v>
      </c>
      <c r="D49" s="314">
        <f>2317.27601488+投资公司!N28*1.06</f>
        <v>2374.49693488</v>
      </c>
      <c r="E49" s="314">
        <v>855.854204620003</v>
      </c>
      <c r="F49" s="314">
        <f t="shared" si="0"/>
        <v>3844.45568198</v>
      </c>
      <c r="G49" s="315"/>
      <c r="H49" s="290">
        <v>45231</v>
      </c>
      <c r="I49" s="314">
        <v>87.95532956</v>
      </c>
      <c r="J49" s="314">
        <v>0.93555918</v>
      </c>
      <c r="K49" s="314">
        <f>1254.18243986-1814550.53/10000</f>
        <v>1072.72738686</v>
      </c>
      <c r="L49" s="314">
        <v>14.11451692</v>
      </c>
      <c r="M49" s="314">
        <f t="shared" si="1"/>
        <v>1175.73279252</v>
      </c>
      <c r="N49" s="218"/>
      <c r="O49" s="290">
        <v>45231</v>
      </c>
      <c r="P49" s="314">
        <v>34.23286324</v>
      </c>
      <c r="Q49" s="314">
        <v>35.44275042</v>
      </c>
      <c r="R49" s="314">
        <v>1.80769644</v>
      </c>
      <c r="S49" s="314">
        <v>8.58965806000005</v>
      </c>
      <c r="T49" s="314">
        <f t="shared" si="2"/>
        <v>80.0729681600001</v>
      </c>
      <c r="U49" s="218"/>
      <c r="V49" s="327">
        <v>45231</v>
      </c>
      <c r="W49" s="314">
        <v>0</v>
      </c>
      <c r="X49" s="328">
        <v>0</v>
      </c>
      <c r="Y49" s="314">
        <f>-15.26904772+179664.82/10000</f>
        <v>2.69743428</v>
      </c>
      <c r="Z49" s="314">
        <f>-75.65547858+46128.65/10000+F153</f>
        <v>10.58672442</v>
      </c>
      <c r="AA49" s="314">
        <f t="shared" si="3"/>
        <v>13.2841587</v>
      </c>
      <c r="AB49" s="303"/>
      <c r="AC49" s="327">
        <v>45231</v>
      </c>
      <c r="AD49" s="314">
        <f t="shared" si="4"/>
        <v>592.73134166</v>
      </c>
      <c r="AE49" s="314">
        <f t="shared" si="5"/>
        <v>179.93970322</v>
      </c>
      <c r="AF49" s="314">
        <f t="shared" si="6"/>
        <v>3451.72945246</v>
      </c>
      <c r="AG49" s="314">
        <f t="shared" si="7"/>
        <v>889.145104020003</v>
      </c>
      <c r="AH49" s="314">
        <f t="shared" si="8"/>
        <v>5113.54560136</v>
      </c>
      <c r="AI49" s="341">
        <f t="shared" si="9"/>
        <v>0</v>
      </c>
      <c r="AK49" s="342" t="s">
        <v>262</v>
      </c>
      <c r="AL49" s="343">
        <f>SUM(AD$39:AD49)</f>
        <v>7139.27946118</v>
      </c>
      <c r="AM49" s="343">
        <f>SUM(AE$39:AE49)</f>
        <v>1675.87349062</v>
      </c>
      <c r="AN49" s="343">
        <f>SUM(AF$39:AF49)</f>
        <v>22312.51642176</v>
      </c>
      <c r="AO49" s="343">
        <f>SUM(AG$39:AG49)</f>
        <v>9370.09318986</v>
      </c>
      <c r="AP49" s="343">
        <f t="shared" si="10"/>
        <v>40497.76256342</v>
      </c>
      <c r="AQ49" s="205"/>
      <c r="AR49" s="342" t="s">
        <v>262</v>
      </c>
      <c r="AS49" s="350">
        <f t="shared" si="11"/>
        <v>0.176288244319666</v>
      </c>
      <c r="AT49" s="350">
        <f t="shared" si="12"/>
        <v>0.0413818785172529</v>
      </c>
      <c r="AU49" s="350">
        <f t="shared" si="13"/>
        <v>0.550956769199738</v>
      </c>
      <c r="AV49" s="350">
        <f t="shared" si="14"/>
        <v>0.231373107963343</v>
      </c>
      <c r="AW49" s="342">
        <f t="shared" si="15"/>
        <v>1</v>
      </c>
      <c r="AY49" s="295" t="s">
        <v>262</v>
      </c>
      <c r="AZ49" s="355">
        <v>5279.6737792</v>
      </c>
      <c r="BA49" s="355">
        <v>1584.53102328</v>
      </c>
      <c r="BB49" s="355">
        <v>18640.43584298</v>
      </c>
      <c r="BC49" s="355">
        <v>8716.0233524</v>
      </c>
      <c r="BD49" s="355">
        <v>34220.66399786</v>
      </c>
      <c r="BE49" s="357"/>
    </row>
    <row r="50" s="172" customFormat="1" spans="1:57">
      <c r="A50" s="290">
        <v>45261</v>
      </c>
      <c r="B50" s="314">
        <f>889.92470872+(-14833.93-903525.66)*1.06/10000+61069.83*1.06/10000</f>
        <v>799.05199416</v>
      </c>
      <c r="C50" s="314">
        <f>175.89358252-31362.44*1.06/10000-61069.83*1.06/10000</f>
        <v>166.0957619</v>
      </c>
      <c r="D50" s="314">
        <f>2811.45318344+投资公司!O28*1.06</f>
        <v>2665.73922344</v>
      </c>
      <c r="E50" s="314">
        <f>753.4620874-(-5691959.03)*1.06/10000+9253417.11*1.06/10000</f>
        <v>2337.67195824</v>
      </c>
      <c r="F50" s="314">
        <f t="shared" si="0"/>
        <v>5968.55893774</v>
      </c>
      <c r="G50" s="315"/>
      <c r="H50" s="290">
        <v>45261</v>
      </c>
      <c r="I50" s="314">
        <v>346.70524308</v>
      </c>
      <c r="J50" s="314">
        <v>-0.5182022</v>
      </c>
      <c r="K50" s="314">
        <f>939.90841512-2635285.85/10000-2647470.25/10000</f>
        <v>411.63280512</v>
      </c>
      <c r="L50" s="314">
        <v>27.2410301</v>
      </c>
      <c r="M50" s="314">
        <f t="shared" si="1"/>
        <v>785.0608761</v>
      </c>
      <c r="N50" s="218"/>
      <c r="O50" s="290">
        <v>45261</v>
      </c>
      <c r="P50" s="314">
        <v>15.63772632</v>
      </c>
      <c r="Q50" s="314">
        <v>1.64910030000008</v>
      </c>
      <c r="R50" s="314">
        <v>42.49583884</v>
      </c>
      <c r="S50" s="314">
        <v>-197.28397124</v>
      </c>
      <c r="T50" s="314">
        <f t="shared" si="2"/>
        <v>-137.50130578</v>
      </c>
      <c r="U50" s="218"/>
      <c r="V50" s="327">
        <v>45261</v>
      </c>
      <c r="W50" s="314">
        <v>-0.0151527</v>
      </c>
      <c r="X50" s="328">
        <v>0</v>
      </c>
      <c r="Y50" s="314">
        <f>139.49471316-11090.41/10000+13476.26/10000</f>
        <v>139.73329816</v>
      </c>
      <c r="Z50" s="314">
        <f>-115.22401294+481285.77/10000-150010.53/10000+F154</f>
        <v>285.01851606</v>
      </c>
      <c r="AA50" s="314">
        <f t="shared" si="3"/>
        <v>424.73666152</v>
      </c>
      <c r="AB50" s="303"/>
      <c r="AC50" s="327">
        <v>45261</v>
      </c>
      <c r="AD50" s="314">
        <f t="shared" si="4"/>
        <v>1161.37981086</v>
      </c>
      <c r="AE50" s="314">
        <f t="shared" si="5"/>
        <v>167.22666</v>
      </c>
      <c r="AF50" s="314">
        <f t="shared" si="6"/>
        <v>3259.60116556</v>
      </c>
      <c r="AG50" s="314">
        <f t="shared" si="7"/>
        <v>2452.64753316</v>
      </c>
      <c r="AH50" s="314">
        <f t="shared" si="8"/>
        <v>7040.85516958</v>
      </c>
      <c r="AI50" s="341">
        <f t="shared" si="9"/>
        <v>0</v>
      </c>
      <c r="AK50" s="342" t="s">
        <v>263</v>
      </c>
      <c r="AL50" s="343">
        <f>SUM(AD$39:AD50)</f>
        <v>8300.65927204</v>
      </c>
      <c r="AM50" s="343">
        <f>SUM(AE$39:AE50)</f>
        <v>1843.10015062</v>
      </c>
      <c r="AN50" s="343">
        <f>SUM(AF$39:AF50)</f>
        <v>25572.11758732</v>
      </c>
      <c r="AO50" s="343">
        <f>SUM(AG$39:AG50)</f>
        <v>11822.74072302</v>
      </c>
      <c r="AP50" s="343">
        <f t="shared" si="10"/>
        <v>47538.617733</v>
      </c>
      <c r="AQ50" s="205"/>
      <c r="AR50" s="342" t="s">
        <v>263</v>
      </c>
      <c r="AS50" s="350">
        <f t="shared" si="11"/>
        <v>0.174608763735213</v>
      </c>
      <c r="AT50" s="350">
        <f t="shared" si="12"/>
        <v>0.0387705877560796</v>
      </c>
      <c r="AU50" s="350">
        <f t="shared" si="13"/>
        <v>0.53792303619229</v>
      </c>
      <c r="AV50" s="350">
        <f t="shared" si="14"/>
        <v>0.248697612316417</v>
      </c>
      <c r="AW50" s="342">
        <f t="shared" si="15"/>
        <v>1</v>
      </c>
      <c r="AY50" s="295" t="s">
        <v>263</v>
      </c>
      <c r="AZ50" s="355">
        <v>6078.72577336</v>
      </c>
      <c r="BA50" s="355">
        <v>1750.62678518</v>
      </c>
      <c r="BB50" s="355">
        <v>21306.17506642</v>
      </c>
      <c r="BC50" s="355">
        <v>11053.69531064</v>
      </c>
      <c r="BD50" s="355">
        <v>40189.2229356</v>
      </c>
      <c r="BE50" s="357"/>
    </row>
    <row r="51" s="172" customFormat="1" spans="1:57">
      <c r="A51" s="291">
        <v>45292</v>
      </c>
      <c r="B51" s="312">
        <v>243.242540700001</v>
      </c>
      <c r="C51" s="316">
        <v>102.4770158</v>
      </c>
      <c r="D51" s="316">
        <f>1197.97700622+投资公司!D17*1.06-F126</f>
        <v>1233.83224104003</v>
      </c>
      <c r="E51" s="316">
        <f>551.800571620002+F98</f>
        <v>637.951681620002</v>
      </c>
      <c r="F51" s="312">
        <f t="shared" si="0"/>
        <v>2217.50347916003</v>
      </c>
      <c r="G51" s="317"/>
      <c r="H51" s="291">
        <v>45292</v>
      </c>
      <c r="I51" s="312">
        <v>102.44421834</v>
      </c>
      <c r="J51" s="312">
        <v>1.40556</v>
      </c>
      <c r="K51" s="312">
        <v>406.91992532</v>
      </c>
      <c r="L51" s="312">
        <v>20.41860192</v>
      </c>
      <c r="M51" s="312">
        <f t="shared" si="1"/>
        <v>531.18830558</v>
      </c>
      <c r="N51" s="218"/>
      <c r="O51" s="291">
        <v>45292</v>
      </c>
      <c r="P51" s="312">
        <v>44.59366258</v>
      </c>
      <c r="Q51" s="312">
        <v>18.9208176800001</v>
      </c>
      <c r="R51" s="312">
        <v>0.537859900000002</v>
      </c>
      <c r="S51" s="312">
        <v>21.48884258</v>
      </c>
      <c r="T51" s="312">
        <f t="shared" si="2"/>
        <v>85.5411827400001</v>
      </c>
      <c r="U51" s="218"/>
      <c r="V51" s="322">
        <v>45292</v>
      </c>
      <c r="W51" s="312">
        <v>-0.273828739999998</v>
      </c>
      <c r="X51" s="312">
        <v>0</v>
      </c>
      <c r="Y51" s="312">
        <f>37.54444422</f>
        <v>37.54444422</v>
      </c>
      <c r="Z51" s="312">
        <f>-85.2451830399996</f>
        <v>-85.2451830399996</v>
      </c>
      <c r="AA51" s="312">
        <f t="shared" si="3"/>
        <v>-47.9745675599996</v>
      </c>
      <c r="AB51" s="303"/>
      <c r="AC51" s="322">
        <v>45292</v>
      </c>
      <c r="AD51" s="312">
        <f t="shared" si="4"/>
        <v>390.006592880001</v>
      </c>
      <c r="AE51" s="312">
        <f t="shared" si="5"/>
        <v>122.80339348</v>
      </c>
      <c r="AF51" s="312">
        <f t="shared" si="6"/>
        <v>1678.83447048003</v>
      </c>
      <c r="AG51" s="312">
        <f t="shared" si="7"/>
        <v>594.613943080002</v>
      </c>
      <c r="AH51" s="312">
        <f t="shared" si="8"/>
        <v>2786.25839992003</v>
      </c>
      <c r="AI51" s="323">
        <f t="shared" si="9"/>
        <v>0</v>
      </c>
      <c r="AK51" s="336" t="s">
        <v>264</v>
      </c>
      <c r="AL51" s="337">
        <f>AD51</f>
        <v>390.006592880001</v>
      </c>
      <c r="AM51" s="337">
        <f>AE51</f>
        <v>122.80339348</v>
      </c>
      <c r="AN51" s="337">
        <f>AF51</f>
        <v>1678.83447048003</v>
      </c>
      <c r="AO51" s="337">
        <f>AG51</f>
        <v>594.613943080002</v>
      </c>
      <c r="AP51" s="337">
        <f t="shared" si="10"/>
        <v>2786.25839992003</v>
      </c>
      <c r="AQ51" s="205"/>
      <c r="AR51" s="336" t="s">
        <v>264</v>
      </c>
      <c r="AS51" s="351">
        <f t="shared" si="11"/>
        <v>0.139975026326056</v>
      </c>
      <c r="AT51" s="351">
        <f t="shared" si="12"/>
        <v>0.0440746606572903</v>
      </c>
      <c r="AU51" s="351">
        <f t="shared" si="13"/>
        <v>0.602540837751521</v>
      </c>
      <c r="AV51" s="351">
        <f t="shared" si="14"/>
        <v>0.213409475265133</v>
      </c>
      <c r="AW51" s="336">
        <f t="shared" si="15"/>
        <v>1</v>
      </c>
      <c r="AY51" s="295" t="s">
        <v>264</v>
      </c>
      <c r="AZ51" s="355">
        <v>243.242540700001</v>
      </c>
      <c r="BA51" s="355">
        <v>102.4770158</v>
      </c>
      <c r="BB51" s="355">
        <v>1233.83224104003</v>
      </c>
      <c r="BC51" s="355">
        <v>637.951681620002</v>
      </c>
      <c r="BD51" s="355">
        <v>2217.50347916003</v>
      </c>
      <c r="BE51" s="357"/>
    </row>
    <row r="52" s="172" customFormat="1" spans="1:57">
      <c r="A52" s="291">
        <v>45323</v>
      </c>
      <c r="B52" s="312">
        <v>548.2907929</v>
      </c>
      <c r="C52" s="312">
        <v>96.17370566</v>
      </c>
      <c r="D52" s="316">
        <f>926.072444999999+投资公司!E17*1.06-F127</f>
        <v>614.731417679945</v>
      </c>
      <c r="E52" s="316">
        <f>212.07837958+F99</f>
        <v>249.89227958</v>
      </c>
      <c r="F52" s="312">
        <f t="shared" si="0"/>
        <v>1509.08819581994</v>
      </c>
      <c r="G52" s="317"/>
      <c r="H52" s="291">
        <v>45323</v>
      </c>
      <c r="I52" s="312">
        <v>546.916957</v>
      </c>
      <c r="J52" s="312">
        <v>1</v>
      </c>
      <c r="K52" s="312">
        <f>328.590564-84.22</f>
        <v>244.370564</v>
      </c>
      <c r="L52" s="312">
        <v>182</v>
      </c>
      <c r="M52" s="312">
        <f t="shared" si="1"/>
        <v>974.287521</v>
      </c>
      <c r="N52" s="218"/>
      <c r="O52" s="291">
        <v>45323</v>
      </c>
      <c r="P52" s="312">
        <v>122.821271</v>
      </c>
      <c r="Q52" s="312">
        <v>9.201607</v>
      </c>
      <c r="R52" s="312">
        <v>0</v>
      </c>
      <c r="S52" s="312">
        <v>-73</v>
      </c>
      <c r="T52" s="312">
        <f t="shared" si="2"/>
        <v>59.022878</v>
      </c>
      <c r="U52" s="218"/>
      <c r="V52" s="322">
        <v>45323</v>
      </c>
      <c r="W52" s="312">
        <v>0.04</v>
      </c>
      <c r="X52" s="312">
        <v>0</v>
      </c>
      <c r="Y52" s="312">
        <f>16.36</f>
        <v>16.36</v>
      </c>
      <c r="Z52" s="312">
        <f>-92+F155</f>
        <v>-88.249758</v>
      </c>
      <c r="AA52" s="312">
        <f t="shared" si="3"/>
        <v>-71.849758</v>
      </c>
      <c r="AB52" s="303"/>
      <c r="AC52" s="322">
        <v>45323</v>
      </c>
      <c r="AD52" s="312">
        <f t="shared" si="4"/>
        <v>1218.0690209</v>
      </c>
      <c r="AE52" s="312">
        <f t="shared" si="5"/>
        <v>106.37531266</v>
      </c>
      <c r="AF52" s="312">
        <f t="shared" si="6"/>
        <v>875.461981679945</v>
      </c>
      <c r="AG52" s="312">
        <f t="shared" si="7"/>
        <v>270.64252158</v>
      </c>
      <c r="AH52" s="312">
        <f t="shared" si="8"/>
        <v>2470.54883681994</v>
      </c>
      <c r="AI52" s="323">
        <f t="shared" si="9"/>
        <v>0</v>
      </c>
      <c r="AK52" s="336" t="s">
        <v>265</v>
      </c>
      <c r="AL52" s="337">
        <f>SUM(AD$51:AD52)</f>
        <v>1608.07561378</v>
      </c>
      <c r="AM52" s="337">
        <f>SUM(AE$51:AE52)</f>
        <v>229.17870614</v>
      </c>
      <c r="AN52" s="337">
        <f>SUM(AF$51:AF52)</f>
        <v>2554.29645215997</v>
      </c>
      <c r="AO52" s="337">
        <f>SUM(AG$51:AG52)</f>
        <v>865.256464660002</v>
      </c>
      <c r="AP52" s="337">
        <f t="shared" si="10"/>
        <v>5256.80723673997</v>
      </c>
      <c r="AQ52" s="205"/>
      <c r="AR52" s="336" t="s">
        <v>265</v>
      </c>
      <c r="AS52" s="351">
        <f t="shared" si="11"/>
        <v>0.305903477407563</v>
      </c>
      <c r="AT52" s="351">
        <f t="shared" si="12"/>
        <v>0.0435965588652868</v>
      </c>
      <c r="AU52" s="351">
        <f t="shared" si="13"/>
        <v>0.48590262817855</v>
      </c>
      <c r="AV52" s="351">
        <f t="shared" si="14"/>
        <v>0.164597335548601</v>
      </c>
      <c r="AW52" s="336">
        <f t="shared" si="15"/>
        <v>1</v>
      </c>
      <c r="AY52" s="295" t="s">
        <v>265</v>
      </c>
      <c r="AZ52" s="355">
        <v>791.533333600001</v>
      </c>
      <c r="BA52" s="355">
        <v>198.65072146</v>
      </c>
      <c r="BB52" s="355">
        <v>1848.56365871998</v>
      </c>
      <c r="BC52" s="355">
        <v>887.843961200002</v>
      </c>
      <c r="BD52" s="355">
        <v>3726.59167497998</v>
      </c>
      <c r="BE52" s="357"/>
    </row>
    <row r="53" s="172" customFormat="1" spans="1:57">
      <c r="A53" s="291">
        <v>45352</v>
      </c>
      <c r="B53" s="312">
        <v>148.39</v>
      </c>
      <c r="C53" s="312">
        <f>68-36626/10000</f>
        <v>64.3374</v>
      </c>
      <c r="D53" s="316">
        <f>1278.89078823001+投资公司!F17*1.06-F128</f>
        <v>1316.88841677005</v>
      </c>
      <c r="E53" s="316">
        <f>387.26+F100</f>
        <v>673.173067</v>
      </c>
      <c r="F53" s="312">
        <f t="shared" si="0"/>
        <v>2202.78888377005</v>
      </c>
      <c r="G53" s="317"/>
      <c r="H53" s="291">
        <v>45352</v>
      </c>
      <c r="I53" s="312">
        <v>207.579485</v>
      </c>
      <c r="J53" s="312">
        <v>-2</v>
      </c>
      <c r="K53" s="316">
        <f>968.96344506-7186337.99/10000</f>
        <v>250.32964606</v>
      </c>
      <c r="L53" s="312">
        <v>46</v>
      </c>
      <c r="M53" s="312">
        <f t="shared" si="1"/>
        <v>501.90913106</v>
      </c>
      <c r="N53" s="218"/>
      <c r="O53" s="291">
        <v>45352</v>
      </c>
      <c r="P53" s="312">
        <v>22</v>
      </c>
      <c r="Q53" s="312">
        <v>37</v>
      </c>
      <c r="R53" s="312">
        <v>-11</v>
      </c>
      <c r="S53" s="312">
        <v>13.58</v>
      </c>
      <c r="T53" s="312">
        <f t="shared" si="2"/>
        <v>61.58</v>
      </c>
      <c r="U53" s="218"/>
      <c r="V53" s="322">
        <v>45352</v>
      </c>
      <c r="W53" s="312">
        <v>0</v>
      </c>
      <c r="X53" s="312">
        <v>0</v>
      </c>
      <c r="Y53" s="312">
        <f>29</f>
        <v>29</v>
      </c>
      <c r="Z53" s="312">
        <f>-78.74560842+F156</f>
        <v>369.25700658</v>
      </c>
      <c r="AA53" s="312">
        <f t="shared" si="3"/>
        <v>398.25700658</v>
      </c>
      <c r="AB53" s="303"/>
      <c r="AC53" s="322">
        <v>45352</v>
      </c>
      <c r="AD53" s="312">
        <f t="shared" si="4"/>
        <v>377.969485</v>
      </c>
      <c r="AE53" s="312">
        <f t="shared" si="5"/>
        <v>99.3374</v>
      </c>
      <c r="AF53" s="312">
        <f t="shared" si="6"/>
        <v>1585.21806283005</v>
      </c>
      <c r="AG53" s="312">
        <f t="shared" si="7"/>
        <v>1102.01007358</v>
      </c>
      <c r="AH53" s="312">
        <f t="shared" si="8"/>
        <v>3164.53502141005</v>
      </c>
      <c r="AI53" s="323">
        <f t="shared" si="9"/>
        <v>0</v>
      </c>
      <c r="AK53" s="336" t="s">
        <v>266</v>
      </c>
      <c r="AL53" s="337">
        <f>SUM(AD$51:AD53)</f>
        <v>1986.04509878</v>
      </c>
      <c r="AM53" s="337">
        <f>SUM(AE$51:AE53)</f>
        <v>328.51610614</v>
      </c>
      <c r="AN53" s="337">
        <f>SUM(AF$51:AF53)</f>
        <v>4139.51451499003</v>
      </c>
      <c r="AO53" s="337">
        <f>SUM(AG$51:AG53)</f>
        <v>1967.26653824</v>
      </c>
      <c r="AP53" s="337">
        <f t="shared" si="10"/>
        <v>8421.34225815003</v>
      </c>
      <c r="AQ53" s="205"/>
      <c r="AR53" s="336" t="s">
        <v>266</v>
      </c>
      <c r="AS53" s="351">
        <f t="shared" si="11"/>
        <v>0.235834744379133</v>
      </c>
      <c r="AT53" s="351">
        <f t="shared" si="12"/>
        <v>0.0390099459289958</v>
      </c>
      <c r="AU53" s="351">
        <f t="shared" si="13"/>
        <v>0.491550442684345</v>
      </c>
      <c r="AV53" s="351">
        <f t="shared" si="14"/>
        <v>0.233604867007527</v>
      </c>
      <c r="AW53" s="336">
        <f t="shared" si="15"/>
        <v>1</v>
      </c>
      <c r="AY53" s="295" t="s">
        <v>266</v>
      </c>
      <c r="AZ53" s="355">
        <v>939.923333600001</v>
      </c>
      <c r="BA53" s="355">
        <v>262.98812146</v>
      </c>
      <c r="BB53" s="355">
        <v>3165.45207549003</v>
      </c>
      <c r="BC53" s="355">
        <v>1561.0170282</v>
      </c>
      <c r="BD53" s="355">
        <v>5929.38055875003</v>
      </c>
      <c r="BE53" s="357"/>
    </row>
    <row r="54" s="172" customFormat="1" spans="1:57">
      <c r="A54" s="291">
        <v>45383</v>
      </c>
      <c r="B54" s="312">
        <v>100.07576706</v>
      </c>
      <c r="C54" s="316">
        <v>15.757</v>
      </c>
      <c r="D54" s="316">
        <f>483.624753019999+投资公司!G17*1.06-F129</f>
        <v>156.422481060054</v>
      </c>
      <c r="E54" s="316">
        <f>142.441875680001+F101</f>
        <v>394.898998680001</v>
      </c>
      <c r="F54" s="312">
        <f t="shared" si="0"/>
        <v>667.154246800055</v>
      </c>
      <c r="G54" s="317"/>
      <c r="H54" s="291">
        <v>45383</v>
      </c>
      <c r="I54" s="312">
        <v>285.7910679</v>
      </c>
      <c r="J54" s="312"/>
      <c r="K54" s="316">
        <f>496.130032-1581198.22/10000</f>
        <v>338.01021</v>
      </c>
      <c r="L54" s="312">
        <v>-5.9834827</v>
      </c>
      <c r="M54" s="312">
        <f t="shared" si="1"/>
        <v>617.8177952</v>
      </c>
      <c r="N54" s="218"/>
      <c r="O54" s="291">
        <v>45383</v>
      </c>
      <c r="P54" s="312">
        <v>2.3407874</v>
      </c>
      <c r="Q54" s="312">
        <v>-75.05133476</v>
      </c>
      <c r="R54" s="312">
        <v>4.32192528</v>
      </c>
      <c r="S54" s="312">
        <v>9.68520834</v>
      </c>
      <c r="T54" s="312">
        <f t="shared" si="2"/>
        <v>-58.70341374</v>
      </c>
      <c r="U54" s="218"/>
      <c r="V54" s="322">
        <v>45383</v>
      </c>
      <c r="W54" s="312">
        <v>0.01796488</v>
      </c>
      <c r="X54" s="312"/>
      <c r="Y54" s="312">
        <f>18.45040876</f>
        <v>18.45040876</v>
      </c>
      <c r="Z54" s="312">
        <f>-66.04435364+F157</f>
        <v>54.47058236</v>
      </c>
      <c r="AA54" s="312">
        <f t="shared" si="3"/>
        <v>72.938956</v>
      </c>
      <c r="AB54" s="303"/>
      <c r="AC54" s="322">
        <v>45383</v>
      </c>
      <c r="AD54" s="312">
        <f t="shared" si="4"/>
        <v>388.22558724</v>
      </c>
      <c r="AE54" s="312">
        <f t="shared" si="5"/>
        <v>-59.29433476</v>
      </c>
      <c r="AF54" s="312">
        <f t="shared" si="6"/>
        <v>517.205025100053</v>
      </c>
      <c r="AG54" s="312">
        <f t="shared" si="7"/>
        <v>453.071306680001</v>
      </c>
      <c r="AH54" s="312">
        <f t="shared" si="8"/>
        <v>1299.20758426005</v>
      </c>
      <c r="AI54" s="323">
        <f t="shared" si="9"/>
        <v>0</v>
      </c>
      <c r="AK54" s="336" t="s">
        <v>267</v>
      </c>
      <c r="AL54" s="337">
        <f>SUM(AD$51:AD54)</f>
        <v>2374.27068602</v>
      </c>
      <c r="AM54" s="337">
        <f>SUM(AE$51:AE54)</f>
        <v>269.22177138</v>
      </c>
      <c r="AN54" s="337">
        <f>SUM(AF$51:AF54)</f>
        <v>4656.71954009008</v>
      </c>
      <c r="AO54" s="337">
        <f>SUM(AG$51:AG54)</f>
        <v>2420.33784492</v>
      </c>
      <c r="AP54" s="337">
        <f t="shared" si="10"/>
        <v>9720.54984241008</v>
      </c>
      <c r="AQ54" s="205"/>
      <c r="AR54" s="336" t="s">
        <v>267</v>
      </c>
      <c r="AS54" s="351">
        <f t="shared" si="11"/>
        <v>0.244252714559543</v>
      </c>
      <c r="AT54" s="351">
        <f t="shared" si="12"/>
        <v>0.0276961463851977</v>
      </c>
      <c r="AU54" s="351">
        <f t="shared" si="13"/>
        <v>0.479059272940831</v>
      </c>
      <c r="AV54" s="351">
        <f t="shared" si="14"/>
        <v>0.248991866114429</v>
      </c>
      <c r="AW54" s="336">
        <f t="shared" si="15"/>
        <v>1</v>
      </c>
      <c r="AY54" s="295" t="s">
        <v>267</v>
      </c>
      <c r="AZ54" s="355">
        <v>1039.99910066</v>
      </c>
      <c r="BA54" s="355">
        <v>278.74512146</v>
      </c>
      <c r="BB54" s="355">
        <v>3321.87455655008</v>
      </c>
      <c r="BC54" s="355">
        <v>1955.91602688</v>
      </c>
      <c r="BD54" s="355">
        <v>6596.53480555009</v>
      </c>
      <c r="BE54" s="357"/>
    </row>
    <row r="55" s="172" customFormat="1" spans="1:57">
      <c r="A55" s="291">
        <v>45413</v>
      </c>
      <c r="B55" s="312">
        <v>393.46</v>
      </c>
      <c r="C55" s="312">
        <v>8.77</v>
      </c>
      <c r="D55" s="316">
        <f>512.05+投资公司!H17*1.06-F130</f>
        <v>571.268270000001</v>
      </c>
      <c r="E55" s="316">
        <f>10.15+F102</f>
        <v>233.1968</v>
      </c>
      <c r="F55" s="312">
        <f t="shared" si="0"/>
        <v>1206.69507</v>
      </c>
      <c r="G55" s="317"/>
      <c r="H55" s="291">
        <v>45413</v>
      </c>
      <c r="I55" s="312">
        <v>168.00528194</v>
      </c>
      <c r="J55" s="312">
        <v>-5.4</v>
      </c>
      <c r="K55" s="316">
        <f>1126.63792714-3387367.57/10000</f>
        <v>787.90117014</v>
      </c>
      <c r="L55" s="312">
        <v>22.29</v>
      </c>
      <c r="M55" s="312">
        <f t="shared" si="1"/>
        <v>972.79645208</v>
      </c>
      <c r="N55" s="218"/>
      <c r="O55" s="291">
        <v>45413</v>
      </c>
      <c r="P55" s="312">
        <v>5.8354219</v>
      </c>
      <c r="Q55" s="312">
        <v>-13.26200238</v>
      </c>
      <c r="R55" s="312">
        <v>-1.06234366</v>
      </c>
      <c r="S55" s="312">
        <v>-47.11</v>
      </c>
      <c r="T55" s="312">
        <f t="shared" si="2"/>
        <v>-55.59892414</v>
      </c>
      <c r="U55" s="218"/>
      <c r="V55" s="322">
        <v>45413</v>
      </c>
      <c r="W55" s="312">
        <v>0</v>
      </c>
      <c r="X55" s="312">
        <v>0</v>
      </c>
      <c r="Y55" s="329">
        <f>-13.90323666+477792.32/10000</f>
        <v>33.87599534</v>
      </c>
      <c r="Z55" s="312">
        <f>-60.02859394+F158</f>
        <v>70.64942806</v>
      </c>
      <c r="AA55" s="312">
        <f t="shared" si="3"/>
        <v>104.5254234</v>
      </c>
      <c r="AB55" s="303"/>
      <c r="AC55" s="322">
        <v>45413</v>
      </c>
      <c r="AD55" s="312">
        <f t="shared" si="4"/>
        <v>567.30070384</v>
      </c>
      <c r="AE55" s="312">
        <f t="shared" si="5"/>
        <v>-9.89200238</v>
      </c>
      <c r="AF55" s="312">
        <f t="shared" si="6"/>
        <v>1391.98309182</v>
      </c>
      <c r="AG55" s="312">
        <f t="shared" si="7"/>
        <v>279.02622806</v>
      </c>
      <c r="AH55" s="312">
        <f t="shared" si="8"/>
        <v>2228.41802134</v>
      </c>
      <c r="AI55" s="323">
        <f t="shared" si="9"/>
        <v>0</v>
      </c>
      <c r="AK55" s="336" t="s">
        <v>268</v>
      </c>
      <c r="AL55" s="337">
        <f>SUM(AD$51:AD55)</f>
        <v>2941.57138986</v>
      </c>
      <c r="AM55" s="337">
        <f>SUM(AE$51:AE55)</f>
        <v>259.329769</v>
      </c>
      <c r="AN55" s="337">
        <f>SUM(AF$51:AF55)</f>
        <v>6048.70263191008</v>
      </c>
      <c r="AO55" s="337">
        <f>SUM(AG$51:AG55)</f>
        <v>2699.36407298</v>
      </c>
      <c r="AP55" s="337">
        <f t="shared" si="10"/>
        <v>11948.9678637501</v>
      </c>
      <c r="AQ55" s="205"/>
      <c r="AR55" s="336" t="s">
        <v>268</v>
      </c>
      <c r="AS55" s="351">
        <f t="shared" si="11"/>
        <v>0.246177864347926</v>
      </c>
      <c r="AT55" s="351">
        <f t="shared" si="12"/>
        <v>0.0217031104240171</v>
      </c>
      <c r="AU55" s="351">
        <f t="shared" si="13"/>
        <v>0.506211306355606</v>
      </c>
      <c r="AV55" s="351">
        <f t="shared" si="14"/>
        <v>0.225907718872451</v>
      </c>
      <c r="AW55" s="336">
        <f t="shared" si="15"/>
        <v>1</v>
      </c>
      <c r="AY55" s="295" t="s">
        <v>268</v>
      </c>
      <c r="AZ55" s="355">
        <v>1433.45910066</v>
      </c>
      <c r="BA55" s="355">
        <v>287.51512146</v>
      </c>
      <c r="BB55" s="355">
        <v>3893.14282655008</v>
      </c>
      <c r="BC55" s="355">
        <v>2189.11282688</v>
      </c>
      <c r="BD55" s="355">
        <v>7803.22987555009</v>
      </c>
      <c r="BE55" s="357"/>
    </row>
    <row r="56" s="172" customFormat="1" spans="1:57">
      <c r="A56" s="291">
        <v>45444</v>
      </c>
      <c r="B56" s="312">
        <v>178.1741598</v>
      </c>
      <c r="C56" s="312">
        <v>16.05416428</v>
      </c>
      <c r="D56" s="316">
        <f>895.47563616+投资公司!I17*1.06-F131</f>
        <v>468.63697316</v>
      </c>
      <c r="E56" s="316">
        <f>261.694455720001+F103</f>
        <v>513.468955720001</v>
      </c>
      <c r="F56" s="312">
        <f t="shared" si="0"/>
        <v>1176.33425296</v>
      </c>
      <c r="G56" s="317"/>
      <c r="H56" s="291">
        <v>45444</v>
      </c>
      <c r="I56" s="312">
        <v>369.1885183</v>
      </c>
      <c r="J56" s="312">
        <v>0</v>
      </c>
      <c r="K56" s="316">
        <f>787.42428706-534.4</f>
        <v>253.02428706</v>
      </c>
      <c r="L56" s="312">
        <v>36.28287038</v>
      </c>
      <c r="M56" s="312">
        <f t="shared" si="1"/>
        <v>658.49567574</v>
      </c>
      <c r="N56" s="218"/>
      <c r="O56" s="291">
        <v>45444</v>
      </c>
      <c r="P56" s="312">
        <v>25.28641024</v>
      </c>
      <c r="Q56" s="312">
        <v>11.25573932</v>
      </c>
      <c r="R56" s="329">
        <v>0</v>
      </c>
      <c r="S56" s="312">
        <v>10.74215554</v>
      </c>
      <c r="T56" s="312">
        <f t="shared" si="2"/>
        <v>47.2843051</v>
      </c>
      <c r="U56" s="218"/>
      <c r="V56" s="322">
        <v>45444</v>
      </c>
      <c r="W56" s="312">
        <v>-7.41750052</v>
      </c>
      <c r="X56" s="312"/>
      <c r="Y56" s="329">
        <f>-78.600166+1044685.19/10000</f>
        <v>25.868353</v>
      </c>
      <c r="Z56" s="312">
        <f>-110.89876986+F159</f>
        <v>70.85392714</v>
      </c>
      <c r="AA56" s="312">
        <f t="shared" si="3"/>
        <v>89.30477962</v>
      </c>
      <c r="AB56" s="303"/>
      <c r="AC56" s="322">
        <v>45444</v>
      </c>
      <c r="AD56" s="312">
        <f t="shared" si="4"/>
        <v>565.23158782</v>
      </c>
      <c r="AE56" s="312">
        <f t="shared" si="5"/>
        <v>27.3099036</v>
      </c>
      <c r="AF56" s="312">
        <f t="shared" si="6"/>
        <v>747.52961322</v>
      </c>
      <c r="AG56" s="312">
        <f t="shared" si="7"/>
        <v>631.347908780001</v>
      </c>
      <c r="AH56" s="312">
        <f t="shared" si="8"/>
        <v>1971.41901342</v>
      </c>
      <c r="AI56" s="323">
        <f t="shared" si="9"/>
        <v>0</v>
      </c>
      <c r="AK56" s="336" t="s">
        <v>269</v>
      </c>
      <c r="AL56" s="337">
        <f>SUM(AD$51:AD56)</f>
        <v>3506.80297768</v>
      </c>
      <c r="AM56" s="337">
        <f>SUM(AE$51:AE56)</f>
        <v>286.6396726</v>
      </c>
      <c r="AN56" s="337">
        <f>SUM(AF$51:AF56)</f>
        <v>6796.23224513008</v>
      </c>
      <c r="AO56" s="337">
        <f>SUM(AG$51:AG56)</f>
        <v>3330.71198176</v>
      </c>
      <c r="AP56" s="337">
        <f t="shared" si="10"/>
        <v>13920.3868771701</v>
      </c>
      <c r="AQ56" s="205"/>
      <c r="AR56" s="336" t="s">
        <v>269</v>
      </c>
      <c r="AS56" s="351">
        <f t="shared" si="11"/>
        <v>0.251918499724406</v>
      </c>
      <c r="AT56" s="351">
        <f t="shared" si="12"/>
        <v>0.0205913582093109</v>
      </c>
      <c r="AU56" s="351">
        <f t="shared" si="13"/>
        <v>0.488221505989617</v>
      </c>
      <c r="AV56" s="351">
        <f t="shared" si="14"/>
        <v>0.239268636076666</v>
      </c>
      <c r="AW56" s="336">
        <f t="shared" si="15"/>
        <v>1</v>
      </c>
      <c r="AY56" s="295" t="s">
        <v>269</v>
      </c>
      <c r="AZ56" s="355">
        <v>1611.63326046</v>
      </c>
      <c r="BA56" s="355">
        <v>303.56928574</v>
      </c>
      <c r="BB56" s="355">
        <v>4361.77979971008</v>
      </c>
      <c r="BC56" s="355">
        <v>2702.5817826</v>
      </c>
      <c r="BD56" s="355">
        <v>8979.56412851009</v>
      </c>
      <c r="BE56" s="357"/>
    </row>
    <row r="57" s="172" customFormat="1" spans="1:57">
      <c r="A57" s="291">
        <v>45474</v>
      </c>
      <c r="B57" s="312">
        <v>376.62121922</v>
      </c>
      <c r="C57" s="312">
        <v>11.42143216</v>
      </c>
      <c r="D57" s="316">
        <f>860.481768180002+投资公司!J17*1.06-F132</f>
        <v>1031.77480418</v>
      </c>
      <c r="E57" s="316">
        <f>906.349292120003+F104</f>
        <v>1027.48609212</v>
      </c>
      <c r="F57" s="312">
        <f t="shared" si="0"/>
        <v>2447.30354768</v>
      </c>
      <c r="G57" s="317"/>
      <c r="H57" s="291">
        <v>45474</v>
      </c>
      <c r="I57" s="312">
        <v>106.10004598</v>
      </c>
      <c r="J57" s="312"/>
      <c r="K57" s="316">
        <f>255.00086842-101.98</f>
        <v>153.02086842</v>
      </c>
      <c r="L57" s="312">
        <v>101.24502974</v>
      </c>
      <c r="M57" s="312">
        <f t="shared" si="1"/>
        <v>360.36594414</v>
      </c>
      <c r="N57" s="218"/>
      <c r="O57" s="291">
        <v>45474</v>
      </c>
      <c r="P57" s="312">
        <v>-0.963043920000001</v>
      </c>
      <c r="Q57" s="312">
        <v>-24.49922668</v>
      </c>
      <c r="R57" s="312">
        <v>-36.2498217</v>
      </c>
      <c r="S57" s="312">
        <v>53.20090922</v>
      </c>
      <c r="T57" s="312">
        <f t="shared" si="2"/>
        <v>-8.51118307999999</v>
      </c>
      <c r="U57" s="218"/>
      <c r="V57" s="322">
        <v>45474</v>
      </c>
      <c r="W57" s="312">
        <v>-11.46392014</v>
      </c>
      <c r="X57" s="312"/>
      <c r="Y57" s="312">
        <f>36.60677776</f>
        <v>36.60677776</v>
      </c>
      <c r="Z57" s="312">
        <f>-229.305812279998+F160</f>
        <v>115.919242720002</v>
      </c>
      <c r="AA57" s="312">
        <f t="shared" si="3"/>
        <v>141.062100340002</v>
      </c>
      <c r="AB57" s="303"/>
      <c r="AC57" s="322">
        <v>45474</v>
      </c>
      <c r="AD57" s="312">
        <f t="shared" si="4"/>
        <v>470.29430114</v>
      </c>
      <c r="AE57" s="312">
        <f t="shared" si="5"/>
        <v>-13.07779452</v>
      </c>
      <c r="AF57" s="312">
        <f t="shared" si="6"/>
        <v>1185.15262866</v>
      </c>
      <c r="AG57" s="312">
        <f t="shared" si="7"/>
        <v>1297.8512738</v>
      </c>
      <c r="AH57" s="312">
        <f t="shared" si="8"/>
        <v>2940.22040908</v>
      </c>
      <c r="AI57" s="323">
        <f t="shared" si="9"/>
        <v>0</v>
      </c>
      <c r="AK57" s="336" t="s">
        <v>270</v>
      </c>
      <c r="AL57" s="337">
        <f>SUM(AD$51:AD57)</f>
        <v>3977.09727882</v>
      </c>
      <c r="AM57" s="337">
        <f>SUM(AE$51:AE57)</f>
        <v>273.56187808</v>
      </c>
      <c r="AN57" s="337">
        <f>SUM(AF$51:AF57)</f>
        <v>7981.38487379008</v>
      </c>
      <c r="AO57" s="337">
        <f>SUM(AG$51:AG57)</f>
        <v>4628.56325556001</v>
      </c>
      <c r="AP57" s="337">
        <f t="shared" si="10"/>
        <v>16860.6072862501</v>
      </c>
      <c r="AQ57" s="205"/>
      <c r="AR57" s="336" t="s">
        <v>270</v>
      </c>
      <c r="AS57" s="351">
        <f t="shared" si="11"/>
        <v>0.235881022035508</v>
      </c>
      <c r="AT57" s="351">
        <f t="shared" si="12"/>
        <v>0.0162249125097108</v>
      </c>
      <c r="AU57" s="351">
        <f t="shared" si="13"/>
        <v>0.473374697499712</v>
      </c>
      <c r="AV57" s="351">
        <f t="shared" si="14"/>
        <v>0.274519367955069</v>
      </c>
      <c r="AW57" s="336">
        <f t="shared" si="15"/>
        <v>1</v>
      </c>
      <c r="AY57" s="295" t="s">
        <v>270</v>
      </c>
      <c r="AZ57" s="355">
        <v>1988.25447968</v>
      </c>
      <c r="BA57" s="355">
        <v>314.9907179</v>
      </c>
      <c r="BB57" s="355">
        <v>5393.55460389009</v>
      </c>
      <c r="BC57" s="355">
        <v>3730.06787472001</v>
      </c>
      <c r="BD57" s="355">
        <v>11426.8676761901</v>
      </c>
      <c r="BE57" s="357"/>
    </row>
    <row r="58" s="172" customFormat="1" spans="1:57">
      <c r="A58" s="291">
        <v>45505</v>
      </c>
      <c r="B58" s="312">
        <v>325.6544349</v>
      </c>
      <c r="C58" s="312">
        <v>17.09495602</v>
      </c>
      <c r="D58" s="316">
        <f>468.233164+投资公司!K17*1.06-F133</f>
        <v>517.548746</v>
      </c>
      <c r="E58" s="316">
        <f>571.643724979999+F105</f>
        <v>616.437465979999</v>
      </c>
      <c r="F58" s="312">
        <f t="shared" si="0"/>
        <v>1476.7356029</v>
      </c>
      <c r="G58" s="317"/>
      <c r="H58" s="291">
        <v>45505</v>
      </c>
      <c r="I58" s="312">
        <v>263.78192326</v>
      </c>
      <c r="J58" s="312">
        <v>3.2979197</v>
      </c>
      <c r="K58" s="316">
        <f>331.9486672-155.96</f>
        <v>175.9886672</v>
      </c>
      <c r="L58" s="312">
        <v>74.9496214</v>
      </c>
      <c r="M58" s="312">
        <f t="shared" si="1"/>
        <v>518.01813156</v>
      </c>
      <c r="N58" s="218"/>
      <c r="O58" s="291">
        <v>45505</v>
      </c>
      <c r="P58" s="312">
        <v>2.72848452</v>
      </c>
      <c r="Q58" s="312">
        <v>-10.3109486</v>
      </c>
      <c r="R58" s="312">
        <v>-17.39973252</v>
      </c>
      <c r="S58" s="312">
        <v>32.75660548</v>
      </c>
      <c r="T58" s="312">
        <f t="shared" si="2"/>
        <v>7.77440888</v>
      </c>
      <c r="U58" s="218"/>
      <c r="V58" s="322">
        <v>45505</v>
      </c>
      <c r="W58" s="312">
        <v>-71.86816006</v>
      </c>
      <c r="X58" s="312"/>
      <c r="Y58" s="329">
        <f>-656.33228612+F146</f>
        <v>684.774697879927</v>
      </c>
      <c r="Z58" s="312">
        <f>25.0927005399995</f>
        <v>25.0927005399995</v>
      </c>
      <c r="AA58" s="312">
        <f t="shared" si="3"/>
        <v>637.999238359926</v>
      </c>
      <c r="AB58" s="303"/>
      <c r="AC58" s="322">
        <v>45505</v>
      </c>
      <c r="AD58" s="312">
        <f t="shared" si="4"/>
        <v>520.29668262</v>
      </c>
      <c r="AE58" s="312">
        <f t="shared" si="5"/>
        <v>10.08192712</v>
      </c>
      <c r="AF58" s="312">
        <f t="shared" si="6"/>
        <v>1360.91237855993</v>
      </c>
      <c r="AG58" s="312">
        <f t="shared" si="7"/>
        <v>749.236393399998</v>
      </c>
      <c r="AH58" s="312">
        <f t="shared" si="8"/>
        <v>2640.52738169993</v>
      </c>
      <c r="AI58" s="323">
        <f t="shared" si="9"/>
        <v>0</v>
      </c>
      <c r="AK58" s="336" t="s">
        <v>271</v>
      </c>
      <c r="AL58" s="337">
        <f>SUM(AD$51:AD58)</f>
        <v>4497.39396144</v>
      </c>
      <c r="AM58" s="337">
        <f>SUM(AE$51:AE58)</f>
        <v>283.6438052</v>
      </c>
      <c r="AN58" s="337">
        <f>SUM(AF$51:AF58)</f>
        <v>9342.29725235001</v>
      </c>
      <c r="AO58" s="337">
        <f>SUM(AG$51:AG58)</f>
        <v>5377.79964896001</v>
      </c>
      <c r="AP58" s="337">
        <f t="shared" si="10"/>
        <v>19501.13466795</v>
      </c>
      <c r="AQ58" s="205"/>
      <c r="AR58" s="336" t="s">
        <v>271</v>
      </c>
      <c r="AS58" s="351">
        <f t="shared" si="11"/>
        <v>0.230622168300362</v>
      </c>
      <c r="AT58" s="351">
        <f t="shared" si="12"/>
        <v>0.0145449898187805</v>
      </c>
      <c r="AU58" s="351">
        <f t="shared" si="13"/>
        <v>0.479064290946311</v>
      </c>
      <c r="AV58" s="351">
        <f t="shared" si="14"/>
        <v>0.275768550934546</v>
      </c>
      <c r="AW58" s="336">
        <f t="shared" si="15"/>
        <v>1</v>
      </c>
      <c r="AY58" s="295" t="s">
        <v>271</v>
      </c>
      <c r="AZ58" s="355">
        <v>2313.90891458</v>
      </c>
      <c r="BA58" s="355">
        <v>332.08567392</v>
      </c>
      <c r="BB58" s="355">
        <v>5911.10334989009</v>
      </c>
      <c r="BC58" s="355">
        <v>4346.50534070001</v>
      </c>
      <c r="BD58" s="355">
        <v>12903.6032790901</v>
      </c>
      <c r="BE58" s="357"/>
    </row>
    <row r="59" s="172" customFormat="1" spans="1:57">
      <c r="A59" s="291">
        <v>45536</v>
      </c>
      <c r="B59" s="312">
        <v>290.45958986</v>
      </c>
      <c r="C59" s="312">
        <v>51.91811312</v>
      </c>
      <c r="D59" s="316">
        <f>293.773055519999+投资公司!L17*1.06-F134</f>
        <v>304.299735519999</v>
      </c>
      <c r="E59" s="316">
        <f>600.23272528+F106</f>
        <v>518.03444728</v>
      </c>
      <c r="F59" s="312">
        <f t="shared" si="0"/>
        <v>1164.71188578</v>
      </c>
      <c r="G59" s="317"/>
      <c r="H59" s="291">
        <v>45536</v>
      </c>
      <c r="I59" s="316">
        <v>101.26891258</v>
      </c>
      <c r="J59" s="312">
        <v>1.25820834</v>
      </c>
      <c r="K59" s="316">
        <f>374.1554446-1905287.72/10000</f>
        <v>183.6266726</v>
      </c>
      <c r="L59" s="312">
        <v>90.08626452</v>
      </c>
      <c r="M59" s="312">
        <f t="shared" si="1"/>
        <v>376.24005804</v>
      </c>
      <c r="N59" s="218"/>
      <c r="O59" s="291">
        <v>45536</v>
      </c>
      <c r="P59" s="312">
        <v>2.086027</v>
      </c>
      <c r="Q59" s="312">
        <v>89.41116324</v>
      </c>
      <c r="R59" s="312">
        <v>37.212148</v>
      </c>
      <c r="S59" s="312">
        <v>40.6372465</v>
      </c>
      <c r="T59" s="312">
        <f t="shared" si="2"/>
        <v>169.34658474</v>
      </c>
      <c r="U59" s="218"/>
      <c r="V59" s="322">
        <v>45536</v>
      </c>
      <c r="W59" s="312">
        <v>-3.26888312</v>
      </c>
      <c r="X59" s="312"/>
      <c r="Y59" s="329">
        <f>40.37889906-45</f>
        <v>-4.62110094</v>
      </c>
      <c r="Z59" s="312">
        <f>25.86583592+F161</f>
        <v>14.51515892</v>
      </c>
      <c r="AA59" s="312">
        <f t="shared" si="3"/>
        <v>6.62517486</v>
      </c>
      <c r="AB59" s="303"/>
      <c r="AC59" s="322">
        <v>45536</v>
      </c>
      <c r="AD59" s="312">
        <f t="shared" si="4"/>
        <v>390.54564632</v>
      </c>
      <c r="AE59" s="312">
        <f t="shared" si="5"/>
        <v>142.5874847</v>
      </c>
      <c r="AF59" s="312">
        <f t="shared" si="6"/>
        <v>520.517455179999</v>
      </c>
      <c r="AG59" s="312">
        <f t="shared" si="7"/>
        <v>663.27311722</v>
      </c>
      <c r="AH59" s="312">
        <f t="shared" si="8"/>
        <v>1716.92370342</v>
      </c>
      <c r="AI59" s="323">
        <f t="shared" si="9"/>
        <v>0</v>
      </c>
      <c r="AK59" s="336" t="s">
        <v>272</v>
      </c>
      <c r="AL59" s="337">
        <f>SUM(AD$51:AD59)</f>
        <v>4887.93960776</v>
      </c>
      <c r="AM59" s="337">
        <f>SUM(AE$51:AE59)</f>
        <v>426.2312899</v>
      </c>
      <c r="AN59" s="337">
        <f>SUM(AF$51:AF59)</f>
        <v>9862.81470753001</v>
      </c>
      <c r="AO59" s="337">
        <f>SUM(AG$51:AG59)</f>
        <v>6041.07276618001</v>
      </c>
      <c r="AP59" s="337">
        <f t="shared" si="10"/>
        <v>21218.05837137</v>
      </c>
      <c r="AQ59" s="205"/>
      <c r="AR59" s="336" t="s">
        <v>272</v>
      </c>
      <c r="AS59" s="351">
        <f t="shared" si="11"/>
        <v>0.230366960171785</v>
      </c>
      <c r="AT59" s="351">
        <f t="shared" si="12"/>
        <v>0.0200881382471415</v>
      </c>
      <c r="AU59" s="351">
        <f t="shared" si="13"/>
        <v>0.464831161028293</v>
      </c>
      <c r="AV59" s="351">
        <f t="shared" si="14"/>
        <v>0.284713740552781</v>
      </c>
      <c r="AW59" s="336">
        <f t="shared" si="15"/>
        <v>1</v>
      </c>
      <c r="AY59" s="295" t="s">
        <v>272</v>
      </c>
      <c r="AZ59" s="355">
        <v>2604.36850444</v>
      </c>
      <c r="BA59" s="355">
        <v>384.00378704</v>
      </c>
      <c r="BB59" s="355">
        <v>6215.40308541008</v>
      </c>
      <c r="BC59" s="355">
        <v>4864.53978798001</v>
      </c>
      <c r="BD59" s="355">
        <v>14068.3151648701</v>
      </c>
      <c r="BE59" s="357"/>
    </row>
    <row r="60" s="172" customFormat="1" spans="1:57">
      <c r="A60" s="291">
        <v>45566</v>
      </c>
      <c r="B60" s="312">
        <v>481.16857508</v>
      </c>
      <c r="C60" s="312">
        <v>-5.12177372000002</v>
      </c>
      <c r="D60" s="316">
        <f>94.8891446599999+投资公司!M17*1.06-F135</f>
        <v>145.78812866</v>
      </c>
      <c r="E60" s="316">
        <f>626.319999439999+F107</f>
        <v>682.384409439999</v>
      </c>
      <c r="F60" s="312">
        <f t="shared" si="0"/>
        <v>1304.21933946</v>
      </c>
      <c r="G60" s="317"/>
      <c r="H60" s="291">
        <v>45566</v>
      </c>
      <c r="I60" s="316">
        <v>79.75371582</v>
      </c>
      <c r="J60" s="312"/>
      <c r="K60" s="312">
        <f>596.0891441-936963.3/10000</f>
        <v>502.3928141</v>
      </c>
      <c r="L60" s="312">
        <v>86.40651056</v>
      </c>
      <c r="M60" s="312">
        <f t="shared" si="1"/>
        <v>668.55304048</v>
      </c>
      <c r="N60" s="218"/>
      <c r="O60" s="291">
        <v>45566</v>
      </c>
      <c r="P60" s="312">
        <v>10.15395094</v>
      </c>
      <c r="Q60" s="312">
        <v>33.7552283</v>
      </c>
      <c r="R60" s="312">
        <v>-19.96938876</v>
      </c>
      <c r="S60" s="312">
        <v>-5.03622006</v>
      </c>
      <c r="T60" s="312">
        <f t="shared" si="2"/>
        <v>18.90357042</v>
      </c>
      <c r="U60" s="218"/>
      <c r="V60" s="322">
        <v>45566</v>
      </c>
      <c r="W60" s="312">
        <v>0.0111883</v>
      </c>
      <c r="X60" s="312"/>
      <c r="Y60" s="312">
        <v>9.34398374</v>
      </c>
      <c r="Z60" s="312">
        <v>19.58251526</v>
      </c>
      <c r="AA60" s="312">
        <f t="shared" si="3"/>
        <v>28.9376873</v>
      </c>
      <c r="AB60" s="303"/>
      <c r="AC60" s="322">
        <v>45566</v>
      </c>
      <c r="AD60" s="312">
        <f t="shared" si="4"/>
        <v>571.08743014</v>
      </c>
      <c r="AE60" s="312">
        <f t="shared" si="5"/>
        <v>28.63345458</v>
      </c>
      <c r="AF60" s="312">
        <f t="shared" si="6"/>
        <v>637.55553774</v>
      </c>
      <c r="AG60" s="312">
        <f t="shared" si="7"/>
        <v>783.337215199999</v>
      </c>
      <c r="AH60" s="312">
        <f t="shared" si="8"/>
        <v>2020.61363766</v>
      </c>
      <c r="AI60" s="323">
        <f t="shared" si="9"/>
        <v>0</v>
      </c>
      <c r="AK60" s="336" t="s">
        <v>273</v>
      </c>
      <c r="AL60" s="337">
        <f>SUM(AD$51:AD60)</f>
        <v>5459.0270379</v>
      </c>
      <c r="AM60" s="337">
        <f>SUM(AE$51:AE60)</f>
        <v>454.86474448</v>
      </c>
      <c r="AN60" s="337">
        <f>SUM(AF$51:AF60)</f>
        <v>10500.37024527</v>
      </c>
      <c r="AO60" s="337">
        <f>SUM(AG$51:AG60)</f>
        <v>6824.40998138001</v>
      </c>
      <c r="AP60" s="337">
        <f t="shared" si="10"/>
        <v>23238.67200903</v>
      </c>
      <c r="AQ60" s="205"/>
      <c r="AR60" s="336" t="s">
        <v>273</v>
      </c>
      <c r="AS60" s="351">
        <f t="shared" si="11"/>
        <v>0.234911316609604</v>
      </c>
      <c r="AT60" s="351">
        <f t="shared" si="12"/>
        <v>0.0195736117925865</v>
      </c>
      <c r="AU60" s="351">
        <f t="shared" si="13"/>
        <v>0.451848980061761</v>
      </c>
      <c r="AV60" s="351">
        <f t="shared" si="14"/>
        <v>0.293666091536048</v>
      </c>
      <c r="AW60" s="336">
        <f t="shared" si="15"/>
        <v>1</v>
      </c>
      <c r="AY60" s="295" t="s">
        <v>273</v>
      </c>
      <c r="AZ60" s="355">
        <v>3085.53707952</v>
      </c>
      <c r="BA60" s="355">
        <v>378.88201332</v>
      </c>
      <c r="BB60" s="355">
        <v>6361.19121407008</v>
      </c>
      <c r="BC60" s="355">
        <v>5546.92419742</v>
      </c>
      <c r="BD60" s="355">
        <v>15372.5345043301</v>
      </c>
      <c r="BE60" s="357"/>
    </row>
    <row r="61" s="172" customFormat="1" spans="1:57">
      <c r="A61" s="291">
        <v>45597</v>
      </c>
      <c r="B61" s="312">
        <v>291.726229149999</v>
      </c>
      <c r="C61" s="312">
        <v>21.5412709666667</v>
      </c>
      <c r="D61" s="316">
        <f>-24.480571950007+投资公司!N17*1.06-F136</f>
        <v>178.182507969993</v>
      </c>
      <c r="E61" s="316">
        <f>401.581264689999+F108</f>
        <v>464.965871689999</v>
      </c>
      <c r="F61" s="312">
        <f t="shared" si="0"/>
        <v>956.415879776658</v>
      </c>
      <c r="G61" s="218"/>
      <c r="H61" s="291">
        <v>45597</v>
      </c>
      <c r="I61" s="312">
        <v>234.483605</v>
      </c>
      <c r="J61" s="312">
        <v>-6</v>
      </c>
      <c r="K61" s="312">
        <f>1002.69312856-195647.96/10000</f>
        <v>983.12833256</v>
      </c>
      <c r="L61" s="312">
        <v>54.723206</v>
      </c>
      <c r="M61" s="312">
        <f t="shared" si="1"/>
        <v>1266.33514356</v>
      </c>
      <c r="N61" s="218"/>
      <c r="O61" s="291">
        <v>45597</v>
      </c>
      <c r="P61" s="312">
        <v>6.0811246</v>
      </c>
      <c r="Q61" s="312">
        <v>71.1523092</v>
      </c>
      <c r="R61" s="312">
        <v>8.21462476</v>
      </c>
      <c r="S61" s="312">
        <v>36.36705558</v>
      </c>
      <c r="T61" s="312">
        <f t="shared" si="2"/>
        <v>121.81511414</v>
      </c>
      <c r="U61" s="218"/>
      <c r="V61" s="322">
        <v>45597</v>
      </c>
      <c r="W61" s="312"/>
      <c r="X61" s="312"/>
      <c r="Y61" s="312">
        <v>-286.42707956</v>
      </c>
      <c r="Z61" s="312">
        <v>36.44736012</v>
      </c>
      <c r="AA61" s="312">
        <f t="shared" si="3"/>
        <v>-249.97971944</v>
      </c>
      <c r="AB61" s="303"/>
      <c r="AC61" s="322">
        <v>45597</v>
      </c>
      <c r="AD61" s="312">
        <f t="shared" si="4"/>
        <v>532.290958749999</v>
      </c>
      <c r="AE61" s="312">
        <f t="shared" si="5"/>
        <v>86.6935801666667</v>
      </c>
      <c r="AF61" s="312">
        <f t="shared" si="6"/>
        <v>883.098385729993</v>
      </c>
      <c r="AG61" s="312">
        <f t="shared" si="7"/>
        <v>592.503493389999</v>
      </c>
      <c r="AH61" s="312">
        <f t="shared" si="8"/>
        <v>2094.58641803666</v>
      </c>
      <c r="AI61" s="323">
        <f t="shared" si="9"/>
        <v>0</v>
      </c>
      <c r="AK61" s="336" t="s">
        <v>274</v>
      </c>
      <c r="AL61" s="337">
        <f>SUM(AD$51:AD61)</f>
        <v>5991.31799665</v>
      </c>
      <c r="AM61" s="337">
        <f>SUM(AE$51:AE61)</f>
        <v>541.558324646667</v>
      </c>
      <c r="AN61" s="337">
        <f>SUM(AF$51:AF61)</f>
        <v>11383.468631</v>
      </c>
      <c r="AO61" s="337">
        <f>SUM(AG$51:AG61)</f>
        <v>7416.91347477001</v>
      </c>
      <c r="AP61" s="337">
        <f t="shared" si="10"/>
        <v>25333.2584270667</v>
      </c>
      <c r="AQ61" s="205"/>
      <c r="AR61" s="336" t="s">
        <v>274</v>
      </c>
      <c r="AS61" s="351">
        <f t="shared" si="11"/>
        <v>0.236500093894306</v>
      </c>
      <c r="AT61" s="351">
        <f t="shared" si="12"/>
        <v>0.0213773654978411</v>
      </c>
      <c r="AU61" s="351">
        <f t="shared" si="13"/>
        <v>0.449348774606808</v>
      </c>
      <c r="AV61" s="351">
        <f t="shared" si="14"/>
        <v>0.292773766001045</v>
      </c>
      <c r="AW61" s="336">
        <f t="shared" si="15"/>
        <v>1</v>
      </c>
      <c r="AY61" s="295" t="s">
        <v>274</v>
      </c>
      <c r="AZ61" s="355">
        <v>3377.26330867</v>
      </c>
      <c r="BA61" s="355">
        <v>400.423284286667</v>
      </c>
      <c r="BB61" s="355">
        <v>6539.37372204007</v>
      </c>
      <c r="BC61" s="355">
        <v>6011.89006911</v>
      </c>
      <c r="BD61" s="355">
        <v>16328.9503841067</v>
      </c>
      <c r="BE61" s="357"/>
    </row>
    <row r="62" s="172" customFormat="1" spans="1:57">
      <c r="A62" s="291">
        <v>45627</v>
      </c>
      <c r="B62" s="312">
        <f>371.8717705+346222.93/10000</f>
        <v>406.4940635</v>
      </c>
      <c r="C62" s="312">
        <v>2.45614119333334</v>
      </c>
      <c r="D62" s="312">
        <f>458.9408436+投资公司!O17*1.06-F137</f>
        <v>-46.4792534</v>
      </c>
      <c r="E62" s="312">
        <f>819.14869528+F109+4288989.56/10000-346222.93/10000</f>
        <v>1494.38451228</v>
      </c>
      <c r="F62" s="312">
        <f t="shared" si="0"/>
        <v>1856.85546357333</v>
      </c>
      <c r="G62" s="218"/>
      <c r="H62" s="291">
        <v>45627</v>
      </c>
      <c r="I62" s="312">
        <v>619.93376126</v>
      </c>
      <c r="J62" s="312">
        <v>0</v>
      </c>
      <c r="K62" s="312">
        <f>378.36381046-2336511.59/10000</f>
        <v>144.71265146</v>
      </c>
      <c r="L62" s="312">
        <v>65.60041716</v>
      </c>
      <c r="M62" s="312">
        <f t="shared" si="1"/>
        <v>830.24682988</v>
      </c>
      <c r="N62" s="218"/>
      <c r="O62" s="291">
        <v>45627</v>
      </c>
      <c r="P62" s="312">
        <v>17.67015654</v>
      </c>
      <c r="Q62" s="312">
        <v>-1.51872772000001</v>
      </c>
      <c r="R62" s="312">
        <v>12.09957034</v>
      </c>
      <c r="S62" s="312">
        <v>-3.38498704</v>
      </c>
      <c r="T62" s="312">
        <f t="shared" si="2"/>
        <v>24.86601212</v>
      </c>
      <c r="U62" s="218"/>
      <c r="V62" s="322">
        <v>45627</v>
      </c>
      <c r="W62" s="312">
        <v>-10.61320018</v>
      </c>
      <c r="X62" s="312">
        <v>0</v>
      </c>
      <c r="Y62" s="312">
        <f>-23.17473654+18.816861</f>
        <v>-4.35787554</v>
      </c>
      <c r="Z62" s="312">
        <f>475.38163334-4288989.56/10000</f>
        <v>46.4826773400001</v>
      </c>
      <c r="AA62" s="312">
        <f t="shared" si="3"/>
        <v>31.5116016200001</v>
      </c>
      <c r="AB62" s="303"/>
      <c r="AC62" s="322">
        <v>45627</v>
      </c>
      <c r="AD62" s="312">
        <f t="shared" si="4"/>
        <v>1033.48478112</v>
      </c>
      <c r="AE62" s="312">
        <f t="shared" si="5"/>
        <v>0.93741347333333</v>
      </c>
      <c r="AF62" s="312">
        <f t="shared" si="6"/>
        <v>105.97509286</v>
      </c>
      <c r="AG62" s="312">
        <f t="shared" si="7"/>
        <v>1603.08261974</v>
      </c>
      <c r="AH62" s="312">
        <f t="shared" si="8"/>
        <v>2743.47990719333</v>
      </c>
      <c r="AI62" s="323">
        <f t="shared" si="9"/>
        <v>0</v>
      </c>
      <c r="AK62" s="336" t="s">
        <v>275</v>
      </c>
      <c r="AL62" s="337">
        <f>SUM(AD$51:AD62)</f>
        <v>7024.80277777</v>
      </c>
      <c r="AM62" s="337">
        <f>SUM(AE$51:AE62)</f>
        <v>542.49573812</v>
      </c>
      <c r="AN62" s="337">
        <f>SUM(AF$51:AF62)</f>
        <v>11489.44372386</v>
      </c>
      <c r="AO62" s="337">
        <f>SUM(AG$51:AG62)</f>
        <v>9019.99609451001</v>
      </c>
      <c r="AP62" s="337">
        <f t="shared" si="10"/>
        <v>28076.73833426</v>
      </c>
      <c r="AQ62" s="205"/>
      <c r="AR62" s="336" t="s">
        <v>275</v>
      </c>
      <c r="AS62" s="351">
        <f t="shared" si="11"/>
        <v>0.250200101384217</v>
      </c>
      <c r="AT62" s="351">
        <f t="shared" si="12"/>
        <v>0.0193218931508875</v>
      </c>
      <c r="AU62" s="351">
        <f t="shared" si="13"/>
        <v>0.409215756726281</v>
      </c>
      <c r="AV62" s="351">
        <f t="shared" si="14"/>
        <v>0.321262248738614</v>
      </c>
      <c r="AW62" s="336">
        <f t="shared" si="15"/>
        <v>1</v>
      </c>
      <c r="AY62" s="295" t="s">
        <v>275</v>
      </c>
      <c r="AZ62" s="355">
        <v>3783.75737217</v>
      </c>
      <c r="BA62" s="355">
        <v>402.87942548</v>
      </c>
      <c r="BB62" s="355">
        <v>6921.79342464007</v>
      </c>
      <c r="BC62" s="355">
        <v>7506.27458139</v>
      </c>
      <c r="BD62" s="355">
        <v>18614.7048036801</v>
      </c>
      <c r="BE62" s="358"/>
    </row>
    <row r="63" spans="1:56">
      <c r="A63" s="293">
        <v>45658</v>
      </c>
      <c r="B63" s="313">
        <v>525.500437899999</v>
      </c>
      <c r="C63" s="313">
        <v>4.85622546000005</v>
      </c>
      <c r="D63" s="313">
        <f>271.944822900301-8.788175+77.701*1.06</f>
        <v>345.519707900301</v>
      </c>
      <c r="E63" s="313">
        <f>408.2218100801+106.281902-182241.39/10000</f>
        <v>496.2795730801</v>
      </c>
      <c r="F63" s="313">
        <f t="shared" si="0"/>
        <v>1372.1559443404</v>
      </c>
      <c r="H63" s="293">
        <v>45658</v>
      </c>
      <c r="I63" s="313">
        <v>114.639176</v>
      </c>
      <c r="J63" s="313">
        <v>2.38</v>
      </c>
      <c r="K63" s="313">
        <f>257.251687-124800/10000</f>
        <v>244.771687</v>
      </c>
      <c r="L63" s="313">
        <v>217.93886</v>
      </c>
      <c r="M63" s="313">
        <f t="shared" si="1"/>
        <v>579.729723</v>
      </c>
      <c r="O63" s="293">
        <v>45658</v>
      </c>
      <c r="P63" s="313">
        <v>-0.112906</v>
      </c>
      <c r="Q63" s="313">
        <f>0.543231999999995+182241.39/10000</f>
        <v>18.767371</v>
      </c>
      <c r="R63" s="313">
        <v>19.154495</v>
      </c>
      <c r="S63" s="313">
        <v>18.907038</v>
      </c>
      <c r="T63" s="313">
        <f t="shared" si="2"/>
        <v>56.715998</v>
      </c>
      <c r="V63" s="325">
        <v>45658</v>
      </c>
      <c r="W63" s="313">
        <v>4.41</v>
      </c>
      <c r="X63" s="313">
        <v>0</v>
      </c>
      <c r="Y63" s="313">
        <f>8.770525+8.788175</f>
        <v>17.5587</v>
      </c>
      <c r="Z63" s="313">
        <f>39.7792589999999+5.002708</f>
        <v>44.7819669999999</v>
      </c>
      <c r="AA63" s="313">
        <f t="shared" si="3"/>
        <v>66.7506669999999</v>
      </c>
      <c r="AC63" s="325">
        <v>45658</v>
      </c>
      <c r="AD63" s="313">
        <f t="shared" si="4"/>
        <v>644.436707899999</v>
      </c>
      <c r="AE63" s="313">
        <f t="shared" si="5"/>
        <v>26.00359646</v>
      </c>
      <c r="AF63" s="313">
        <f t="shared" si="6"/>
        <v>627.004589900301</v>
      </c>
      <c r="AG63" s="313">
        <f t="shared" si="7"/>
        <v>777.9074380801</v>
      </c>
      <c r="AH63" s="313">
        <f t="shared" ref="AH63:AH74" si="16">SUM(AD63:AG63)</f>
        <v>2075.3523323404</v>
      </c>
      <c r="AI63" s="338">
        <f t="shared" ref="AI63:AI74" si="17">F63+M63+T63+AA63-AH63</f>
        <v>0</v>
      </c>
      <c r="AK63" s="344" t="s">
        <v>276</v>
      </c>
      <c r="AL63" s="345">
        <f>AD63</f>
        <v>644.436707899999</v>
      </c>
      <c r="AM63" s="345">
        <f>AE63</f>
        <v>26.00359646</v>
      </c>
      <c r="AN63" s="345">
        <f>AF63</f>
        <v>627.004589900301</v>
      </c>
      <c r="AO63" s="345">
        <f>AG63</f>
        <v>777.9074380801</v>
      </c>
      <c r="AP63" s="345">
        <f t="shared" si="10"/>
        <v>2075.3523323404</v>
      </c>
      <c r="AR63" s="344" t="s">
        <v>276</v>
      </c>
      <c r="AS63" s="352">
        <f t="shared" si="11"/>
        <v>0.310519181662643</v>
      </c>
      <c r="AT63" s="352">
        <f t="shared" si="12"/>
        <v>0.0125297261842164</v>
      </c>
      <c r="AU63" s="352">
        <f t="shared" si="13"/>
        <v>0.302119587180274</v>
      </c>
      <c r="AV63" s="352">
        <f t="shared" si="14"/>
        <v>0.374831504972866</v>
      </c>
      <c r="AW63" s="344">
        <f t="shared" si="15"/>
        <v>1</v>
      </c>
      <c r="AY63" s="295" t="s">
        <v>276</v>
      </c>
      <c r="AZ63" s="159">
        <f>B63</f>
        <v>525.500437899999</v>
      </c>
      <c r="BA63" s="159">
        <f>C63</f>
        <v>4.85622546000005</v>
      </c>
      <c r="BB63" s="159">
        <f>D63</f>
        <v>345.519707900301</v>
      </c>
      <c r="BC63" s="159">
        <f>E63</f>
        <v>496.2795730801</v>
      </c>
      <c r="BD63" s="159">
        <f t="shared" ref="BD63:BD74" si="18">SUM(AZ63:BC63)</f>
        <v>1372.1559443404</v>
      </c>
    </row>
    <row r="64" spans="1:56">
      <c r="A64" s="293">
        <v>45689</v>
      </c>
      <c r="B64" s="313">
        <v>211.1978169</v>
      </c>
      <c r="C64" s="313">
        <f>47.5098533799999-394814.55/10000</f>
        <v>8.02839837999991</v>
      </c>
      <c r="D64" s="313">
        <f>356.409380439999-5.868618+6.228*1.06</f>
        <v>357.142442439999</v>
      </c>
      <c r="E64" s="313">
        <f>1192.72900207999+75.323061</f>
        <v>1268.05206307999</v>
      </c>
      <c r="F64" s="313">
        <f t="shared" si="0"/>
        <v>1844.42072079999</v>
      </c>
      <c r="H64" s="293">
        <v>45689</v>
      </c>
      <c r="I64" s="313">
        <v>203.548134</v>
      </c>
      <c r="J64" s="313">
        <v>0</v>
      </c>
      <c r="K64" s="313">
        <f>236.011835-18136.92/10000</f>
        <v>234.198143</v>
      </c>
      <c r="L64" s="313">
        <v>285.843947</v>
      </c>
      <c r="M64" s="313">
        <f t="shared" si="1"/>
        <v>723.590224</v>
      </c>
      <c r="O64" s="293">
        <v>45689</v>
      </c>
      <c r="P64" s="313">
        <v>33.092767</v>
      </c>
      <c r="Q64" s="313">
        <f>-21.862648+394814.55/10000</f>
        <v>17.618807</v>
      </c>
      <c r="R64" s="313">
        <v>17.964645</v>
      </c>
      <c r="S64" s="313">
        <v>45.612115</v>
      </c>
      <c r="T64" s="313">
        <f t="shared" si="2"/>
        <v>114.288334</v>
      </c>
      <c r="V64" s="325">
        <v>45689</v>
      </c>
      <c r="W64" s="313">
        <v>0.005</v>
      </c>
      <c r="X64" s="313">
        <v>-5.391768</v>
      </c>
      <c r="Y64" s="313">
        <f>73.49272206+5.868618</f>
        <v>79.36134006</v>
      </c>
      <c r="Z64" s="313">
        <v>28.5717929999999</v>
      </c>
      <c r="AA64" s="313">
        <f t="shared" si="3"/>
        <v>102.54636506</v>
      </c>
      <c r="AC64" s="325">
        <v>45689</v>
      </c>
      <c r="AD64" s="313">
        <f t="shared" si="4"/>
        <v>447.8437179</v>
      </c>
      <c r="AE64" s="313">
        <f t="shared" si="5"/>
        <v>20.2554373799999</v>
      </c>
      <c r="AF64" s="313">
        <f t="shared" si="6"/>
        <v>688.666570499999</v>
      </c>
      <c r="AG64" s="313">
        <f t="shared" si="7"/>
        <v>1628.07991807999</v>
      </c>
      <c r="AH64" s="313">
        <f t="shared" si="16"/>
        <v>2784.84564385999</v>
      </c>
      <c r="AI64" s="338">
        <f t="shared" si="17"/>
        <v>0</v>
      </c>
      <c r="AK64" s="344" t="s">
        <v>277</v>
      </c>
      <c r="AL64" s="345">
        <f>SUM(AD$63:AD64)</f>
        <v>1092.2804258</v>
      </c>
      <c r="AM64" s="345">
        <f>SUM(AE$63:AE64)</f>
        <v>46.2590338399999</v>
      </c>
      <c r="AN64" s="345">
        <f>SUM(AF$63:AF64)</f>
        <v>1315.6711604003</v>
      </c>
      <c r="AO64" s="345">
        <f>SUM(AG$63:AG64)</f>
        <v>2405.98735616009</v>
      </c>
      <c r="AP64" s="345">
        <f t="shared" si="10"/>
        <v>4860.19797620039</v>
      </c>
      <c r="AR64" s="344" t="s">
        <v>277</v>
      </c>
      <c r="AS64" s="352">
        <f t="shared" si="11"/>
        <v>0.224739903836988</v>
      </c>
      <c r="AT64" s="352">
        <f t="shared" si="12"/>
        <v>0.00951793199917431</v>
      </c>
      <c r="AU64" s="352">
        <f t="shared" si="13"/>
        <v>0.270703203211666</v>
      </c>
      <c r="AV64" s="352">
        <f t="shared" si="14"/>
        <v>0.495038960952172</v>
      </c>
      <c r="AW64" s="344">
        <f t="shared" si="15"/>
        <v>1</v>
      </c>
      <c r="AY64" s="295" t="s">
        <v>277</v>
      </c>
      <c r="AZ64" s="159">
        <f>SUM(B$63:B64)</f>
        <v>736.698254799999</v>
      </c>
      <c r="BA64" s="159">
        <f>SUM(C$63:C64)</f>
        <v>12.88462384</v>
      </c>
      <c r="BB64" s="159">
        <f>SUM(D$63:D64)</f>
        <v>702.6621503403</v>
      </c>
      <c r="BC64" s="159">
        <f>SUM(E$63:E64)</f>
        <v>1764.33163616009</v>
      </c>
      <c r="BD64" s="159">
        <f t="shared" si="18"/>
        <v>3216.57666514039</v>
      </c>
    </row>
    <row r="65" spans="1:56">
      <c r="A65" s="293">
        <v>45717</v>
      </c>
      <c r="B65" s="313">
        <v>168.2848631</v>
      </c>
      <c r="C65" s="313">
        <f>56.3907252888702-425994.61/10000</f>
        <v>13.7912642888702</v>
      </c>
      <c r="D65" s="313">
        <f>403.582820559998-1.629471+106.762*1.06</f>
        <v>515.121069559998</v>
      </c>
      <c r="E65" s="313">
        <f>835.010306639997+90.231406</f>
        <v>925.241712639997</v>
      </c>
      <c r="F65" s="313">
        <f t="shared" si="0"/>
        <v>1622.43890958887</v>
      </c>
      <c r="H65" s="293">
        <v>45717</v>
      </c>
      <c r="I65" s="313">
        <v>61.059851</v>
      </c>
      <c r="J65" s="313">
        <v>0</v>
      </c>
      <c r="K65" s="313">
        <f>303.407861-98335.39/10000</f>
        <v>293.574322</v>
      </c>
      <c r="L65" s="313">
        <v>108.659693</v>
      </c>
      <c r="M65" s="313">
        <f t="shared" si="1"/>
        <v>463.293866</v>
      </c>
      <c r="O65" s="293">
        <v>45717</v>
      </c>
      <c r="P65" s="313">
        <v>20.552338</v>
      </c>
      <c r="Q65" s="313">
        <f>-15.1281+425994.61/10000</f>
        <v>27.471361</v>
      </c>
      <c r="R65" s="313">
        <v>27.1996</v>
      </c>
      <c r="S65" s="313">
        <v>37.32281</v>
      </c>
      <c r="T65" s="313">
        <f t="shared" si="2"/>
        <v>112.546109</v>
      </c>
      <c r="V65" s="325">
        <v>45717</v>
      </c>
      <c r="W65" s="313">
        <v>-0.000193</v>
      </c>
      <c r="X65" s="313">
        <v>4.669564</v>
      </c>
      <c r="Y65" s="313">
        <f>46.8907816799999+1.629471</f>
        <v>48.5202526799999</v>
      </c>
      <c r="Z65" s="313">
        <f>28.34331734+14.885774</f>
        <v>43.22909134</v>
      </c>
      <c r="AA65" s="313">
        <f t="shared" si="3"/>
        <v>96.4187150199999</v>
      </c>
      <c r="AC65" s="325">
        <v>45717</v>
      </c>
      <c r="AD65" s="313">
        <f t="shared" si="4"/>
        <v>249.8968591</v>
      </c>
      <c r="AE65" s="313">
        <f t="shared" si="5"/>
        <v>45.9321892888702</v>
      </c>
      <c r="AF65" s="313">
        <f t="shared" si="6"/>
        <v>884.415244239998</v>
      </c>
      <c r="AG65" s="313">
        <f t="shared" si="7"/>
        <v>1114.45330698</v>
      </c>
      <c r="AH65" s="313">
        <f t="shared" si="16"/>
        <v>2294.69759960886</v>
      </c>
      <c r="AI65" s="338">
        <f t="shared" si="17"/>
        <v>0</v>
      </c>
      <c r="AK65" s="344" t="s">
        <v>278</v>
      </c>
      <c r="AL65" s="345">
        <f>SUM(AD$63:AD65)</f>
        <v>1342.1772849</v>
      </c>
      <c r="AM65" s="345">
        <f>SUM(AE$63:AE65)</f>
        <v>92.1912231288701</v>
      </c>
      <c r="AN65" s="345">
        <f>SUM(AF$63:AF65)</f>
        <v>2200.0864046403</v>
      </c>
      <c r="AO65" s="345">
        <f>SUM(AG$63:AG65)</f>
        <v>3520.44066314009</v>
      </c>
      <c r="AP65" s="345">
        <f t="shared" si="10"/>
        <v>7154.89557580925</v>
      </c>
      <c r="AR65" s="344" t="s">
        <v>278</v>
      </c>
      <c r="AS65" s="352">
        <f t="shared" si="11"/>
        <v>0.187588661592478</v>
      </c>
      <c r="AT65" s="352">
        <f t="shared" si="12"/>
        <v>0.0128850550161164</v>
      </c>
      <c r="AU65" s="352">
        <f t="shared" si="13"/>
        <v>0.307493852471978</v>
      </c>
      <c r="AV65" s="352">
        <f t="shared" si="14"/>
        <v>0.492032430919428</v>
      </c>
      <c r="AW65" s="344">
        <f t="shared" si="15"/>
        <v>1</v>
      </c>
      <c r="AY65" s="295" t="s">
        <v>278</v>
      </c>
      <c r="AZ65" s="159">
        <f>SUM(B$63:B65)</f>
        <v>904.983117899999</v>
      </c>
      <c r="BA65" s="159">
        <f>SUM(C$63:C65)</f>
        <v>26.6758881288702</v>
      </c>
      <c r="BB65" s="159">
        <f>SUM(D$63:D65)</f>
        <v>1217.7832199003</v>
      </c>
      <c r="BC65" s="159">
        <f>SUM(E$63:E65)</f>
        <v>2689.57334880009</v>
      </c>
      <c r="BD65" s="159">
        <f t="shared" si="18"/>
        <v>4839.01557472925</v>
      </c>
    </row>
    <row r="66" spans="1:56">
      <c r="A66" s="293">
        <v>45748</v>
      </c>
      <c r="B66" s="313">
        <f>185.02463302-415382.39/10000</f>
        <v>143.48639402</v>
      </c>
      <c r="C66" s="313">
        <f>107.4860914-902752.18/10000</f>
        <v>17.2108734</v>
      </c>
      <c r="D66" s="313">
        <f>412.312319099998-19061.99/10000+78.746*1.06</f>
        <v>493.876880099998</v>
      </c>
      <c r="E66" s="313">
        <f>470.715836299999+157.848355</f>
        <v>628.564191299999</v>
      </c>
      <c r="F66" s="313">
        <f t="shared" si="0"/>
        <v>1283.13833882</v>
      </c>
      <c r="H66" s="293">
        <v>45748</v>
      </c>
      <c r="I66" s="313">
        <v>39.682316</v>
      </c>
      <c r="J66" s="313">
        <v>0</v>
      </c>
      <c r="K66" s="313">
        <v>161.511252</v>
      </c>
      <c r="L66" s="313">
        <v>131.032704</v>
      </c>
      <c r="M66" s="313">
        <f t="shared" si="1"/>
        <v>332.226272</v>
      </c>
      <c r="O66" s="293">
        <v>45748</v>
      </c>
      <c r="P66" s="313">
        <v>28.17915024</v>
      </c>
      <c r="Q66" s="313">
        <f>-71.658775+902752.18/10000</f>
        <v>18.616443</v>
      </c>
      <c r="R66" s="313">
        <v>28.14972</v>
      </c>
      <c r="S66" s="313">
        <v>32.427734</v>
      </c>
      <c r="T66" s="313">
        <f t="shared" si="2"/>
        <v>107.37304724</v>
      </c>
      <c r="V66" s="325">
        <v>45748</v>
      </c>
      <c r="W66" s="313">
        <f>-41.536697+415382.39/10000</f>
        <v>0.0015420000000077</v>
      </c>
      <c r="X66" s="313">
        <v>-0.66146</v>
      </c>
      <c r="Y66" s="313">
        <f>33.6957195+19061.99/10000</f>
        <v>35.6019185</v>
      </c>
      <c r="Z66" s="313">
        <f>-0.178217999999986+27.716933</f>
        <v>27.538715</v>
      </c>
      <c r="AA66" s="313">
        <f t="shared" si="3"/>
        <v>62.4807155</v>
      </c>
      <c r="AC66" s="325">
        <v>45748</v>
      </c>
      <c r="AD66" s="313">
        <f t="shared" si="4"/>
        <v>211.34940226</v>
      </c>
      <c r="AE66" s="313">
        <f t="shared" si="5"/>
        <v>35.1658564</v>
      </c>
      <c r="AF66" s="313">
        <f t="shared" si="6"/>
        <v>719.139770599998</v>
      </c>
      <c r="AG66" s="313">
        <f t="shared" si="7"/>
        <v>819.563344299999</v>
      </c>
      <c r="AH66" s="313">
        <f t="shared" si="16"/>
        <v>1785.21837356</v>
      </c>
      <c r="AI66" s="338">
        <f t="shared" si="17"/>
        <v>0</v>
      </c>
      <c r="AK66" s="344" t="s">
        <v>279</v>
      </c>
      <c r="AL66" s="345">
        <f>SUM(AD$63:AD66)</f>
        <v>1553.52668716</v>
      </c>
      <c r="AM66" s="345">
        <f>SUM(AE$63:AE66)</f>
        <v>127.35707952887</v>
      </c>
      <c r="AN66" s="345">
        <f>SUM(AF$63:AF66)</f>
        <v>2919.2261752403</v>
      </c>
      <c r="AO66" s="345">
        <f>SUM(AG$63:AG66)</f>
        <v>4340.00400744009</v>
      </c>
      <c r="AP66" s="345">
        <f t="shared" si="10"/>
        <v>8940.11394936925</v>
      </c>
      <c r="AR66" s="344" t="s">
        <v>279</v>
      </c>
      <c r="AS66" s="352">
        <f t="shared" si="11"/>
        <v>0.173770345205679</v>
      </c>
      <c r="AT66" s="352">
        <f t="shared" si="12"/>
        <v>0.0142455767622353</v>
      </c>
      <c r="AU66" s="352">
        <f t="shared" si="13"/>
        <v>0.326531204386523</v>
      </c>
      <c r="AV66" s="352">
        <f t="shared" si="14"/>
        <v>0.485452873645563</v>
      </c>
      <c r="AW66" s="344">
        <f t="shared" si="15"/>
        <v>1</v>
      </c>
      <c r="AY66" s="295" t="s">
        <v>279</v>
      </c>
      <c r="AZ66" s="159">
        <f>SUM(B$63:B66)</f>
        <v>1048.46951192</v>
      </c>
      <c r="BA66" s="159">
        <f>SUM(C$63:C66)</f>
        <v>43.8867615288702</v>
      </c>
      <c r="BB66" s="159">
        <f>SUM(D$63:D66)</f>
        <v>1711.6601000003</v>
      </c>
      <c r="BC66" s="159">
        <f>SUM(E$63:E66)</f>
        <v>3318.13754010009</v>
      </c>
      <c r="BD66" s="159">
        <f t="shared" si="18"/>
        <v>6122.15391354925</v>
      </c>
    </row>
    <row r="67" spans="1:56">
      <c r="A67" s="293">
        <v>45778</v>
      </c>
      <c r="B67" s="313">
        <f>337.125527760007-167663.94/10000</f>
        <v>320.359133760007</v>
      </c>
      <c r="C67" s="313">
        <f>121.82181104-1022389.06/10000</f>
        <v>19.58290504</v>
      </c>
      <c r="D67" s="313">
        <f>463.452132820002-20988.87/10000+76.203*1.06</f>
        <v>542.128425820002</v>
      </c>
      <c r="E67" s="313">
        <f>379.751029177394+142.490671</f>
        <v>522.241700177394</v>
      </c>
      <c r="F67" s="313">
        <f t="shared" ref="F67:F74" si="19">SUM(B67:E67)</f>
        <v>1404.3121647974</v>
      </c>
      <c r="H67" s="293">
        <v>45778</v>
      </c>
      <c r="I67" s="313">
        <v>92.338256</v>
      </c>
      <c r="J67" s="313">
        <v>0</v>
      </c>
      <c r="K67" s="313">
        <v>451.37800638</v>
      </c>
      <c r="L67" s="313">
        <v>138.185756</v>
      </c>
      <c r="M67" s="313">
        <f t="shared" ref="M67:M74" si="20">SUM(I67:L67)</f>
        <v>681.90201838</v>
      </c>
      <c r="O67" s="293">
        <v>45778</v>
      </c>
      <c r="P67" s="313">
        <v>24.088439</v>
      </c>
      <c r="Q67" s="313">
        <f>-89.636541+1022389.06/10000</f>
        <v>12.602365</v>
      </c>
      <c r="R67" s="313">
        <v>38.219814</v>
      </c>
      <c r="S67" s="313">
        <v>47.769177</v>
      </c>
      <c r="T67" s="313">
        <f t="shared" ref="T67:T74" si="21">SUM(P67:S67)</f>
        <v>122.679795</v>
      </c>
      <c r="V67" s="325">
        <v>45778</v>
      </c>
      <c r="W67" s="313">
        <f>-15.900041+167663.94/10000</f>
        <v>0.866353000000002</v>
      </c>
      <c r="X67" s="313">
        <v>-0.756248</v>
      </c>
      <c r="Y67" s="313">
        <f>35.12088956+20988.87/10000</f>
        <v>37.21977656</v>
      </c>
      <c r="Z67" s="313">
        <f>-23.5137+30.013591</f>
        <v>6.499891</v>
      </c>
      <c r="AA67" s="313">
        <f t="shared" ref="AA67:AA74" si="22">SUM(W67:Z67)</f>
        <v>43.82977256</v>
      </c>
      <c r="AC67" s="325">
        <v>45778</v>
      </c>
      <c r="AD67" s="313">
        <f t="shared" ref="AD67:AD74" si="23">B67+I67+P67+W67</f>
        <v>437.652181760007</v>
      </c>
      <c r="AE67" s="313">
        <f t="shared" ref="AE67:AE74" si="24">C67+J67+Q67+X67</f>
        <v>31.42902204</v>
      </c>
      <c r="AF67" s="313">
        <f t="shared" ref="AF67:AF74" si="25">D67+K67+R67+Y67</f>
        <v>1068.94602276</v>
      </c>
      <c r="AG67" s="313">
        <f t="shared" ref="AG67:AG74" si="26">E67+L67+S67+Z67</f>
        <v>714.696524177394</v>
      </c>
      <c r="AH67" s="313">
        <f t="shared" si="16"/>
        <v>2252.7237507374</v>
      </c>
      <c r="AI67" s="338">
        <f t="shared" si="17"/>
        <v>0</v>
      </c>
      <c r="AK67" s="344" t="s">
        <v>280</v>
      </c>
      <c r="AL67" s="345">
        <f>SUM(AD$63:AD67)</f>
        <v>1991.17886892001</v>
      </c>
      <c r="AM67" s="345">
        <f>SUM(AE$63:AE67)</f>
        <v>158.78610156887</v>
      </c>
      <c r="AN67" s="345">
        <f>SUM(AF$63:AF67)</f>
        <v>3988.1721980003</v>
      </c>
      <c r="AO67" s="345">
        <f>SUM(AG$63:AG67)</f>
        <v>5054.70053161748</v>
      </c>
      <c r="AP67" s="345">
        <f t="shared" ref="AP67:AP74" si="27">SUM(AL67:AO67)</f>
        <v>11192.8377001067</v>
      </c>
      <c r="AR67" s="344" t="s">
        <v>280</v>
      </c>
      <c r="AS67" s="352">
        <f t="shared" ref="AS67:AS74" si="28">AL67/$AP67</f>
        <v>0.177897591501843</v>
      </c>
      <c r="AT67" s="352">
        <f t="shared" ref="AT67:AT74" si="29">AM67/$AP67</f>
        <v>0.0141864025748678</v>
      </c>
      <c r="AU67" s="352">
        <f t="shared" ref="AU67:AU74" si="30">AN67/$AP67</f>
        <v>0.356314663435377</v>
      </c>
      <c r="AV67" s="352">
        <f t="shared" ref="AV67:AV74" si="31">AO67/$AP67</f>
        <v>0.451601342487912</v>
      </c>
      <c r="AW67" s="344">
        <f t="shared" ref="AW67:AW74" si="32">SUM(AS67:AV67)</f>
        <v>1</v>
      </c>
      <c r="AY67" s="295" t="s">
        <v>280</v>
      </c>
      <c r="AZ67" s="159">
        <f>SUM(B$63:B67)</f>
        <v>1368.82864568001</v>
      </c>
      <c r="BA67" s="159">
        <f>SUM(C$63:C67)</f>
        <v>63.4696665688702</v>
      </c>
      <c r="BB67" s="159">
        <f>SUM(D$63:D67)</f>
        <v>2253.7885258203</v>
      </c>
      <c r="BC67" s="159">
        <f>SUM(E$63:E67)</f>
        <v>3840.37924027748</v>
      </c>
      <c r="BD67" s="159">
        <f t="shared" si="18"/>
        <v>7526.46607834666</v>
      </c>
    </row>
    <row r="68" spans="1:56">
      <c r="A68" s="293">
        <v>45809</v>
      </c>
      <c r="B68" s="313">
        <f>252.6577417+7.059*1.06</f>
        <v>260.1402817</v>
      </c>
      <c r="C68" s="313">
        <f>120.06902722-1058035.87/10000</f>
        <v>14.26544022</v>
      </c>
      <c r="D68" s="313">
        <f>586.411139780003-26969.04/10000-146.863*1.06</f>
        <v>428.039455780003</v>
      </c>
      <c r="E68" s="313">
        <f>709.769105799993+111.519347+377.647*1.06</f>
        <v>1221.59427279999</v>
      </c>
      <c r="F68" s="313">
        <f t="shared" si="19"/>
        <v>1924.03945049999</v>
      </c>
      <c r="H68" s="293">
        <v>45809</v>
      </c>
      <c r="I68" s="313">
        <v>39.862036</v>
      </c>
      <c r="J68" s="313">
        <v>0</v>
      </c>
      <c r="K68" s="313">
        <v>863.80231594</v>
      </c>
      <c r="L68" s="313">
        <v>162.126459</v>
      </c>
      <c r="M68" s="313">
        <f t="shared" si="20"/>
        <v>1065.79081094</v>
      </c>
      <c r="O68" s="293">
        <v>45809</v>
      </c>
      <c r="P68" s="313">
        <v>53.678596</v>
      </c>
      <c r="Q68" s="313">
        <f>-88.567046+1058035.87/10000</f>
        <v>17.236541</v>
      </c>
      <c r="R68" s="313">
        <v>13.044635</v>
      </c>
      <c r="S68" s="313">
        <v>36.940669</v>
      </c>
      <c r="T68" s="313">
        <f t="shared" si="21"/>
        <v>120.900441</v>
      </c>
      <c r="V68" s="325">
        <v>45809</v>
      </c>
      <c r="W68" s="313">
        <v>0.391074999999999</v>
      </c>
      <c r="X68" s="313">
        <v>0.3475802</v>
      </c>
      <c r="Y68" s="313">
        <f>31.98530504+26969.04/10000</f>
        <v>34.68220904</v>
      </c>
      <c r="Z68" s="313">
        <f>-11.726584+78.649476+38.674*1.06</f>
        <v>107.917332</v>
      </c>
      <c r="AA68" s="313">
        <f t="shared" si="22"/>
        <v>143.33819624</v>
      </c>
      <c r="AC68" s="325">
        <v>45809</v>
      </c>
      <c r="AD68" s="313">
        <f t="shared" si="23"/>
        <v>354.0719887</v>
      </c>
      <c r="AE68" s="313">
        <f t="shared" si="24"/>
        <v>31.84956142</v>
      </c>
      <c r="AF68" s="313">
        <f t="shared" si="25"/>
        <v>1339.56861576</v>
      </c>
      <c r="AG68" s="313">
        <f t="shared" si="26"/>
        <v>1528.57873279999</v>
      </c>
      <c r="AH68" s="313">
        <f t="shared" si="16"/>
        <v>3254.06889867999</v>
      </c>
      <c r="AI68" s="338">
        <f t="shared" si="17"/>
        <v>0</v>
      </c>
      <c r="AK68" s="344" t="s">
        <v>281</v>
      </c>
      <c r="AL68" s="345">
        <f>SUM(AD$63:AD68)</f>
        <v>2345.25085762001</v>
      </c>
      <c r="AM68" s="345">
        <f>SUM(AE$63:AE68)</f>
        <v>190.63566298887</v>
      </c>
      <c r="AN68" s="345">
        <f>SUM(AF$63:AF68)</f>
        <v>5327.7408137603</v>
      </c>
      <c r="AO68" s="345">
        <f>SUM(AG$63:AG68)</f>
        <v>6583.27926441747</v>
      </c>
      <c r="AP68" s="345">
        <f t="shared" si="27"/>
        <v>14446.9065987866</v>
      </c>
      <c r="AR68" s="344" t="s">
        <v>281</v>
      </c>
      <c r="AS68" s="352">
        <f t="shared" si="28"/>
        <v>0.162335849656353</v>
      </c>
      <c r="AT68" s="352">
        <f t="shared" si="29"/>
        <v>0.0131956043105367</v>
      </c>
      <c r="AU68" s="352">
        <f t="shared" si="30"/>
        <v>0.368780733600629</v>
      </c>
      <c r="AV68" s="352">
        <f t="shared" si="31"/>
        <v>0.455687812432482</v>
      </c>
      <c r="AW68" s="344">
        <f t="shared" si="32"/>
        <v>1</v>
      </c>
      <c r="AY68" s="295" t="s">
        <v>281</v>
      </c>
      <c r="AZ68" s="159">
        <f>SUM(B$63:B68)</f>
        <v>1628.96892738001</v>
      </c>
      <c r="BA68" s="159">
        <f>SUM(C$63:C68)</f>
        <v>77.7351067888701</v>
      </c>
      <c r="BB68" s="159">
        <f>SUM(D$63:D68)</f>
        <v>2681.8279816003</v>
      </c>
      <c r="BC68" s="159">
        <f>SUM(E$63:E68)</f>
        <v>5061.97351307747</v>
      </c>
      <c r="BD68" s="159">
        <f t="shared" si="18"/>
        <v>9450.50552884665</v>
      </c>
    </row>
    <row r="69" spans="1:56">
      <c r="A69" s="293">
        <v>45839</v>
      </c>
      <c r="B69" s="313">
        <f>301.497806749988-34.709*1.06</f>
        <v>264.706266749988</v>
      </c>
      <c r="C69" s="313">
        <f>171.21339278-1558835.58/10000</f>
        <v>15.32983478</v>
      </c>
      <c r="D69" s="313">
        <f>224.704715980007-4.518992+29.585013*1.06</f>
        <v>251.545837760007</v>
      </c>
      <c r="E69" s="313">
        <f>778.079314845597+164.754318+42.057*1.06</f>
        <v>987.414052845597</v>
      </c>
      <c r="F69" s="313">
        <f t="shared" si="19"/>
        <v>1518.99599213559</v>
      </c>
      <c r="H69" s="293">
        <v>45839</v>
      </c>
      <c r="I69" s="313">
        <v>44.674192</v>
      </c>
      <c r="J69" s="313">
        <v>0</v>
      </c>
      <c r="K69" s="313">
        <v>268.932996</v>
      </c>
      <c r="L69" s="313">
        <v>151.383505</v>
      </c>
      <c r="M69" s="313">
        <f t="shared" si="20"/>
        <v>464.990693</v>
      </c>
      <c r="O69" s="293">
        <v>45839</v>
      </c>
      <c r="P69" s="313">
        <v>-1.094226</v>
      </c>
      <c r="Q69" s="313">
        <f>-140.9378+1558835.58/10000</f>
        <v>14.945758</v>
      </c>
      <c r="R69" s="313">
        <v>18.211135</v>
      </c>
      <c r="S69" s="313">
        <v>46.41208</v>
      </c>
      <c r="T69" s="313">
        <f t="shared" si="21"/>
        <v>78.474747</v>
      </c>
      <c r="V69" s="325">
        <v>45839</v>
      </c>
      <c r="W69" s="313">
        <v>0</v>
      </c>
      <c r="X69" s="313">
        <v>0</v>
      </c>
      <c r="Y69" s="313">
        <f>77.090649+4.518992</f>
        <v>81.609641</v>
      </c>
      <c r="Z69" s="313">
        <f>-26.304129+41.56+2.672*1.06</f>
        <v>18.088191</v>
      </c>
      <c r="AA69" s="313">
        <f t="shared" si="22"/>
        <v>99.697832</v>
      </c>
      <c r="AC69" s="325">
        <v>45839</v>
      </c>
      <c r="AD69" s="313">
        <f t="shared" si="23"/>
        <v>308.286232749988</v>
      </c>
      <c r="AE69" s="313">
        <f t="shared" si="24"/>
        <v>30.27559278</v>
      </c>
      <c r="AF69" s="313">
        <f t="shared" si="25"/>
        <v>620.299609760007</v>
      </c>
      <c r="AG69" s="313">
        <f t="shared" si="26"/>
        <v>1203.2978288456</v>
      </c>
      <c r="AH69" s="313">
        <f t="shared" si="16"/>
        <v>2162.15926413559</v>
      </c>
      <c r="AI69" s="338">
        <f t="shared" si="17"/>
        <v>0</v>
      </c>
      <c r="AK69" s="344" t="s">
        <v>282</v>
      </c>
      <c r="AL69" s="345">
        <f>SUM(AD$63:AD69)</f>
        <v>2653.53709036999</v>
      </c>
      <c r="AM69" s="345">
        <f>SUM(AE$63:AE69)</f>
        <v>220.91125576887</v>
      </c>
      <c r="AN69" s="345">
        <f>SUM(AF$63:AF69)</f>
        <v>5948.04042352031</v>
      </c>
      <c r="AO69" s="345">
        <f>SUM(AG$63:AG69)</f>
        <v>7786.57709326307</v>
      </c>
      <c r="AP69" s="345">
        <f t="shared" si="27"/>
        <v>16609.0658629222</v>
      </c>
      <c r="AR69" s="344" t="s">
        <v>282</v>
      </c>
      <c r="AS69" s="352">
        <f t="shared" si="28"/>
        <v>0.159764378819985</v>
      </c>
      <c r="AT69" s="352">
        <f t="shared" si="29"/>
        <v>0.0133006430097931</v>
      </c>
      <c r="AU69" s="352">
        <f t="shared" si="30"/>
        <v>0.358120105766972</v>
      </c>
      <c r="AV69" s="352">
        <f t="shared" si="31"/>
        <v>0.46881487240325</v>
      </c>
      <c r="AW69" s="344">
        <f t="shared" si="32"/>
        <v>1</v>
      </c>
      <c r="AY69" s="295" t="s">
        <v>282</v>
      </c>
      <c r="AZ69" s="159">
        <f>SUM(B$63:B69)</f>
        <v>1893.67519412999</v>
      </c>
      <c r="BA69" s="159">
        <f>SUM(C$63:C69)</f>
        <v>93.0649415688702</v>
      </c>
      <c r="BB69" s="159">
        <f>SUM(D$63:D69)</f>
        <v>2933.37381936031</v>
      </c>
      <c r="BC69" s="159">
        <f>SUM(E$63:E69)</f>
        <v>6049.38756592307</v>
      </c>
      <c r="BD69" s="159">
        <f t="shared" si="18"/>
        <v>10969.5015209822</v>
      </c>
    </row>
    <row r="70" spans="1:56">
      <c r="A70" s="293">
        <v>45870</v>
      </c>
      <c r="B70" s="313"/>
      <c r="C70" s="313"/>
      <c r="D70" s="313"/>
      <c r="E70" s="313"/>
      <c r="F70" s="313">
        <f t="shared" si="19"/>
        <v>0</v>
      </c>
      <c r="H70" s="293">
        <v>45870</v>
      </c>
      <c r="I70" s="313"/>
      <c r="J70" s="313"/>
      <c r="K70" s="313"/>
      <c r="L70" s="313"/>
      <c r="M70" s="313">
        <f t="shared" si="20"/>
        <v>0</v>
      </c>
      <c r="O70" s="293">
        <v>45870</v>
      </c>
      <c r="P70" s="313"/>
      <c r="Q70" s="313"/>
      <c r="R70" s="313"/>
      <c r="S70" s="313"/>
      <c r="T70" s="313">
        <f t="shared" si="21"/>
        <v>0</v>
      </c>
      <c r="V70" s="325">
        <v>45870</v>
      </c>
      <c r="W70" s="313"/>
      <c r="X70" s="313"/>
      <c r="Y70" s="313"/>
      <c r="Z70" s="313"/>
      <c r="AA70" s="313">
        <f t="shared" si="22"/>
        <v>0</v>
      </c>
      <c r="AC70" s="325">
        <v>45870</v>
      </c>
      <c r="AD70" s="313">
        <f t="shared" si="23"/>
        <v>0</v>
      </c>
      <c r="AE70" s="313">
        <f t="shared" si="24"/>
        <v>0</v>
      </c>
      <c r="AF70" s="313">
        <f t="shared" si="25"/>
        <v>0</v>
      </c>
      <c r="AG70" s="313">
        <f t="shared" si="26"/>
        <v>0</v>
      </c>
      <c r="AH70" s="313">
        <f t="shared" si="16"/>
        <v>0</v>
      </c>
      <c r="AI70" s="338">
        <f t="shared" si="17"/>
        <v>0</v>
      </c>
      <c r="AK70" s="344" t="s">
        <v>283</v>
      </c>
      <c r="AL70" s="345"/>
      <c r="AM70" s="345"/>
      <c r="AN70" s="345"/>
      <c r="AO70" s="345"/>
      <c r="AP70" s="345">
        <f t="shared" si="27"/>
        <v>0</v>
      </c>
      <c r="AR70" s="344" t="s">
        <v>283</v>
      </c>
      <c r="AS70" s="352" t="e">
        <f t="shared" si="28"/>
        <v>#DIV/0!</v>
      </c>
      <c r="AT70" s="352" t="e">
        <f t="shared" si="29"/>
        <v>#DIV/0!</v>
      </c>
      <c r="AU70" s="352" t="e">
        <f t="shared" si="30"/>
        <v>#DIV/0!</v>
      </c>
      <c r="AV70" s="352" t="e">
        <f t="shared" si="31"/>
        <v>#DIV/0!</v>
      </c>
      <c r="AW70" s="344" t="e">
        <f t="shared" si="32"/>
        <v>#DIV/0!</v>
      </c>
      <c r="AY70" s="295" t="s">
        <v>283</v>
      </c>
      <c r="AZ70" s="159">
        <f>SUM(B$63:B70)</f>
        <v>1893.67519412999</v>
      </c>
      <c r="BA70" s="159">
        <f>SUM(C$63:C70)</f>
        <v>93.0649415688702</v>
      </c>
      <c r="BB70" s="159">
        <f>SUM(D$63:D70)</f>
        <v>2933.37381936031</v>
      </c>
      <c r="BC70" s="159">
        <f>SUM(E$63:E70)</f>
        <v>6049.38756592307</v>
      </c>
      <c r="BD70" s="159">
        <f t="shared" si="18"/>
        <v>10969.5015209822</v>
      </c>
    </row>
    <row r="71" spans="1:56">
      <c r="A71" s="293">
        <v>45901</v>
      </c>
      <c r="B71" s="313"/>
      <c r="C71" s="313"/>
      <c r="D71" s="313"/>
      <c r="E71" s="313"/>
      <c r="F71" s="313">
        <f t="shared" si="19"/>
        <v>0</v>
      </c>
      <c r="H71" s="293">
        <v>45901</v>
      </c>
      <c r="I71" s="313"/>
      <c r="J71" s="313"/>
      <c r="K71" s="313"/>
      <c r="L71" s="313"/>
      <c r="M71" s="313">
        <f t="shared" si="20"/>
        <v>0</v>
      </c>
      <c r="O71" s="293">
        <v>45901</v>
      </c>
      <c r="P71" s="313"/>
      <c r="Q71" s="313"/>
      <c r="R71" s="313"/>
      <c r="S71" s="313"/>
      <c r="T71" s="313">
        <f t="shared" si="21"/>
        <v>0</v>
      </c>
      <c r="V71" s="325">
        <v>45901</v>
      </c>
      <c r="W71" s="313"/>
      <c r="X71" s="313"/>
      <c r="Y71" s="313"/>
      <c r="Z71" s="313"/>
      <c r="AA71" s="313">
        <f t="shared" si="22"/>
        <v>0</v>
      </c>
      <c r="AC71" s="325">
        <v>45901</v>
      </c>
      <c r="AD71" s="313">
        <f t="shared" si="23"/>
        <v>0</v>
      </c>
      <c r="AE71" s="313">
        <f t="shared" si="24"/>
        <v>0</v>
      </c>
      <c r="AF71" s="313">
        <f t="shared" si="25"/>
        <v>0</v>
      </c>
      <c r="AG71" s="313">
        <f t="shared" si="26"/>
        <v>0</v>
      </c>
      <c r="AH71" s="313">
        <f t="shared" si="16"/>
        <v>0</v>
      </c>
      <c r="AI71" s="338">
        <f t="shared" si="17"/>
        <v>0</v>
      </c>
      <c r="AK71" s="344" t="s">
        <v>284</v>
      </c>
      <c r="AL71" s="345"/>
      <c r="AM71" s="345"/>
      <c r="AN71" s="345"/>
      <c r="AO71" s="345"/>
      <c r="AP71" s="345">
        <f t="shared" si="27"/>
        <v>0</v>
      </c>
      <c r="AR71" s="344" t="s">
        <v>284</v>
      </c>
      <c r="AS71" s="352" t="e">
        <f t="shared" si="28"/>
        <v>#DIV/0!</v>
      </c>
      <c r="AT71" s="352" t="e">
        <f t="shared" si="29"/>
        <v>#DIV/0!</v>
      </c>
      <c r="AU71" s="352" t="e">
        <f t="shared" si="30"/>
        <v>#DIV/0!</v>
      </c>
      <c r="AV71" s="352" t="e">
        <f t="shared" si="31"/>
        <v>#DIV/0!</v>
      </c>
      <c r="AW71" s="344" t="e">
        <f t="shared" si="32"/>
        <v>#DIV/0!</v>
      </c>
      <c r="AY71" s="295" t="s">
        <v>284</v>
      </c>
      <c r="AZ71" s="159">
        <f>SUM(B$63:B71)</f>
        <v>1893.67519412999</v>
      </c>
      <c r="BA71" s="159">
        <f>SUM(C$63:C71)</f>
        <v>93.0649415688702</v>
      </c>
      <c r="BB71" s="159">
        <f>SUM(D$63:D71)</f>
        <v>2933.37381936031</v>
      </c>
      <c r="BC71" s="159">
        <f>SUM(E$63:E71)</f>
        <v>6049.38756592307</v>
      </c>
      <c r="BD71" s="159">
        <f t="shared" si="18"/>
        <v>10969.5015209822</v>
      </c>
    </row>
    <row r="72" spans="1:56">
      <c r="A72" s="293">
        <v>45931</v>
      </c>
      <c r="B72" s="313"/>
      <c r="C72" s="313"/>
      <c r="D72" s="313"/>
      <c r="E72" s="313"/>
      <c r="F72" s="313">
        <f t="shared" si="19"/>
        <v>0</v>
      </c>
      <c r="H72" s="293">
        <v>45931</v>
      </c>
      <c r="I72" s="313"/>
      <c r="J72" s="313"/>
      <c r="K72" s="313"/>
      <c r="L72" s="313"/>
      <c r="M72" s="313">
        <f t="shared" si="20"/>
        <v>0</v>
      </c>
      <c r="O72" s="293">
        <v>45931</v>
      </c>
      <c r="P72" s="313"/>
      <c r="Q72" s="313"/>
      <c r="R72" s="313"/>
      <c r="S72" s="313"/>
      <c r="T72" s="313">
        <f t="shared" si="21"/>
        <v>0</v>
      </c>
      <c r="V72" s="325">
        <v>45931</v>
      </c>
      <c r="W72" s="313"/>
      <c r="X72" s="313"/>
      <c r="Y72" s="313"/>
      <c r="Z72" s="313"/>
      <c r="AA72" s="313">
        <f t="shared" si="22"/>
        <v>0</v>
      </c>
      <c r="AC72" s="325">
        <v>45931</v>
      </c>
      <c r="AD72" s="313">
        <f t="shared" si="23"/>
        <v>0</v>
      </c>
      <c r="AE72" s="313">
        <f t="shared" si="24"/>
        <v>0</v>
      </c>
      <c r="AF72" s="313">
        <f t="shared" si="25"/>
        <v>0</v>
      </c>
      <c r="AG72" s="313">
        <f t="shared" si="26"/>
        <v>0</v>
      </c>
      <c r="AH72" s="313">
        <f t="shared" si="16"/>
        <v>0</v>
      </c>
      <c r="AI72" s="338">
        <f t="shared" si="17"/>
        <v>0</v>
      </c>
      <c r="AK72" s="344" t="s">
        <v>285</v>
      </c>
      <c r="AL72" s="345"/>
      <c r="AM72" s="345"/>
      <c r="AN72" s="345"/>
      <c r="AO72" s="345"/>
      <c r="AP72" s="345">
        <f t="shared" si="27"/>
        <v>0</v>
      </c>
      <c r="AR72" s="344" t="s">
        <v>285</v>
      </c>
      <c r="AS72" s="352" t="e">
        <f t="shared" si="28"/>
        <v>#DIV/0!</v>
      </c>
      <c r="AT72" s="352" t="e">
        <f t="shared" si="29"/>
        <v>#DIV/0!</v>
      </c>
      <c r="AU72" s="352" t="e">
        <f t="shared" si="30"/>
        <v>#DIV/0!</v>
      </c>
      <c r="AV72" s="352" t="e">
        <f t="shared" si="31"/>
        <v>#DIV/0!</v>
      </c>
      <c r="AW72" s="344" t="e">
        <f t="shared" si="32"/>
        <v>#DIV/0!</v>
      </c>
      <c r="AY72" s="295" t="s">
        <v>285</v>
      </c>
      <c r="AZ72" s="159">
        <f>SUM(B$63:B72)</f>
        <v>1893.67519412999</v>
      </c>
      <c r="BA72" s="159">
        <f>SUM(C$63:C72)</f>
        <v>93.0649415688702</v>
      </c>
      <c r="BB72" s="159">
        <f>SUM(D$63:D72)</f>
        <v>2933.37381936031</v>
      </c>
      <c r="BC72" s="159">
        <f>SUM(E$63:E72)</f>
        <v>6049.38756592307</v>
      </c>
      <c r="BD72" s="159">
        <f t="shared" si="18"/>
        <v>10969.5015209822</v>
      </c>
    </row>
    <row r="73" spans="1:56">
      <c r="A73" s="293">
        <v>45962</v>
      </c>
      <c r="B73" s="313"/>
      <c r="C73" s="313"/>
      <c r="D73" s="313"/>
      <c r="E73" s="313"/>
      <c r="F73" s="313">
        <f t="shared" si="19"/>
        <v>0</v>
      </c>
      <c r="H73" s="293">
        <v>45962</v>
      </c>
      <c r="I73" s="313"/>
      <c r="J73" s="313"/>
      <c r="K73" s="313"/>
      <c r="L73" s="313"/>
      <c r="M73" s="313">
        <f t="shared" si="20"/>
        <v>0</v>
      </c>
      <c r="O73" s="293">
        <v>45962</v>
      </c>
      <c r="P73" s="313"/>
      <c r="Q73" s="313"/>
      <c r="R73" s="313"/>
      <c r="S73" s="313"/>
      <c r="T73" s="313">
        <f t="shared" si="21"/>
        <v>0</v>
      </c>
      <c r="V73" s="325">
        <v>45962</v>
      </c>
      <c r="W73" s="313"/>
      <c r="X73" s="313"/>
      <c r="Y73" s="313"/>
      <c r="Z73" s="313"/>
      <c r="AA73" s="313">
        <f t="shared" si="22"/>
        <v>0</v>
      </c>
      <c r="AC73" s="325">
        <v>45962</v>
      </c>
      <c r="AD73" s="313">
        <f t="shared" si="23"/>
        <v>0</v>
      </c>
      <c r="AE73" s="313">
        <f t="shared" si="24"/>
        <v>0</v>
      </c>
      <c r="AF73" s="313">
        <f t="shared" si="25"/>
        <v>0</v>
      </c>
      <c r="AG73" s="313">
        <f t="shared" si="26"/>
        <v>0</v>
      </c>
      <c r="AH73" s="313">
        <f t="shared" si="16"/>
        <v>0</v>
      </c>
      <c r="AI73" s="338">
        <f t="shared" si="17"/>
        <v>0</v>
      </c>
      <c r="AK73" s="344" t="s">
        <v>286</v>
      </c>
      <c r="AL73" s="345"/>
      <c r="AM73" s="345"/>
      <c r="AN73" s="345"/>
      <c r="AO73" s="345"/>
      <c r="AP73" s="345">
        <f t="shared" si="27"/>
        <v>0</v>
      </c>
      <c r="AR73" s="344" t="s">
        <v>286</v>
      </c>
      <c r="AS73" s="352" t="e">
        <f t="shared" si="28"/>
        <v>#DIV/0!</v>
      </c>
      <c r="AT73" s="352" t="e">
        <f t="shared" si="29"/>
        <v>#DIV/0!</v>
      </c>
      <c r="AU73" s="352" t="e">
        <f t="shared" si="30"/>
        <v>#DIV/0!</v>
      </c>
      <c r="AV73" s="352" t="e">
        <f t="shared" si="31"/>
        <v>#DIV/0!</v>
      </c>
      <c r="AW73" s="344" t="e">
        <f t="shared" si="32"/>
        <v>#DIV/0!</v>
      </c>
      <c r="AY73" s="295" t="s">
        <v>286</v>
      </c>
      <c r="AZ73" s="159">
        <f>SUM(B$63:B73)</f>
        <v>1893.67519412999</v>
      </c>
      <c r="BA73" s="159">
        <f>SUM(C$63:C73)</f>
        <v>93.0649415688702</v>
      </c>
      <c r="BB73" s="159">
        <f>SUM(D$63:D73)</f>
        <v>2933.37381936031</v>
      </c>
      <c r="BC73" s="159">
        <f>SUM(E$63:E73)</f>
        <v>6049.38756592307</v>
      </c>
      <c r="BD73" s="159">
        <f t="shared" si="18"/>
        <v>10969.5015209822</v>
      </c>
    </row>
    <row r="74" spans="1:56">
      <c r="A74" s="293">
        <v>45992</v>
      </c>
      <c r="B74" s="313"/>
      <c r="C74" s="313"/>
      <c r="D74" s="313"/>
      <c r="E74" s="313"/>
      <c r="F74" s="313">
        <f t="shared" si="19"/>
        <v>0</v>
      </c>
      <c r="H74" s="293">
        <v>45992</v>
      </c>
      <c r="I74" s="313"/>
      <c r="J74" s="313"/>
      <c r="K74" s="313"/>
      <c r="L74" s="313"/>
      <c r="M74" s="313">
        <f t="shared" si="20"/>
        <v>0</v>
      </c>
      <c r="O74" s="293">
        <v>45992</v>
      </c>
      <c r="P74" s="313"/>
      <c r="Q74" s="313"/>
      <c r="R74" s="313"/>
      <c r="S74" s="313"/>
      <c r="T74" s="313">
        <f t="shared" si="21"/>
        <v>0</v>
      </c>
      <c r="V74" s="325">
        <v>45992</v>
      </c>
      <c r="W74" s="313"/>
      <c r="X74" s="313"/>
      <c r="Y74" s="313"/>
      <c r="Z74" s="313"/>
      <c r="AA74" s="313">
        <f t="shared" si="22"/>
        <v>0</v>
      </c>
      <c r="AC74" s="325">
        <v>45992</v>
      </c>
      <c r="AD74" s="313">
        <f t="shared" si="23"/>
        <v>0</v>
      </c>
      <c r="AE74" s="313">
        <f t="shared" si="24"/>
        <v>0</v>
      </c>
      <c r="AF74" s="313">
        <f t="shared" si="25"/>
        <v>0</v>
      </c>
      <c r="AG74" s="313">
        <f t="shared" si="26"/>
        <v>0</v>
      </c>
      <c r="AH74" s="313">
        <f t="shared" si="16"/>
        <v>0</v>
      </c>
      <c r="AI74" s="338">
        <f t="shared" si="17"/>
        <v>0</v>
      </c>
      <c r="AK74" s="344" t="s">
        <v>287</v>
      </c>
      <c r="AL74" s="345"/>
      <c r="AM74" s="345"/>
      <c r="AN74" s="345"/>
      <c r="AO74" s="345"/>
      <c r="AP74" s="345">
        <f t="shared" si="27"/>
        <v>0</v>
      </c>
      <c r="AR74" s="344" t="s">
        <v>287</v>
      </c>
      <c r="AS74" s="352" t="e">
        <f t="shared" si="28"/>
        <v>#DIV/0!</v>
      </c>
      <c r="AT74" s="352" t="e">
        <f t="shared" si="29"/>
        <v>#DIV/0!</v>
      </c>
      <c r="AU74" s="352" t="e">
        <f t="shared" si="30"/>
        <v>#DIV/0!</v>
      </c>
      <c r="AV74" s="352" t="e">
        <f t="shared" si="31"/>
        <v>#DIV/0!</v>
      </c>
      <c r="AW74" s="344" t="e">
        <f t="shared" si="32"/>
        <v>#DIV/0!</v>
      </c>
      <c r="AY74" s="295" t="s">
        <v>287</v>
      </c>
      <c r="AZ74" s="159">
        <f>SUM(B$63:B74)</f>
        <v>1893.67519412999</v>
      </c>
      <c r="BA74" s="159">
        <f>SUM(C$63:C74)</f>
        <v>93.0649415688702</v>
      </c>
      <c r="BB74" s="159">
        <f>SUM(D$63:D74)</f>
        <v>2933.37381936031</v>
      </c>
      <c r="BC74" s="159">
        <f>SUM(E$63:E74)</f>
        <v>6049.38756592307</v>
      </c>
      <c r="BD74" s="159">
        <f t="shared" si="18"/>
        <v>10969.5015209822</v>
      </c>
    </row>
    <row r="75" spans="2:35">
      <c r="B75" s="244"/>
      <c r="C75" s="244"/>
      <c r="D75" s="244"/>
      <c r="E75" s="244"/>
      <c r="F75" s="244"/>
      <c r="I75" s="244"/>
      <c r="J75" s="244"/>
      <c r="K75" s="244"/>
      <c r="L75" s="244"/>
      <c r="M75" s="244"/>
      <c r="P75" s="244"/>
      <c r="Q75" s="244"/>
      <c r="R75" s="244"/>
      <c r="S75" s="244"/>
      <c r="T75" s="244"/>
      <c r="X75" s="130"/>
      <c r="AC75" s="265"/>
      <c r="AF75" s="130"/>
      <c r="AG75" s="130"/>
      <c r="AH75" s="130"/>
      <c r="AI75" s="130"/>
    </row>
    <row r="76" spans="6:22">
      <c r="F76" s="130"/>
      <c r="G76" s="359"/>
      <c r="M76" s="244"/>
      <c r="T76" s="244"/>
      <c r="U76" s="303"/>
      <c r="V76" s="269"/>
    </row>
    <row r="77" hidden="1" spans="1:27">
      <c r="A77" s="1" t="s">
        <v>288</v>
      </c>
      <c r="B77" s="244">
        <f>SUM(B3:B14)</f>
        <v>11016.1564315</v>
      </c>
      <c r="C77" s="244">
        <f>SUM(C3:C14)</f>
        <v>5016.42353264181</v>
      </c>
      <c r="D77" s="244">
        <f>SUM(D3:D14)</f>
        <v>15657.1634593403</v>
      </c>
      <c r="E77" s="244">
        <f>SUM(E3:E14)</f>
        <v>2569.45423738001</v>
      </c>
      <c r="F77" s="244">
        <f t="shared" ref="F77:F82" si="33">SUM(B77:E77)</f>
        <v>34259.1976608621</v>
      </c>
      <c r="G77" s="360">
        <f>F77/AP14</f>
        <v>0.926060632754564</v>
      </c>
      <c r="H77" s="1" t="s">
        <v>288</v>
      </c>
      <c r="I77" s="244">
        <f>SUM(I3:I14)</f>
        <v>8.58125438</v>
      </c>
      <c r="J77" s="244">
        <f>SUM(J3:J14)</f>
        <v>1.009014</v>
      </c>
      <c r="K77" s="244">
        <f>SUM(K3:K14)</f>
        <v>2110.70617228</v>
      </c>
      <c r="L77" s="244">
        <f>SUM(L3:L14)</f>
        <v>3.31298018</v>
      </c>
      <c r="M77" s="244">
        <f t="shared" ref="M77:M82" si="34">SUM(I77:L77)</f>
        <v>2123.60942084</v>
      </c>
      <c r="O77" s="1" t="s">
        <v>288</v>
      </c>
      <c r="P77" s="244">
        <f>SUM(P3:P14)</f>
        <v>0</v>
      </c>
      <c r="Q77" s="244">
        <f>SUM(Q3:Q14)</f>
        <v>0</v>
      </c>
      <c r="R77" s="244">
        <f>SUM(R3:R14)</f>
        <v>0</v>
      </c>
      <c r="S77" s="244">
        <f>SUM(S3:S14)</f>
        <v>163.55479774</v>
      </c>
      <c r="T77" s="244">
        <f>SUM(P77:S77)</f>
        <v>163.55479774</v>
      </c>
      <c r="V77" s="265" t="s">
        <v>288</v>
      </c>
      <c r="W77" s="130">
        <f>SUM(W3:W14)</f>
        <v>448.1895021</v>
      </c>
      <c r="X77" s="130">
        <f>SUM(X3:X14)</f>
        <v>0</v>
      </c>
      <c r="Y77" s="130">
        <f>SUM(Y3:Y14)</f>
        <v>0</v>
      </c>
      <c r="Z77" s="130">
        <f>SUM(Z3:Z14)</f>
        <v>0</v>
      </c>
      <c r="AA77" s="130">
        <f t="shared" ref="AA77:AA82" si="35">SUM(W77:Z77)</f>
        <v>448.1895021</v>
      </c>
    </row>
    <row r="78" hidden="1" spans="1:27">
      <c r="A78" s="1" t="s">
        <v>289</v>
      </c>
      <c r="B78" s="244">
        <f>SUM(B15:B26)</f>
        <v>3848.20067738</v>
      </c>
      <c r="C78" s="244">
        <f>SUM(C15:C26)</f>
        <v>8619.90948808049</v>
      </c>
      <c r="D78" s="244">
        <f>SUM(D15:D26)</f>
        <v>20521.3895454599</v>
      </c>
      <c r="E78" s="244">
        <f>SUM(E15:E26)</f>
        <v>3734.47541982</v>
      </c>
      <c r="F78" s="244">
        <f t="shared" si="33"/>
        <v>36723.9751307404</v>
      </c>
      <c r="G78" s="360">
        <f>F78/AP26</f>
        <v>0.846112861603038</v>
      </c>
      <c r="H78" s="1" t="s">
        <v>289</v>
      </c>
      <c r="I78" s="244">
        <f>SUM(I15:I26)</f>
        <v>2722.98372844</v>
      </c>
      <c r="J78" s="244">
        <f>SUM(J15:J26)</f>
        <v>0</v>
      </c>
      <c r="K78" s="244">
        <f>SUM(K15:K26)</f>
        <v>3137.18629896</v>
      </c>
      <c r="L78" s="244">
        <f>SUM(L15:L26)</f>
        <v>70.62352396</v>
      </c>
      <c r="M78" s="244">
        <f t="shared" si="34"/>
        <v>5930.79355136</v>
      </c>
      <c r="N78" s="361">
        <f>M78/AP26</f>
        <v>0.136644268096063</v>
      </c>
      <c r="O78" s="1" t="s">
        <v>289</v>
      </c>
      <c r="P78" s="244">
        <f>SUM(P15:P26)</f>
        <v>8.3293104</v>
      </c>
      <c r="Q78" s="244">
        <f>SUM(Q15:Q26)</f>
        <v>0</v>
      </c>
      <c r="R78" s="244">
        <f>SUM(R15:R26)</f>
        <v>1.2940003</v>
      </c>
      <c r="S78" s="244">
        <f>SUM(S15:S26)</f>
        <v>434.565921</v>
      </c>
      <c r="T78" s="244">
        <f>SUM(P78:S78)</f>
        <v>444.1892317</v>
      </c>
      <c r="V78" s="265" t="s">
        <v>289</v>
      </c>
      <c r="W78" s="244">
        <f>SUM(W15:W26)</f>
        <v>260.81847066</v>
      </c>
      <c r="X78" s="244">
        <f>SUM(X15:X26)</f>
        <v>0</v>
      </c>
      <c r="Y78" s="244">
        <f>SUM(Y15:Y26)</f>
        <v>0</v>
      </c>
      <c r="Z78" s="244">
        <f>SUM(Z15:Z26)</f>
        <v>43.3874218</v>
      </c>
      <c r="AA78" s="244">
        <f t="shared" si="35"/>
        <v>304.20589246</v>
      </c>
    </row>
    <row r="79" hidden="1" spans="1:27">
      <c r="A79" s="1" t="s">
        <v>290</v>
      </c>
      <c r="B79" s="244">
        <f>SUM(B27:B38)</f>
        <v>5120.25547699995</v>
      </c>
      <c r="C79" s="244">
        <f>SUM(C27:C38)</f>
        <v>3161.85101725999</v>
      </c>
      <c r="D79" s="244">
        <f>SUM(D27:D38)</f>
        <v>24161.6966739002</v>
      </c>
      <c r="E79" s="244">
        <f>SUM(E27:E38)</f>
        <v>5295.18940154</v>
      </c>
      <c r="F79" s="244">
        <f t="shared" si="33"/>
        <v>37738.9925697001</v>
      </c>
      <c r="G79" s="360"/>
      <c r="H79" s="1" t="s">
        <v>290</v>
      </c>
      <c r="I79" s="244">
        <f>SUM(I27:I38)</f>
        <v>1891.33500638</v>
      </c>
      <c r="J79" s="244">
        <f>SUM(J27:J38)</f>
        <v>56.53813796</v>
      </c>
      <c r="K79" s="244">
        <f>SUM(K27:K38)</f>
        <v>3540.64548278</v>
      </c>
      <c r="L79" s="244">
        <f>SUM(L27:L38)</f>
        <v>113.0574649</v>
      </c>
      <c r="M79" s="244">
        <f t="shared" si="34"/>
        <v>5601.57609202</v>
      </c>
      <c r="N79" s="361"/>
      <c r="O79" s="1" t="s">
        <v>290</v>
      </c>
      <c r="P79" s="244">
        <f>SUM(P27:P38)</f>
        <v>-1.38957944</v>
      </c>
      <c r="Q79" s="244">
        <f>SUM(Q27:Q38)</f>
        <v>0</v>
      </c>
      <c r="R79" s="244">
        <f>SUM(R27:R38)</f>
        <v>105.31838396</v>
      </c>
      <c r="S79" s="244">
        <f>SUM(S27:S38)</f>
        <v>-1.27178194000042</v>
      </c>
      <c r="T79" s="244">
        <f>SUM(T27:T38)</f>
        <v>102.65702258</v>
      </c>
      <c r="V79" s="265" t="s">
        <v>290</v>
      </c>
      <c r="W79" s="244">
        <f>SUM(W27:W38)</f>
        <v>89.64676566</v>
      </c>
      <c r="X79" s="244">
        <f>SUM(X27:X38)</f>
        <v>-3</v>
      </c>
      <c r="Y79" s="244">
        <f>SUM(Y27:Y38)</f>
        <v>-33.37338674</v>
      </c>
      <c r="Z79" s="244">
        <f>SUM(Z27:Z38)</f>
        <v>23.62491918</v>
      </c>
      <c r="AA79" s="244">
        <f t="shared" si="35"/>
        <v>76.8982981</v>
      </c>
    </row>
    <row r="80" spans="1:27">
      <c r="A80" s="1" t="s">
        <v>291</v>
      </c>
      <c r="B80" s="244">
        <f>SUM(B39:B45)</f>
        <v>3568.11032814</v>
      </c>
      <c r="C80" s="244">
        <f>SUM(C39:C45)</f>
        <v>881.5276993</v>
      </c>
      <c r="D80" s="244">
        <f>SUM(D39:D45)</f>
        <v>11837.46194898</v>
      </c>
      <c r="E80" s="244">
        <f>SUM(E39:E45)</f>
        <v>5364.48985516</v>
      </c>
      <c r="F80" s="244">
        <f t="shared" si="33"/>
        <v>21651.58983158</v>
      </c>
      <c r="G80" s="360"/>
      <c r="H80" s="1" t="s">
        <v>291</v>
      </c>
      <c r="I80" s="244">
        <f>SUM(I39:I45)</f>
        <v>1101.68615678</v>
      </c>
      <c r="J80" s="244">
        <f>SUM(J39:J45)</f>
        <v>70.04869232</v>
      </c>
      <c r="K80" s="244">
        <f>SUM(K39:K45)</f>
        <v>1805.71566674</v>
      </c>
      <c r="L80" s="244">
        <f>SUM(L39:L45)</f>
        <v>120.70749894</v>
      </c>
      <c r="M80" s="244">
        <f t="shared" si="34"/>
        <v>3098.15801478</v>
      </c>
      <c r="N80" s="361"/>
      <c r="O80" s="1" t="s">
        <v>291</v>
      </c>
      <c r="P80" s="244">
        <f>SUM(P39:P45)</f>
        <v>114.64340536</v>
      </c>
      <c r="Q80" s="244">
        <f>SUM(Q39:Q45)</f>
        <v>0</v>
      </c>
      <c r="R80" s="244">
        <f>SUM(R39:R45)</f>
        <v>26.16087208</v>
      </c>
      <c r="S80" s="244">
        <f>SUM(S39:S45)</f>
        <v>-12.1841952399997</v>
      </c>
      <c r="T80" s="244">
        <f>SUM(P80:S80)</f>
        <v>128.6200822</v>
      </c>
      <c r="V80" s="265" t="s">
        <v>291</v>
      </c>
      <c r="W80" s="244">
        <f>SUM(W39:W45)</f>
        <v>15.75649084</v>
      </c>
      <c r="X80" s="244">
        <f>SUM(X39:X45)</f>
        <v>0</v>
      </c>
      <c r="Y80" s="244">
        <f>SUM(Y39:Y45)</f>
        <v>-99.06336922</v>
      </c>
      <c r="Z80" s="244">
        <f>SUM(Z39:Z45)</f>
        <v>101.60660116</v>
      </c>
      <c r="AA80" s="244">
        <f t="shared" si="35"/>
        <v>18.29972278</v>
      </c>
    </row>
    <row r="81" spans="1:34">
      <c r="A81" s="1" t="s">
        <v>292</v>
      </c>
      <c r="B81" s="244">
        <f>SUM(B51:B57)</f>
        <v>1988.25447968</v>
      </c>
      <c r="C81" s="244">
        <f>SUM(C51:C57)</f>
        <v>314.9907179</v>
      </c>
      <c r="D81" s="244">
        <f>SUM(D51:D57)</f>
        <v>5393.55460389008</v>
      </c>
      <c r="E81" s="244">
        <f>SUM(E51:E57)</f>
        <v>3730.06787472001</v>
      </c>
      <c r="F81" s="244">
        <f t="shared" si="33"/>
        <v>11426.8676761901</v>
      </c>
      <c r="G81" s="360"/>
      <c r="H81" s="1" t="s">
        <v>292</v>
      </c>
      <c r="I81" s="244">
        <f>SUM(I51:I57)</f>
        <v>1786.02557446</v>
      </c>
      <c r="J81" s="244">
        <f>SUM(J51:J57)</f>
        <v>-4.99444</v>
      </c>
      <c r="K81" s="244">
        <f>SUM(K51:K57)</f>
        <v>2433.576671</v>
      </c>
      <c r="L81" s="244">
        <f>SUM(L51:L57)</f>
        <v>402.25301934</v>
      </c>
      <c r="M81" s="244">
        <f t="shared" si="34"/>
        <v>4616.8608248</v>
      </c>
      <c r="N81" s="361"/>
      <c r="O81" s="1" t="s">
        <v>292</v>
      </c>
      <c r="P81" s="244">
        <f>SUM(P51:P57)</f>
        <v>221.9145092</v>
      </c>
      <c r="Q81" s="244">
        <f>SUM(Q51:Q57)</f>
        <v>-36.4343998199999</v>
      </c>
      <c r="R81" s="244">
        <f>SUM(R51:R57)</f>
        <v>-43.45238018</v>
      </c>
      <c r="S81" s="244">
        <f>SUM(S51:S57)</f>
        <v>-11.41288432</v>
      </c>
      <c r="T81" s="244">
        <f>SUM(P81:S81)</f>
        <v>130.61484488</v>
      </c>
      <c r="V81" s="265" t="s">
        <v>292</v>
      </c>
      <c r="W81" s="244">
        <f>SUM(W51:W57)</f>
        <v>-19.09728452</v>
      </c>
      <c r="X81" s="244">
        <f>SUM(X51:X57)</f>
        <v>0</v>
      </c>
      <c r="Y81" s="244">
        <f>SUM(Y51:Y57)</f>
        <v>197.70597908</v>
      </c>
      <c r="Z81" s="244">
        <f>SUM(Z51:Z57)</f>
        <v>507.655245820002</v>
      </c>
      <c r="AA81" s="244">
        <f t="shared" si="35"/>
        <v>686.263940380002</v>
      </c>
      <c r="AH81" s="159"/>
    </row>
    <row r="82" spans="1:42">
      <c r="A82" s="1" t="s">
        <v>293</v>
      </c>
      <c r="B82" s="244">
        <f>SUM(B63:B74)</f>
        <v>1893.67519412999</v>
      </c>
      <c r="C82" s="244">
        <f>SUM(C63:C74)</f>
        <v>93.0649415688702</v>
      </c>
      <c r="D82" s="244">
        <f>SUM(D63:D74)</f>
        <v>2933.37381936031</v>
      </c>
      <c r="E82" s="244">
        <f>SUM(E63:E74)</f>
        <v>6049.38756592307</v>
      </c>
      <c r="F82" s="244">
        <f t="shared" si="33"/>
        <v>10969.5015209822</v>
      </c>
      <c r="G82" s="360"/>
      <c r="H82" s="1" t="s">
        <v>293</v>
      </c>
      <c r="I82" s="244">
        <f>SUM(I63:I74)</f>
        <v>595.803961</v>
      </c>
      <c r="J82" s="244">
        <f>SUM(J63:J74)</f>
        <v>2.38</v>
      </c>
      <c r="K82" s="244">
        <f>SUM(K63:K74)</f>
        <v>2518.16872232</v>
      </c>
      <c r="L82" s="244">
        <f>SUM(L63:L74)</f>
        <v>1195.170924</v>
      </c>
      <c r="M82" s="244">
        <f t="shared" si="34"/>
        <v>4311.52360732</v>
      </c>
      <c r="N82" s="361"/>
      <c r="O82" s="1" t="s">
        <v>293</v>
      </c>
      <c r="P82" s="244">
        <f>SUM(P63:P74)</f>
        <v>158.38415824</v>
      </c>
      <c r="Q82" s="244">
        <f>SUM(Q63:Q74)</f>
        <v>127.258646</v>
      </c>
      <c r="R82" s="244">
        <f>SUM(R63:R74)</f>
        <v>161.944044</v>
      </c>
      <c r="S82" s="244">
        <f>SUM(S63:S74)</f>
        <v>265.391623</v>
      </c>
      <c r="T82" s="244">
        <f>SUM(P82:S82)</f>
        <v>712.97847124</v>
      </c>
      <c r="V82" s="1" t="s">
        <v>293</v>
      </c>
      <c r="W82" s="244">
        <f>SUM(W63:W74)</f>
        <v>5.67377700000001</v>
      </c>
      <c r="X82" s="244">
        <f>SUM(X63:X74)</f>
        <v>-1.7923318</v>
      </c>
      <c r="Y82" s="244">
        <f>SUM(Y63:Y74)</f>
        <v>334.55383784</v>
      </c>
      <c r="Z82" s="244">
        <f>SUM(Z63:Z74)</f>
        <v>276.62698034</v>
      </c>
      <c r="AA82" s="244">
        <f t="shared" si="35"/>
        <v>615.06226338</v>
      </c>
      <c r="AH82" s="159"/>
      <c r="AK82" s="218" t="s">
        <v>88</v>
      </c>
      <c r="AL82" s="361">
        <f>AL69/$AP$69</f>
        <v>0.159764378819985</v>
      </c>
      <c r="AM82" s="361">
        <f>AM69/$AP$69</f>
        <v>0.0133006430097931</v>
      </c>
      <c r="AN82" s="361">
        <f>AN69/$AP$69</f>
        <v>0.358120105766972</v>
      </c>
      <c r="AO82" s="361">
        <f>AO69/$AP$69</f>
        <v>0.46881487240325</v>
      </c>
      <c r="AP82" s="361">
        <f>AP69/$AP$69</f>
        <v>1</v>
      </c>
    </row>
    <row r="83" spans="1:48">
      <c r="A83" s="1" t="s">
        <v>88</v>
      </c>
      <c r="B83" s="148">
        <f>B82/F82</f>
        <v>0.17263092497939</v>
      </c>
      <c r="C83" s="148">
        <f>C82/F82</f>
        <v>0.00848397180043755</v>
      </c>
      <c r="D83" s="148">
        <f>D82/F82</f>
        <v>0.267411770147386</v>
      </c>
      <c r="E83" s="148">
        <f>E82/F82</f>
        <v>0.551473333072786</v>
      </c>
      <c r="H83" s="1" t="s">
        <v>88</v>
      </c>
      <c r="I83" s="148">
        <f>I82/M82</f>
        <v>0.138188727527424</v>
      </c>
      <c r="J83" s="148">
        <f>J82/M82</f>
        <v>0.000552009038280411</v>
      </c>
      <c r="K83" s="148">
        <f>K82/M82</f>
        <v>0.584055417914149</v>
      </c>
      <c r="L83" s="148">
        <f>L82/M82</f>
        <v>0.277203845520147</v>
      </c>
      <c r="O83" s="1" t="s">
        <v>88</v>
      </c>
      <c r="P83" s="148">
        <f>P82/T82</f>
        <v>0.222144376904594</v>
      </c>
      <c r="Q83" s="148">
        <f>Q82/T82</f>
        <v>0.178488763873436</v>
      </c>
      <c r="R83" s="148">
        <f>R82/T82</f>
        <v>0.227137354818512</v>
      </c>
      <c r="S83" s="148">
        <f>S82/T82</f>
        <v>0.372229504403458</v>
      </c>
      <c r="V83" s="265" t="s">
        <v>88</v>
      </c>
      <c r="W83" s="148">
        <f>W82/AA82</f>
        <v>0.00922471973621087</v>
      </c>
      <c r="X83" s="148">
        <f>X82/AA82</f>
        <v>-0.00291406562670657</v>
      </c>
      <c r="Y83" s="148">
        <f>Y82/AA82</f>
        <v>0.543934911567327</v>
      </c>
      <c r="Z83" s="148">
        <f>Z82/AA82</f>
        <v>0.449754434323169</v>
      </c>
      <c r="AA83" s="1"/>
      <c r="AK83" s="218" t="s">
        <v>300</v>
      </c>
      <c r="AL83" s="304">
        <f>AL69-AL57</f>
        <v>-1323.56018845001</v>
      </c>
      <c r="AM83" s="304">
        <f>AM69-AM57</f>
        <v>-52.6506223111299</v>
      </c>
      <c r="AN83" s="304">
        <f>AN69-AN57</f>
        <v>-2033.34445026978</v>
      </c>
      <c r="AO83" s="304">
        <f>AO69-AO57</f>
        <v>3158.01383770306</v>
      </c>
      <c r="AP83" s="304">
        <f>AP69-AP57</f>
        <v>-251.541423327857</v>
      </c>
      <c r="AS83" s="205">
        <f>AS62-AS50</f>
        <v>0.0755913376490044</v>
      </c>
      <c r="AT83" s="205">
        <f>AT62-AT50</f>
        <v>-0.0194486946051921</v>
      </c>
      <c r="AU83" s="205">
        <f>AU62-AU50</f>
        <v>-0.128707279466009</v>
      </c>
      <c r="AV83" s="205">
        <f>AV62-AV50</f>
        <v>0.0725646364221967</v>
      </c>
    </row>
    <row r="84" spans="1:43">
      <c r="A84" s="1" t="s">
        <v>300</v>
      </c>
      <c r="B84" s="244">
        <f>B82-B81</f>
        <v>-94.579285550006</v>
      </c>
      <c r="C84" s="244">
        <f>C82-C81</f>
        <v>-221.92577633113</v>
      </c>
      <c r="D84" s="244">
        <f>D82-D81</f>
        <v>-2460.18078452978</v>
      </c>
      <c r="E84" s="244">
        <f>E82-E81</f>
        <v>2319.31969120306</v>
      </c>
      <c r="F84" s="244">
        <f>SUM(B84:E84)</f>
        <v>-457.366155207854</v>
      </c>
      <c r="G84" s="360"/>
      <c r="H84" s="1" t="s">
        <v>300</v>
      </c>
      <c r="I84" s="244">
        <f>I82-I81</f>
        <v>-1190.22161346</v>
      </c>
      <c r="J84" s="244">
        <f>J82-J81</f>
        <v>7.37444</v>
      </c>
      <c r="K84" s="244">
        <f>K82-K81</f>
        <v>84.5920513199999</v>
      </c>
      <c r="L84" s="244">
        <f>L82-L81</f>
        <v>792.91790466</v>
      </c>
      <c r="M84" s="244">
        <f>M82-M81</f>
        <v>-305.33721748</v>
      </c>
      <c r="N84" s="16"/>
      <c r="O84" s="1" t="s">
        <v>300</v>
      </c>
      <c r="P84" s="244">
        <f>P82-P81</f>
        <v>-63.53035096</v>
      </c>
      <c r="Q84" s="244">
        <f>Q82-Q81</f>
        <v>163.69304582</v>
      </c>
      <c r="R84" s="244">
        <f>R82-R81</f>
        <v>205.39642418</v>
      </c>
      <c r="S84" s="244">
        <f>S82-S81</f>
        <v>276.80450732</v>
      </c>
      <c r="T84" s="244">
        <f>T82-T81</f>
        <v>582.36362636</v>
      </c>
      <c r="V84" s="265" t="s">
        <v>300</v>
      </c>
      <c r="W84" s="244">
        <f>W82-W81</f>
        <v>24.77106152</v>
      </c>
      <c r="X84" s="244">
        <f>X82-X81</f>
        <v>-1.7923318</v>
      </c>
      <c r="Y84" s="244">
        <f>Y82-Y81</f>
        <v>136.84785876</v>
      </c>
      <c r="Z84" s="244">
        <f>Z82-Z81</f>
        <v>-231.028265480002</v>
      </c>
      <c r="AA84" s="244">
        <f>AA82-AA81</f>
        <v>-71.2016770000022</v>
      </c>
      <c r="AF84" s="130"/>
      <c r="AG84" s="130"/>
      <c r="AH84" s="130"/>
      <c r="AK84" s="218" t="s">
        <v>43</v>
      </c>
      <c r="AL84" s="300">
        <f>AL83/AL57</f>
        <v>-0.332795527908914</v>
      </c>
      <c r="AM84" s="300">
        <f>AM83/AM57</f>
        <v>-0.192463301833791</v>
      </c>
      <c r="AN84" s="300">
        <f>AN83/AN57</f>
        <v>-0.254760856971957</v>
      </c>
      <c r="AO84" s="300">
        <f>AO83/AO57</f>
        <v>0.682288145011204</v>
      </c>
      <c r="AP84" s="300">
        <f>AP83/AP57</f>
        <v>-0.0149188827577397</v>
      </c>
      <c r="AQ84" s="287"/>
    </row>
    <row r="85" spans="1:43">
      <c r="A85" s="1" t="s">
        <v>43</v>
      </c>
      <c r="B85" s="148">
        <f>B84/B81</f>
        <v>-0.0475690041272927</v>
      </c>
      <c r="C85" s="148">
        <f>C84/C81</f>
        <v>-0.704547034943374</v>
      </c>
      <c r="D85" s="148">
        <f>D84/D81</f>
        <v>-0.456133471376257</v>
      </c>
      <c r="E85" s="148">
        <f>E84/E81</f>
        <v>0.621790211090234</v>
      </c>
      <c r="F85" s="148">
        <f>F84/F81</f>
        <v>-0.0400255055163418</v>
      </c>
      <c r="G85" s="361"/>
      <c r="H85" s="148"/>
      <c r="I85" s="148">
        <f>I84/I81</f>
        <v>-0.66640793417522</v>
      </c>
      <c r="J85" s="148">
        <f>J84/J81</f>
        <v>-1.47652990125019</v>
      </c>
      <c r="K85" s="148">
        <f>K84/K81</f>
        <v>0.0347603806068865</v>
      </c>
      <c r="L85" s="148">
        <f>L84/L81</f>
        <v>1.97119192780948</v>
      </c>
      <c r="M85" s="148">
        <f>M84/M81</f>
        <v>-0.0661352440688369</v>
      </c>
      <c r="O85" s="1" t="s">
        <v>43</v>
      </c>
      <c r="P85" s="148">
        <f>P84/P81</f>
        <v>-0.286282997849155</v>
      </c>
      <c r="Q85" s="148">
        <f>Q84/Q81</f>
        <v>-4.49281576281501</v>
      </c>
      <c r="R85" s="148">
        <f>R84/R81</f>
        <v>-4.72693148980913</v>
      </c>
      <c r="S85" s="148">
        <f>S84/S81</f>
        <v>-24.2536855328435</v>
      </c>
      <c r="T85" s="148">
        <f>T84/T81</f>
        <v>4.45863276027342</v>
      </c>
      <c r="U85" s="361"/>
      <c r="V85" s="265" t="s">
        <v>43</v>
      </c>
      <c r="W85" s="148">
        <f>W84/W81</f>
        <v>-1.29709862645959</v>
      </c>
      <c r="X85" s="148" t="e">
        <f>X84/X81</f>
        <v>#DIV/0!</v>
      </c>
      <c r="Y85" s="148">
        <f>Y84/Y81</f>
        <v>0.692178655379085</v>
      </c>
      <c r="Z85" s="148">
        <f>Z84/Z81</f>
        <v>-0.455088896218985</v>
      </c>
      <c r="AA85" s="148">
        <f>AA84/AA81</f>
        <v>-0.103752612967798</v>
      </c>
      <c r="AK85" s="218"/>
      <c r="AL85" s="300"/>
      <c r="AM85" s="300"/>
      <c r="AN85" s="300"/>
      <c r="AO85" s="300"/>
      <c r="AP85" s="205"/>
      <c r="AQ85" s="287"/>
    </row>
    <row r="86" spans="9:43">
      <c r="I86" s="244"/>
      <c r="AK86" s="218"/>
      <c r="AL86" s="300"/>
      <c r="AM86" s="300"/>
      <c r="AN86" s="300"/>
      <c r="AO86" s="300"/>
      <c r="AP86" s="205"/>
      <c r="AQ86" s="287"/>
    </row>
    <row r="87" spans="2:43">
      <c r="B87" s="235"/>
      <c r="C87" s="231"/>
      <c r="D87" s="235"/>
      <c r="E87" s="362"/>
      <c r="F87" s="130"/>
      <c r="M87" s="2"/>
      <c r="N87" s="16"/>
      <c r="T87" s="2"/>
      <c r="AL87" s="287"/>
      <c r="AM87" s="287"/>
      <c r="AN87" s="287"/>
      <c r="AO87" s="287"/>
      <c r="AQ87" s="287"/>
    </row>
    <row r="88" spans="3:42">
      <c r="C88" s="231"/>
      <c r="F88" s="130"/>
      <c r="M88" s="2"/>
      <c r="S88" s="303"/>
      <c r="T88" s="16"/>
      <c r="V88" s="372"/>
      <c r="W88" s="303"/>
      <c r="X88" s="218"/>
      <c r="Y88" s="303"/>
      <c r="Z88" s="303"/>
      <c r="AA88" s="303"/>
      <c r="AL88" s="382"/>
      <c r="AM88" s="382"/>
      <c r="AN88" s="382"/>
      <c r="AO88" s="384" t="s">
        <v>332</v>
      </c>
      <c r="AP88" s="304">
        <v>14714.6705184</v>
      </c>
    </row>
    <row r="89" spans="1:41">
      <c r="A89" s="1" t="s">
        <v>84</v>
      </c>
      <c r="B89" s="363" t="s">
        <v>333</v>
      </c>
      <c r="C89" s="363" t="s">
        <v>334</v>
      </c>
      <c r="D89" s="363" t="s">
        <v>335</v>
      </c>
      <c r="E89" s="363" t="s">
        <v>336</v>
      </c>
      <c r="F89" s="1" t="s">
        <v>304</v>
      </c>
      <c r="H89" s="218"/>
      <c r="I89" s="303"/>
      <c r="J89" s="303" t="s">
        <v>162</v>
      </c>
      <c r="K89" s="303" t="s">
        <v>117</v>
      </c>
      <c r="L89" s="303"/>
      <c r="M89" s="2"/>
      <c r="S89" s="303"/>
      <c r="T89" s="373"/>
      <c r="U89" s="373"/>
      <c r="V89" s="374"/>
      <c r="W89" s="375"/>
      <c r="X89" s="376"/>
      <c r="Y89" s="381"/>
      <c r="Z89" s="303"/>
      <c r="AA89" s="303"/>
      <c r="AL89" s="287"/>
      <c r="AM89" s="382"/>
      <c r="AN89" s="287"/>
      <c r="AO89" s="287"/>
    </row>
    <row r="90" spans="1:42">
      <c r="A90" s="160">
        <v>202301</v>
      </c>
      <c r="B90" s="364">
        <v>586787</v>
      </c>
      <c r="C90" s="364"/>
      <c r="D90" s="364"/>
      <c r="E90" s="323">
        <f t="shared" ref="E90:E116" si="36">SUM(B90:D90)</f>
        <v>586787</v>
      </c>
      <c r="F90" s="312">
        <f t="shared" ref="F90:F116" si="37">E90/10000</f>
        <v>58.6787</v>
      </c>
      <c r="H90" s="218" t="s">
        <v>337</v>
      </c>
      <c r="I90" s="303" t="s">
        <v>27</v>
      </c>
      <c r="J90" s="303" t="s">
        <v>14</v>
      </c>
      <c r="K90" s="303">
        <v>124800</v>
      </c>
      <c r="L90" s="303" t="s">
        <v>338</v>
      </c>
      <c r="M90" s="219"/>
      <c r="S90" s="303"/>
      <c r="T90" s="377"/>
      <c r="U90" s="377"/>
      <c r="V90" s="378"/>
      <c r="W90" s="303"/>
      <c r="X90" s="317"/>
      <c r="Y90" s="303"/>
      <c r="Z90" s="303"/>
      <c r="AA90" s="303"/>
      <c r="AL90" s="287"/>
      <c r="AM90" s="287"/>
      <c r="AN90" s="382"/>
      <c r="AO90" s="385" t="s">
        <v>339</v>
      </c>
      <c r="AP90" s="386">
        <f>AP69-(AP88+AP91+AP92+AP93+AP94)</f>
        <v>117.676531522236</v>
      </c>
    </row>
    <row r="91" spans="1:43">
      <c r="A91" s="160">
        <v>202304</v>
      </c>
      <c r="B91" s="364">
        <v>721128</v>
      </c>
      <c r="C91" s="364"/>
      <c r="D91" s="364"/>
      <c r="E91" s="323">
        <f t="shared" si="36"/>
        <v>721128</v>
      </c>
      <c r="F91" s="312">
        <f t="shared" si="37"/>
        <v>72.1128</v>
      </c>
      <c r="H91" s="218"/>
      <c r="I91" s="303" t="s">
        <v>27</v>
      </c>
      <c r="J91" s="303" t="s">
        <v>14</v>
      </c>
      <c r="K91" s="303"/>
      <c r="L91" s="303" t="s">
        <v>340</v>
      </c>
      <c r="M91" s="219"/>
      <c r="S91" s="303"/>
      <c r="T91" s="377"/>
      <c r="U91" s="377"/>
      <c r="V91" s="378"/>
      <c r="W91" s="303"/>
      <c r="X91" s="317"/>
      <c r="Y91" s="303"/>
      <c r="Z91" s="303"/>
      <c r="AA91" s="303"/>
      <c r="AL91" s="287"/>
      <c r="AM91" s="287"/>
      <c r="AN91" s="382"/>
      <c r="AO91" s="287"/>
      <c r="AP91" s="304">
        <f>投资公司!C10</f>
        <v>706.31404</v>
      </c>
      <c r="AQ91" s="205" t="s">
        <v>341</v>
      </c>
    </row>
    <row r="92" spans="1:43">
      <c r="A92" s="160">
        <v>202306</v>
      </c>
      <c r="B92" s="364">
        <v>1024929</v>
      </c>
      <c r="C92" s="364"/>
      <c r="D92" s="364"/>
      <c r="E92" s="323">
        <f t="shared" si="36"/>
        <v>1024929</v>
      </c>
      <c r="F92" s="312">
        <f t="shared" si="37"/>
        <v>102.4929</v>
      </c>
      <c r="H92" s="218"/>
      <c r="I92" s="303" t="s">
        <v>342</v>
      </c>
      <c r="J92" s="303" t="s">
        <v>14</v>
      </c>
      <c r="K92" s="303"/>
      <c r="L92" s="303" t="s">
        <v>343</v>
      </c>
      <c r="M92" s="2"/>
      <c r="S92" s="303"/>
      <c r="T92" s="377"/>
      <c r="U92" s="377"/>
      <c r="V92" s="378"/>
      <c r="W92" s="303"/>
      <c r="X92" s="317"/>
      <c r="Y92" s="303"/>
      <c r="Z92" s="303"/>
      <c r="AA92" s="303"/>
      <c r="AL92" s="205"/>
      <c r="AM92" s="205"/>
      <c r="AN92" s="205"/>
      <c r="AO92" s="205"/>
      <c r="AP92" s="304">
        <f>K155/10000</f>
        <v>24.127231</v>
      </c>
      <c r="AQ92" s="205" t="s">
        <v>344</v>
      </c>
    </row>
    <row r="93" spans="1:43">
      <c r="A93" s="160">
        <v>202307</v>
      </c>
      <c r="B93" s="364">
        <v>706329</v>
      </c>
      <c r="C93" s="364"/>
      <c r="D93" s="364"/>
      <c r="E93" s="323">
        <f t="shared" si="36"/>
        <v>706329</v>
      </c>
      <c r="F93" s="312">
        <f t="shared" si="37"/>
        <v>70.6329</v>
      </c>
      <c r="H93" s="218"/>
      <c r="I93" s="303" t="s">
        <v>345</v>
      </c>
      <c r="J93" s="303"/>
      <c r="K93" s="303">
        <f>SUM(K90:K91)</f>
        <v>124800</v>
      </c>
      <c r="L93" s="303"/>
      <c r="S93" s="303"/>
      <c r="T93" s="377"/>
      <c r="U93" s="377"/>
      <c r="V93" s="378"/>
      <c r="W93" s="379"/>
      <c r="X93" s="317"/>
      <c r="Y93" s="303"/>
      <c r="Z93" s="303"/>
      <c r="AA93" s="303"/>
      <c r="AL93" s="205"/>
      <c r="AM93" s="205"/>
      <c r="AN93" s="205"/>
      <c r="AO93" s="205"/>
      <c r="AP93" s="387">
        <f>F120</f>
        <v>848.44906</v>
      </c>
      <c r="AQ93" s="205" t="s">
        <v>346</v>
      </c>
    </row>
    <row r="94" spans="1:43">
      <c r="A94" s="160">
        <v>202309</v>
      </c>
      <c r="B94" s="364">
        <v>639143</v>
      </c>
      <c r="C94" s="364"/>
      <c r="D94" s="364"/>
      <c r="E94" s="323">
        <f t="shared" si="36"/>
        <v>639143</v>
      </c>
      <c r="F94" s="312">
        <f t="shared" si="37"/>
        <v>63.9143</v>
      </c>
      <c r="H94" s="218"/>
      <c r="I94" s="303" t="s">
        <v>347</v>
      </c>
      <c r="J94" s="303"/>
      <c r="K94" s="303">
        <f>SUM(K92:K92)</f>
        <v>0</v>
      </c>
      <c r="L94" s="303">
        <f>K94/1.06</f>
        <v>0</v>
      </c>
      <c r="N94" s="369"/>
      <c r="S94" s="303"/>
      <c r="T94" s="377"/>
      <c r="U94" s="377"/>
      <c r="V94" s="378"/>
      <c r="W94" s="379"/>
      <c r="X94" s="317"/>
      <c r="Y94" s="303"/>
      <c r="Z94" s="303"/>
      <c r="AA94" s="303"/>
      <c r="AP94" s="304">
        <f>F172</f>
        <v>197.828482</v>
      </c>
      <c r="AQ94" s="205" t="s">
        <v>348</v>
      </c>
    </row>
    <row r="95" spans="1:50">
      <c r="A95" s="160">
        <v>202310</v>
      </c>
      <c r="B95" s="364">
        <v>2497463</v>
      </c>
      <c r="C95" s="364"/>
      <c r="D95" s="364"/>
      <c r="E95" s="323">
        <f t="shared" si="36"/>
        <v>2497463</v>
      </c>
      <c r="F95" s="312">
        <f t="shared" si="37"/>
        <v>249.7463</v>
      </c>
      <c r="H95" s="218"/>
      <c r="S95" s="303"/>
      <c r="T95" s="377"/>
      <c r="U95" s="377"/>
      <c r="V95" s="378"/>
      <c r="W95" s="379"/>
      <c r="X95" s="317"/>
      <c r="Y95" s="303"/>
      <c r="Z95" s="303"/>
      <c r="AA95" s="303"/>
      <c r="AD95" s="1"/>
      <c r="AE95"/>
      <c r="AF95" s="20"/>
      <c r="AH95" s="172"/>
      <c r="AI95" s="205"/>
      <c r="AJ95" s="304"/>
      <c r="AX95" s="388"/>
    </row>
    <row r="96" spans="1:50">
      <c r="A96" s="160">
        <v>202311</v>
      </c>
      <c r="B96" s="364">
        <v>798212</v>
      </c>
      <c r="C96" s="364"/>
      <c r="D96" s="364"/>
      <c r="E96" s="323">
        <f t="shared" si="36"/>
        <v>798212</v>
      </c>
      <c r="F96" s="312">
        <f t="shared" si="37"/>
        <v>79.8212</v>
      </c>
      <c r="H96" s="218"/>
      <c r="I96" s="303"/>
      <c r="J96" s="303"/>
      <c r="K96" s="303"/>
      <c r="L96" s="303"/>
      <c r="S96" s="303"/>
      <c r="T96" s="377"/>
      <c r="U96" s="377"/>
      <c r="V96" s="378"/>
      <c r="W96" s="379"/>
      <c r="X96" s="317"/>
      <c r="Y96" s="303"/>
      <c r="Z96" s="303"/>
      <c r="AA96" s="303"/>
      <c r="AD96" s="1"/>
      <c r="AE96"/>
      <c r="AF96" s="20"/>
      <c r="AH96" s="172"/>
      <c r="AI96" s="205"/>
      <c r="AJ96" s="304"/>
      <c r="AN96" s="383"/>
      <c r="AX96" s="388"/>
    </row>
    <row r="97" spans="1:50">
      <c r="A97" s="160">
        <v>202312</v>
      </c>
      <c r="B97" s="364">
        <v>3078965</v>
      </c>
      <c r="C97" s="364"/>
      <c r="D97" s="364"/>
      <c r="E97" s="323">
        <f t="shared" si="36"/>
        <v>3078965</v>
      </c>
      <c r="F97" s="312">
        <f t="shared" si="37"/>
        <v>307.8965</v>
      </c>
      <c r="H97" s="218"/>
      <c r="I97" s="303"/>
      <c r="J97" s="303" t="s">
        <v>162</v>
      </c>
      <c r="K97" s="303" t="s">
        <v>117</v>
      </c>
      <c r="L97" s="303"/>
      <c r="S97" s="303"/>
      <c r="T97" s="377"/>
      <c r="U97" s="377"/>
      <c r="V97" s="378"/>
      <c r="W97" s="379"/>
      <c r="X97" s="317"/>
      <c r="Y97" s="303"/>
      <c r="Z97" s="303"/>
      <c r="AA97" s="303"/>
      <c r="AD97" s="1"/>
      <c r="AE97"/>
      <c r="AF97" s="20"/>
      <c r="AH97" s="172"/>
      <c r="AI97" s="205"/>
      <c r="AJ97" s="304"/>
      <c r="AX97" s="388"/>
    </row>
    <row r="98" spans="1:50">
      <c r="A98" s="158">
        <v>202401</v>
      </c>
      <c r="B98" s="341">
        <v>861511.1</v>
      </c>
      <c r="C98" s="341"/>
      <c r="D98" s="341"/>
      <c r="E98" s="341">
        <f t="shared" si="36"/>
        <v>861511.1</v>
      </c>
      <c r="F98" s="314">
        <f t="shared" si="37"/>
        <v>86.15111</v>
      </c>
      <c r="H98" s="218" t="s">
        <v>349</v>
      </c>
      <c r="I98" s="303" t="s">
        <v>27</v>
      </c>
      <c r="J98" s="303" t="s">
        <v>14</v>
      </c>
      <c r="K98" s="303">
        <v>18136.92</v>
      </c>
      <c r="L98" s="303" t="s">
        <v>338</v>
      </c>
      <c r="S98" s="303"/>
      <c r="T98" s="377"/>
      <c r="U98" s="377"/>
      <c r="V98" s="378"/>
      <c r="W98" s="379"/>
      <c r="X98" s="317"/>
      <c r="Y98" s="303"/>
      <c r="Z98" s="303"/>
      <c r="AA98" s="303"/>
      <c r="AD98" s="1"/>
      <c r="AE98"/>
      <c r="AF98" s="20"/>
      <c r="AH98" s="172"/>
      <c r="AI98" s="205"/>
      <c r="AJ98" s="304"/>
      <c r="AX98" s="388"/>
    </row>
    <row r="99" spans="1:50">
      <c r="A99" s="158">
        <v>202402</v>
      </c>
      <c r="B99" s="341">
        <v>378139</v>
      </c>
      <c r="C99" s="341"/>
      <c r="D99" s="341"/>
      <c r="E99" s="341">
        <f t="shared" si="36"/>
        <v>378139</v>
      </c>
      <c r="F99" s="314">
        <f t="shared" si="37"/>
        <v>37.8139</v>
      </c>
      <c r="H99" s="218"/>
      <c r="I99" s="303" t="s">
        <v>27</v>
      </c>
      <c r="J99" s="303" t="s">
        <v>14</v>
      </c>
      <c r="K99" s="303"/>
      <c r="L99" s="303" t="s">
        <v>340</v>
      </c>
      <c r="S99" s="303"/>
      <c r="T99" s="377"/>
      <c r="U99" s="377"/>
      <c r="V99" s="378"/>
      <c r="W99" s="379"/>
      <c r="X99" s="317"/>
      <c r="Y99" s="303"/>
      <c r="Z99" s="303"/>
      <c r="AA99" s="303"/>
      <c r="AD99" s="1"/>
      <c r="AE99"/>
      <c r="AF99" s="20"/>
      <c r="AH99" s="172"/>
      <c r="AI99" s="205"/>
      <c r="AJ99" s="304"/>
      <c r="AK99" s="304"/>
      <c r="AO99" s="205"/>
      <c r="AP99" s="213"/>
      <c r="AQ99" s="295"/>
      <c r="AR99" s="295"/>
      <c r="AV99" s="172"/>
      <c r="AW99" s="172"/>
      <c r="AX99" s="388"/>
    </row>
    <row r="100" spans="1:50">
      <c r="A100" s="158">
        <v>202403</v>
      </c>
      <c r="B100" s="341">
        <v>2859130.67</v>
      </c>
      <c r="C100" s="341"/>
      <c r="D100" s="341"/>
      <c r="E100" s="341">
        <f t="shared" si="36"/>
        <v>2859130.67</v>
      </c>
      <c r="F100" s="314">
        <f t="shared" si="37"/>
        <v>285.913067</v>
      </c>
      <c r="H100" s="218"/>
      <c r="I100" s="303" t="s">
        <v>342</v>
      </c>
      <c r="J100" s="303" t="s">
        <v>14</v>
      </c>
      <c r="K100" s="303"/>
      <c r="L100" s="303" t="s">
        <v>343</v>
      </c>
      <c r="S100" s="303"/>
      <c r="T100" s="377"/>
      <c r="U100" s="377"/>
      <c r="V100" s="378"/>
      <c r="W100" s="379"/>
      <c r="X100" s="317"/>
      <c r="Y100" s="303"/>
      <c r="Z100" s="303"/>
      <c r="AA100" s="303"/>
      <c r="AD100" s="1"/>
      <c r="AE100"/>
      <c r="AF100" s="20"/>
      <c r="AH100" s="172"/>
      <c r="AI100" s="205"/>
      <c r="AJ100" s="304"/>
      <c r="AK100" s="304"/>
      <c r="AO100" s="205"/>
      <c r="AP100" s="213"/>
      <c r="AQ100" s="295"/>
      <c r="AR100" s="295"/>
      <c r="AV100" s="172"/>
      <c r="AW100" s="172"/>
      <c r="AX100" s="388"/>
    </row>
    <row r="101" spans="1:50">
      <c r="A101" s="158">
        <v>202404</v>
      </c>
      <c r="B101" s="341">
        <v>2524571.23</v>
      </c>
      <c r="C101" s="341"/>
      <c r="D101" s="341"/>
      <c r="E101" s="341">
        <f t="shared" si="36"/>
        <v>2524571.23</v>
      </c>
      <c r="F101" s="314">
        <f t="shared" si="37"/>
        <v>252.457123</v>
      </c>
      <c r="H101" s="218"/>
      <c r="I101" s="303" t="s">
        <v>342</v>
      </c>
      <c r="J101" s="303" t="s">
        <v>350</v>
      </c>
      <c r="K101" s="303"/>
      <c r="L101" s="303" t="s">
        <v>351</v>
      </c>
      <c r="S101" s="303"/>
      <c r="T101" s="377"/>
      <c r="U101" s="377"/>
      <c r="V101" s="378"/>
      <c r="W101" s="379"/>
      <c r="X101" s="317"/>
      <c r="Y101" s="303"/>
      <c r="Z101" s="303"/>
      <c r="AA101" s="303"/>
      <c r="AD101" s="1"/>
      <c r="AE101"/>
      <c r="AF101" s="20"/>
      <c r="AH101" s="172"/>
      <c r="AI101" s="205"/>
      <c r="AJ101" s="304"/>
      <c r="AK101" s="304"/>
      <c r="AO101" s="205"/>
      <c r="AP101" s="213"/>
      <c r="AQ101" s="295"/>
      <c r="AR101" s="295"/>
      <c r="AV101" s="172"/>
      <c r="AW101" s="172"/>
      <c r="AX101" s="388"/>
    </row>
    <row r="102" spans="1:50">
      <c r="A102" s="158">
        <v>202405</v>
      </c>
      <c r="B102" s="341">
        <v>2230468</v>
      </c>
      <c r="C102" s="341"/>
      <c r="D102" s="341"/>
      <c r="E102" s="341">
        <f t="shared" si="36"/>
        <v>2230468</v>
      </c>
      <c r="F102" s="314">
        <f t="shared" si="37"/>
        <v>223.0468</v>
      </c>
      <c r="H102" s="218"/>
      <c r="I102" s="303" t="s">
        <v>342</v>
      </c>
      <c r="J102" s="303" t="s">
        <v>14</v>
      </c>
      <c r="K102" s="303"/>
      <c r="L102" s="303" t="s">
        <v>352</v>
      </c>
      <c r="S102" s="303"/>
      <c r="T102" s="377"/>
      <c r="U102" s="303"/>
      <c r="V102" s="372"/>
      <c r="W102" s="218"/>
      <c r="X102" s="218"/>
      <c r="Y102" s="303"/>
      <c r="Z102" s="303"/>
      <c r="AA102" s="303"/>
      <c r="AD102" s="1"/>
      <c r="AE102"/>
      <c r="AF102" s="20"/>
      <c r="AH102" s="172"/>
      <c r="AI102" s="205"/>
      <c r="AJ102" s="304"/>
      <c r="AK102" s="304"/>
      <c r="AO102" s="205"/>
      <c r="AP102" s="213"/>
      <c r="AQ102" s="295"/>
      <c r="AR102" s="295"/>
      <c r="AV102" s="172"/>
      <c r="AW102" s="172"/>
      <c r="AX102" s="388"/>
    </row>
    <row r="103" spans="1:50">
      <c r="A103" s="158">
        <v>202406</v>
      </c>
      <c r="B103" s="341">
        <v>2517745</v>
      </c>
      <c r="C103" s="341"/>
      <c r="D103" s="341"/>
      <c r="E103" s="341">
        <f t="shared" si="36"/>
        <v>2517745</v>
      </c>
      <c r="F103" s="314">
        <f t="shared" si="37"/>
        <v>251.7745</v>
      </c>
      <c r="H103" s="218"/>
      <c r="I103" s="303" t="s">
        <v>342</v>
      </c>
      <c r="J103" s="303" t="s">
        <v>350</v>
      </c>
      <c r="K103" s="303"/>
      <c r="L103" s="303" t="s">
        <v>353</v>
      </c>
      <c r="N103" s="16"/>
      <c r="S103" s="303"/>
      <c r="T103" s="377"/>
      <c r="U103" s="303"/>
      <c r="V103" s="372"/>
      <c r="W103" s="218"/>
      <c r="X103" s="372"/>
      <c r="Y103" s="303"/>
      <c r="Z103" s="303"/>
      <c r="AA103" s="303"/>
      <c r="AD103" s="1"/>
      <c r="AE103"/>
      <c r="AF103" s="20"/>
      <c r="AH103" s="172"/>
      <c r="AI103" s="205"/>
      <c r="AJ103" s="304"/>
      <c r="AK103" s="304"/>
      <c r="AO103" s="205"/>
      <c r="AP103" s="213"/>
      <c r="AQ103" s="295"/>
      <c r="AR103" s="295"/>
      <c r="AV103" s="172"/>
      <c r="AW103" s="172"/>
      <c r="AX103" s="388"/>
    </row>
    <row r="104" spans="1:50">
      <c r="A104" s="158">
        <v>202407</v>
      </c>
      <c r="B104" s="341">
        <v>1211368</v>
      </c>
      <c r="C104" s="341"/>
      <c r="D104" s="341"/>
      <c r="E104" s="341">
        <f t="shared" si="36"/>
        <v>1211368</v>
      </c>
      <c r="F104" s="314">
        <f t="shared" si="37"/>
        <v>121.1368</v>
      </c>
      <c r="H104" s="218"/>
      <c r="I104" s="303" t="s">
        <v>342</v>
      </c>
      <c r="J104" s="303" t="s">
        <v>14</v>
      </c>
      <c r="K104" s="303"/>
      <c r="L104" s="303" t="s">
        <v>354</v>
      </c>
      <c r="N104" s="16"/>
      <c r="S104" s="303"/>
      <c r="T104" s="377"/>
      <c r="U104" s="303"/>
      <c r="V104" s="372"/>
      <c r="W104" s="218"/>
      <c r="X104" s="372"/>
      <c r="Y104" s="303"/>
      <c r="Z104" s="303"/>
      <c r="AA104" s="303"/>
      <c r="AD104" s="1"/>
      <c r="AE104"/>
      <c r="AF104" s="20"/>
      <c r="AH104" s="172"/>
      <c r="AI104" s="205"/>
      <c r="AJ104" s="304"/>
      <c r="AK104" s="304"/>
      <c r="AO104" s="205"/>
      <c r="AP104" s="213"/>
      <c r="AQ104" s="295"/>
      <c r="AR104" s="295"/>
      <c r="AV104" s="172"/>
      <c r="AW104" s="172"/>
      <c r="AX104" s="388"/>
    </row>
    <row r="105" spans="1:50">
      <c r="A105" s="158">
        <v>202408</v>
      </c>
      <c r="B105" s="341"/>
      <c r="C105" s="341">
        <v>27847.8</v>
      </c>
      <c r="D105" s="341">
        <v>420089.61</v>
      </c>
      <c r="E105" s="341">
        <f t="shared" si="36"/>
        <v>447937.41</v>
      </c>
      <c r="F105" s="314">
        <f t="shared" si="37"/>
        <v>44.793741</v>
      </c>
      <c r="H105" s="218"/>
      <c r="I105" s="303" t="s">
        <v>345</v>
      </c>
      <c r="J105" s="303"/>
      <c r="K105" s="303">
        <f>SUM(K98:K100)</f>
        <v>18136.92</v>
      </c>
      <c r="L105" s="303"/>
      <c r="S105" s="303"/>
      <c r="T105" s="303"/>
      <c r="U105" s="303"/>
      <c r="V105" s="380"/>
      <c r="W105" s="303"/>
      <c r="X105" s="317"/>
      <c r="Y105" s="303"/>
      <c r="Z105" s="303"/>
      <c r="AA105" s="303"/>
      <c r="AD105" s="1"/>
      <c r="AE105"/>
      <c r="AF105" s="20"/>
      <c r="AH105" s="172"/>
      <c r="AI105" s="205"/>
      <c r="AJ105" s="304"/>
      <c r="AK105" s="304"/>
      <c r="AO105" s="205"/>
      <c r="AP105" s="213"/>
      <c r="AQ105" s="295"/>
      <c r="AR105" s="295"/>
      <c r="AV105" s="172"/>
      <c r="AW105" s="172"/>
      <c r="AX105" s="388"/>
    </row>
    <row r="106" spans="1:50">
      <c r="A106" s="158">
        <v>202409</v>
      </c>
      <c r="B106" s="341">
        <v>-1211368</v>
      </c>
      <c r="C106" s="341">
        <v>438807.53</v>
      </c>
      <c r="D106" s="341">
        <v>-49422.31</v>
      </c>
      <c r="E106" s="341">
        <f t="shared" si="36"/>
        <v>-821982.78</v>
      </c>
      <c r="F106" s="314">
        <f t="shared" si="37"/>
        <v>-82.198278</v>
      </c>
      <c r="H106" s="218"/>
      <c r="I106" s="303" t="s">
        <v>347</v>
      </c>
      <c r="J106" s="303"/>
      <c r="K106" s="303">
        <f>SUM(K101:K104)</f>
        <v>0</v>
      </c>
      <c r="L106" s="303">
        <f>K106/1.06</f>
        <v>0</v>
      </c>
      <c r="S106" s="303"/>
      <c r="T106" s="218"/>
      <c r="V106" s="372"/>
      <c r="W106" s="303"/>
      <c r="X106" s="218"/>
      <c r="Y106" s="303"/>
      <c r="Z106" s="303"/>
      <c r="AA106" s="303"/>
      <c r="AD106" s="1"/>
      <c r="AE106"/>
      <c r="AF106" s="20"/>
      <c r="AH106" s="172"/>
      <c r="AI106" s="205"/>
      <c r="AJ106" s="304"/>
      <c r="AK106" s="304"/>
      <c r="AO106" s="205"/>
      <c r="AP106" s="213"/>
      <c r="AQ106" s="295"/>
      <c r="AR106" s="295"/>
      <c r="AV106" s="172"/>
      <c r="AW106" s="172"/>
      <c r="AX106" s="388"/>
    </row>
    <row r="107" spans="1:50">
      <c r="A107" s="158">
        <v>202410</v>
      </c>
      <c r="B107" s="341"/>
      <c r="C107" s="341">
        <v>414028.06</v>
      </c>
      <c r="D107" s="341">
        <v>146616.04</v>
      </c>
      <c r="E107" s="341">
        <f t="shared" si="36"/>
        <v>560644.1</v>
      </c>
      <c r="F107" s="314">
        <f t="shared" si="37"/>
        <v>56.06441</v>
      </c>
      <c r="H107" s="218"/>
      <c r="I107" s="303" t="s">
        <v>355</v>
      </c>
      <c r="J107" s="303"/>
      <c r="K107" s="303">
        <f>K93+K105</f>
        <v>142936.92</v>
      </c>
      <c r="L107" s="303"/>
      <c r="O107" s="2"/>
      <c r="P107" s="219"/>
      <c r="Q107" s="219"/>
      <c r="S107" s="303"/>
      <c r="T107" s="218"/>
      <c r="V107" s="372"/>
      <c r="W107" s="303"/>
      <c r="X107" s="218"/>
      <c r="Y107" s="303"/>
      <c r="Z107" s="303"/>
      <c r="AA107" s="303"/>
      <c r="AD107" s="1"/>
      <c r="AE107"/>
      <c r="AF107" s="20"/>
      <c r="AH107" s="172"/>
      <c r="AI107" s="205"/>
      <c r="AJ107" s="304"/>
      <c r="AK107" s="304"/>
      <c r="AO107" s="205"/>
      <c r="AP107" s="213"/>
      <c r="AQ107" s="295"/>
      <c r="AR107" s="295"/>
      <c r="AV107" s="172"/>
      <c r="AW107" s="172"/>
      <c r="AX107" s="388"/>
    </row>
    <row r="108" spans="1:50">
      <c r="A108" s="158">
        <v>202411</v>
      </c>
      <c r="B108" s="341"/>
      <c r="C108" s="341">
        <v>279261.65</v>
      </c>
      <c r="D108" s="341">
        <v>354584.42</v>
      </c>
      <c r="E108" s="341">
        <f t="shared" si="36"/>
        <v>633846.07</v>
      </c>
      <c r="F108" s="314">
        <f t="shared" si="37"/>
        <v>63.384607</v>
      </c>
      <c r="H108" s="218"/>
      <c r="I108" s="303"/>
      <c r="J108" s="303"/>
      <c r="K108" s="303"/>
      <c r="L108" s="303"/>
      <c r="O108" s="2"/>
      <c r="P108" s="2"/>
      <c r="Q108" s="2"/>
      <c r="R108" s="219"/>
      <c r="S108" s="303"/>
      <c r="T108" s="218"/>
      <c r="V108" s="372"/>
      <c r="W108" s="303"/>
      <c r="X108" s="218"/>
      <c r="Y108" s="303"/>
      <c r="Z108" s="303"/>
      <c r="AA108" s="303"/>
      <c r="AD108" s="1"/>
      <c r="AE108"/>
      <c r="AF108" s="20"/>
      <c r="AH108" s="172"/>
      <c r="AI108" s="205"/>
      <c r="AJ108" s="304"/>
      <c r="AK108" s="304"/>
      <c r="AO108" s="205"/>
      <c r="AP108" s="213"/>
      <c r="AQ108" s="295"/>
      <c r="AR108" s="295"/>
      <c r="AV108" s="172"/>
      <c r="AW108" s="172"/>
      <c r="AX108" s="388"/>
    </row>
    <row r="109" spans="1:50">
      <c r="A109" s="158">
        <v>202412</v>
      </c>
      <c r="B109" s="341">
        <v>1971656.46</v>
      </c>
      <c r="C109" s="341">
        <v>638404.83</v>
      </c>
      <c r="D109" s="341">
        <v>199530.25</v>
      </c>
      <c r="E109" s="341">
        <f t="shared" si="36"/>
        <v>2809591.54</v>
      </c>
      <c r="F109" s="314">
        <f t="shared" si="37"/>
        <v>280.959154</v>
      </c>
      <c r="H109" s="218"/>
      <c r="I109" s="303"/>
      <c r="J109" s="303"/>
      <c r="K109" s="303"/>
      <c r="L109" s="303"/>
      <c r="O109" s="2"/>
      <c r="P109" s="2"/>
      <c r="Q109" s="2"/>
      <c r="R109" s="219"/>
      <c r="S109" s="303"/>
      <c r="T109" s="218"/>
      <c r="V109" s="372"/>
      <c r="W109" s="303"/>
      <c r="X109" s="218"/>
      <c r="Y109" s="303"/>
      <c r="Z109" s="303"/>
      <c r="AA109" s="303"/>
      <c r="AD109" s="1"/>
      <c r="AE109"/>
      <c r="AF109" s="20"/>
      <c r="AH109" s="172"/>
      <c r="AI109" s="205"/>
      <c r="AJ109" s="304"/>
      <c r="AK109" s="304"/>
      <c r="AO109" s="205"/>
      <c r="AP109" s="213"/>
      <c r="AQ109" s="295"/>
      <c r="AR109" s="295"/>
      <c r="AV109" s="172"/>
      <c r="AW109" s="172"/>
      <c r="AX109" s="388"/>
    </row>
    <row r="110" spans="1:50">
      <c r="A110" s="365" t="s">
        <v>356</v>
      </c>
      <c r="B110" s="338">
        <v>0</v>
      </c>
      <c r="C110" s="338">
        <v>901522.72</v>
      </c>
      <c r="D110" s="338">
        <v>161296.3</v>
      </c>
      <c r="E110" s="338">
        <f t="shared" si="36"/>
        <v>1062819.02</v>
      </c>
      <c r="F110" s="313">
        <f t="shared" si="37"/>
        <v>106.281902</v>
      </c>
      <c r="H110" s="218"/>
      <c r="I110" s="303"/>
      <c r="J110" s="303" t="s">
        <v>162</v>
      </c>
      <c r="K110" s="303" t="s">
        <v>117</v>
      </c>
      <c r="L110" s="303"/>
      <c r="O110" s="2"/>
      <c r="P110" s="2"/>
      <c r="Q110" s="2"/>
      <c r="R110" s="219"/>
      <c r="S110" s="303"/>
      <c r="T110" s="218"/>
      <c r="V110" s="372"/>
      <c r="W110" s="303"/>
      <c r="X110" s="218"/>
      <c r="Y110" s="303"/>
      <c r="Z110" s="303"/>
      <c r="AA110" s="303"/>
      <c r="AD110" s="1"/>
      <c r="AE110"/>
      <c r="AF110" s="20"/>
      <c r="AH110" s="172"/>
      <c r="AI110" s="205"/>
      <c r="AJ110" s="304"/>
      <c r="AK110" s="304"/>
      <c r="AO110" s="205"/>
      <c r="AP110" s="213"/>
      <c r="AQ110" s="295"/>
      <c r="AR110" s="295"/>
      <c r="AV110" s="172"/>
      <c r="AW110" s="172"/>
      <c r="AX110" s="388"/>
    </row>
    <row r="111" spans="1:50">
      <c r="A111" s="365" t="s">
        <v>357</v>
      </c>
      <c r="B111" s="338"/>
      <c r="C111" s="338">
        <v>721741.1</v>
      </c>
      <c r="D111" s="338">
        <v>31489.51</v>
      </c>
      <c r="E111" s="338">
        <f t="shared" si="36"/>
        <v>753230.61</v>
      </c>
      <c r="F111" s="313">
        <f t="shared" si="37"/>
        <v>75.323061</v>
      </c>
      <c r="H111" s="218" t="s">
        <v>358</v>
      </c>
      <c r="I111" s="303" t="s">
        <v>27</v>
      </c>
      <c r="J111" s="303" t="s">
        <v>14</v>
      </c>
      <c r="K111" s="303">
        <v>98335.39</v>
      </c>
      <c r="L111" s="303" t="s">
        <v>338</v>
      </c>
      <c r="O111" s="2"/>
      <c r="P111" s="2"/>
      <c r="Q111" s="2"/>
      <c r="R111" s="219"/>
      <c r="S111" s="303"/>
      <c r="T111" s="218"/>
      <c r="V111" s="372"/>
      <c r="W111" s="303"/>
      <c r="X111" s="218"/>
      <c r="Y111" s="303"/>
      <c r="Z111" s="303"/>
      <c r="AA111" s="303"/>
      <c r="AD111" s="1"/>
      <c r="AE111"/>
      <c r="AF111" s="20"/>
      <c r="AH111" s="172"/>
      <c r="AI111" s="205"/>
      <c r="AJ111" s="304"/>
      <c r="AK111" s="304"/>
      <c r="AO111" s="205"/>
      <c r="AP111" s="213"/>
      <c r="AQ111" s="295"/>
      <c r="AR111" s="295"/>
      <c r="AV111" s="172"/>
      <c r="AW111" s="172"/>
      <c r="AX111" s="388"/>
    </row>
    <row r="112" spans="1:50">
      <c r="A112" s="365" t="s">
        <v>359</v>
      </c>
      <c r="B112" s="338">
        <v>160281</v>
      </c>
      <c r="C112" s="338">
        <v>743030.58</v>
      </c>
      <c r="D112" s="338">
        <v>-997.52</v>
      </c>
      <c r="E112" s="338">
        <f t="shared" si="36"/>
        <v>902314.06</v>
      </c>
      <c r="F112" s="313">
        <f t="shared" si="37"/>
        <v>90.231406</v>
      </c>
      <c r="H112" s="218"/>
      <c r="I112" s="303" t="s">
        <v>27</v>
      </c>
      <c r="J112" s="303" t="s">
        <v>14</v>
      </c>
      <c r="K112" s="303"/>
      <c r="L112" s="303" t="s">
        <v>340</v>
      </c>
      <c r="O112" s="2"/>
      <c r="P112" s="2"/>
      <c r="Q112" s="2"/>
      <c r="R112" s="219"/>
      <c r="S112" s="303"/>
      <c r="T112" s="218"/>
      <c r="V112" s="372"/>
      <c r="W112" s="303"/>
      <c r="X112" s="218"/>
      <c r="Y112" s="303"/>
      <c r="Z112" s="303"/>
      <c r="AA112" s="303"/>
      <c r="AD112" s="1"/>
      <c r="AE112"/>
      <c r="AF112" s="20"/>
      <c r="AH112" s="172"/>
      <c r="AI112" s="205"/>
      <c r="AJ112" s="304"/>
      <c r="AK112" s="304"/>
      <c r="AO112" s="205"/>
      <c r="AP112" s="213"/>
      <c r="AQ112" s="295"/>
      <c r="AR112" s="295"/>
      <c r="AV112" s="172"/>
      <c r="AW112" s="172"/>
      <c r="AX112" s="388"/>
    </row>
    <row r="113" spans="1:50">
      <c r="A113" s="365" t="s">
        <v>360</v>
      </c>
      <c r="B113" s="338">
        <v>571795</v>
      </c>
      <c r="C113" s="338">
        <v>1007686.07</v>
      </c>
      <c r="D113" s="338">
        <v>-997.52</v>
      </c>
      <c r="E113" s="338">
        <f t="shared" si="36"/>
        <v>1578483.55</v>
      </c>
      <c r="F113" s="313">
        <f t="shared" si="37"/>
        <v>157.848355</v>
      </c>
      <c r="H113" s="218"/>
      <c r="I113" s="303" t="s">
        <v>342</v>
      </c>
      <c r="J113" s="303" t="s">
        <v>14</v>
      </c>
      <c r="K113" s="303"/>
      <c r="L113" s="303" t="s">
        <v>343</v>
      </c>
      <c r="M113" s="2"/>
      <c r="O113" s="2"/>
      <c r="P113" s="2"/>
      <c r="Q113" s="219"/>
      <c r="R113" s="219"/>
      <c r="V113" s="372"/>
      <c r="W113" s="303"/>
      <c r="X113" s="218"/>
      <c r="Y113" s="303"/>
      <c r="AD113" s="1"/>
      <c r="AE113"/>
      <c r="AF113" s="20"/>
      <c r="AH113" s="172"/>
      <c r="AI113" s="205"/>
      <c r="AJ113" s="304"/>
      <c r="AK113" s="304"/>
      <c r="AO113" s="205"/>
      <c r="AP113" s="213"/>
      <c r="AQ113" s="295"/>
      <c r="AR113" s="295"/>
      <c r="AV113" s="172"/>
      <c r="AW113" s="172"/>
      <c r="AX113" s="388"/>
    </row>
    <row r="114" spans="1:50">
      <c r="A114" s="365" t="s">
        <v>361</v>
      </c>
      <c r="B114" s="338">
        <v>582451</v>
      </c>
      <c r="C114" s="338">
        <v>842879.24</v>
      </c>
      <c r="D114" s="338">
        <v>-423.53</v>
      </c>
      <c r="E114" s="338">
        <f t="shared" si="36"/>
        <v>1424906.71</v>
      </c>
      <c r="F114" s="313">
        <f t="shared" si="37"/>
        <v>142.490671</v>
      </c>
      <c r="H114" s="218"/>
      <c r="I114" s="303" t="s">
        <v>342</v>
      </c>
      <c r="J114" s="303" t="s">
        <v>350</v>
      </c>
      <c r="K114" s="303"/>
      <c r="L114" s="303" t="s">
        <v>351</v>
      </c>
      <c r="M114" s="2"/>
      <c r="O114" s="2"/>
      <c r="P114" s="2"/>
      <c r="Q114" s="219"/>
      <c r="R114" s="219"/>
      <c r="V114" s="372"/>
      <c r="W114" s="303"/>
      <c r="X114" s="218"/>
      <c r="Y114" s="303"/>
      <c r="AD114" s="297"/>
      <c r="AE114" s="22"/>
      <c r="AF114" s="20"/>
      <c r="AH114" s="172"/>
      <c r="AI114" s="205"/>
      <c r="AJ114" s="304"/>
      <c r="AK114" s="304"/>
      <c r="AO114" s="205"/>
      <c r="AP114" s="213"/>
      <c r="AQ114" s="295"/>
      <c r="AR114" s="295"/>
      <c r="AV114" s="172"/>
      <c r="AW114" s="172"/>
      <c r="AX114" s="388"/>
    </row>
    <row r="115" spans="1:50">
      <c r="A115" s="365" t="s">
        <v>362</v>
      </c>
      <c r="B115" s="338">
        <v>320331</v>
      </c>
      <c r="C115" s="338">
        <v>738580.94</v>
      </c>
      <c r="D115" s="338">
        <v>56281.53</v>
      </c>
      <c r="E115" s="338">
        <f t="shared" si="36"/>
        <v>1115193.47</v>
      </c>
      <c r="F115" s="313">
        <f t="shared" si="37"/>
        <v>111.519347</v>
      </c>
      <c r="H115" s="218"/>
      <c r="I115" s="303" t="s">
        <v>342</v>
      </c>
      <c r="J115" s="303" t="s">
        <v>14</v>
      </c>
      <c r="K115" s="303"/>
      <c r="L115" s="303" t="s">
        <v>352</v>
      </c>
      <c r="M115" s="2"/>
      <c r="O115" s="2"/>
      <c r="P115" s="2"/>
      <c r="Q115" s="219"/>
      <c r="R115" s="219"/>
      <c r="V115" s="372"/>
      <c r="W115" s="303"/>
      <c r="X115" s="218"/>
      <c r="Y115" s="303"/>
      <c r="AD115" s="297"/>
      <c r="AE115" s="22"/>
      <c r="AF115" s="20"/>
      <c r="AH115" s="172"/>
      <c r="AI115" s="205"/>
      <c r="AJ115" s="304"/>
      <c r="AK115" s="304"/>
      <c r="AO115" s="205"/>
      <c r="AP115" s="213"/>
      <c r="AQ115" s="295"/>
      <c r="AR115" s="295"/>
      <c r="AV115" s="172"/>
      <c r="AW115" s="172"/>
      <c r="AX115" s="388"/>
    </row>
    <row r="116" spans="1:50">
      <c r="A116" s="365" t="s">
        <v>363</v>
      </c>
      <c r="B116" s="338">
        <v>410261</v>
      </c>
      <c r="C116" s="338">
        <v>381336.4</v>
      </c>
      <c r="D116" s="338">
        <v>855945.78</v>
      </c>
      <c r="E116" s="338">
        <f t="shared" si="36"/>
        <v>1647543.18</v>
      </c>
      <c r="F116" s="313">
        <f t="shared" si="37"/>
        <v>164.754318</v>
      </c>
      <c r="H116" s="218"/>
      <c r="I116" s="303" t="s">
        <v>342</v>
      </c>
      <c r="J116" s="303" t="s">
        <v>350</v>
      </c>
      <c r="K116" s="303"/>
      <c r="L116" s="303" t="s">
        <v>353</v>
      </c>
      <c r="M116" s="2"/>
      <c r="O116" s="2"/>
      <c r="P116" s="2"/>
      <c r="Q116" s="219"/>
      <c r="R116" s="219"/>
      <c r="V116" s="372"/>
      <c r="W116" s="303"/>
      <c r="X116" s="218"/>
      <c r="Y116" s="303"/>
      <c r="AD116" s="1"/>
      <c r="AE116"/>
      <c r="AF116" s="20"/>
      <c r="AH116" s="172"/>
      <c r="AI116" s="205"/>
      <c r="AJ116" s="304"/>
      <c r="AK116" s="304"/>
      <c r="AO116" s="205"/>
      <c r="AP116" s="213"/>
      <c r="AQ116" s="295"/>
      <c r="AR116" s="295"/>
      <c r="AV116" s="172"/>
      <c r="AW116" s="172"/>
      <c r="AX116" s="388"/>
    </row>
    <row r="117" spans="1:50">
      <c r="A117" s="365" t="s">
        <v>364</v>
      </c>
      <c r="B117" s="338"/>
      <c r="C117" s="338"/>
      <c r="D117" s="338"/>
      <c r="E117" s="338"/>
      <c r="F117" s="313"/>
      <c r="H117" s="218"/>
      <c r="I117" s="303" t="s">
        <v>342</v>
      </c>
      <c r="J117" s="303" t="s">
        <v>14</v>
      </c>
      <c r="K117" s="303"/>
      <c r="L117" s="303" t="s">
        <v>354</v>
      </c>
      <c r="M117" s="2"/>
      <c r="O117" s="2"/>
      <c r="P117" s="2"/>
      <c r="Q117" s="219"/>
      <c r="R117" s="219"/>
      <c r="V117" s="372"/>
      <c r="W117" s="303"/>
      <c r="X117" s="218"/>
      <c r="Y117" s="303"/>
      <c r="AD117" s="1"/>
      <c r="AE117"/>
      <c r="AF117" s="20"/>
      <c r="AH117" s="172"/>
      <c r="AI117" s="205"/>
      <c r="AJ117" s="304"/>
      <c r="AK117" s="304"/>
      <c r="AO117" s="205"/>
      <c r="AP117" s="213"/>
      <c r="AQ117" s="295"/>
      <c r="AR117" s="295"/>
      <c r="AV117" s="172"/>
      <c r="AW117" s="172"/>
      <c r="AX117" s="388"/>
    </row>
    <row r="118" spans="1:50">
      <c r="A118" s="263" t="s">
        <v>365</v>
      </c>
      <c r="B118" s="130">
        <f>SUM(B90:B97)</f>
        <v>10052956</v>
      </c>
      <c r="C118" s="130">
        <f>SUM(C90:C97)</f>
        <v>0</v>
      </c>
      <c r="D118" s="130">
        <f>SUM(D90:D97)</f>
        <v>0</v>
      </c>
      <c r="E118" s="130">
        <f>SUM(E90:E97)</f>
        <v>10052956</v>
      </c>
      <c r="F118" s="244">
        <f>SUM(F90:F97)</f>
        <v>1005.2956</v>
      </c>
      <c r="H118" s="218"/>
      <c r="I118" s="303" t="s">
        <v>345</v>
      </c>
      <c r="J118" s="303"/>
      <c r="K118" s="303">
        <f>SUM(K111:K113)</f>
        <v>98335.39</v>
      </c>
      <c r="L118" s="303"/>
      <c r="M118" s="13"/>
      <c r="O118" s="2"/>
      <c r="P118" s="2"/>
      <c r="Q118" s="303"/>
      <c r="R118" s="219"/>
      <c r="V118" s="372"/>
      <c r="W118" s="303"/>
      <c r="X118" s="218"/>
      <c r="Y118" s="303"/>
      <c r="AA118" s="303"/>
      <c r="AD118" s="1"/>
      <c r="AE118"/>
      <c r="AF118" s="20"/>
      <c r="AH118" s="172"/>
      <c r="AI118" s="205"/>
      <c r="AJ118" s="304"/>
      <c r="AK118" s="304"/>
      <c r="AO118" s="205"/>
      <c r="AP118" s="213"/>
      <c r="AQ118" s="295"/>
      <c r="AR118" s="295"/>
      <c r="AV118" s="172"/>
      <c r="AW118" s="172"/>
      <c r="AX118" s="388"/>
    </row>
    <row r="119" spans="1:50">
      <c r="A119" s="263" t="s">
        <v>366</v>
      </c>
      <c r="B119" s="130">
        <f>SUM(B98:B109)</f>
        <v>13343221.46</v>
      </c>
      <c r="C119" s="130">
        <f>SUM(C98:C109)</f>
        <v>1798349.87</v>
      </c>
      <c r="D119" s="130">
        <f>SUM(D98:D109)</f>
        <v>1071398.01</v>
      </c>
      <c r="E119" s="130">
        <f>SUM(E98:E109)</f>
        <v>16212969.34</v>
      </c>
      <c r="F119" s="244">
        <f>SUM(F98:F109)</f>
        <v>1621.296934</v>
      </c>
      <c r="H119" s="218"/>
      <c r="I119" s="303" t="s">
        <v>347</v>
      </c>
      <c r="J119" s="303"/>
      <c r="K119" s="303">
        <f>SUM(K114:K117)</f>
        <v>0</v>
      </c>
      <c r="L119" s="303">
        <f>K119/1.06</f>
        <v>0</v>
      </c>
      <c r="M119" s="21"/>
      <c r="N119" s="16"/>
      <c r="O119" s="2"/>
      <c r="P119" s="2"/>
      <c r="Q119" s="303"/>
      <c r="R119" s="303"/>
      <c r="S119" s="303"/>
      <c r="V119" s="372"/>
      <c r="W119" s="303"/>
      <c r="X119" s="218"/>
      <c r="Y119" s="303"/>
      <c r="AA119" s="303"/>
      <c r="AD119" s="1"/>
      <c r="AE119"/>
      <c r="AF119" s="20"/>
      <c r="AH119" s="172"/>
      <c r="AI119" s="205"/>
      <c r="AJ119" s="304"/>
      <c r="AK119" s="304"/>
      <c r="AO119" s="205"/>
      <c r="AP119" s="213"/>
      <c r="AQ119" s="295"/>
      <c r="AR119" s="295"/>
      <c r="AV119" s="172"/>
      <c r="AW119" s="172"/>
      <c r="AX119" s="388"/>
    </row>
    <row r="120" spans="1:50">
      <c r="A120" s="263" t="s">
        <v>367</v>
      </c>
      <c r="B120" s="130">
        <f>SUM(B110:B117)</f>
        <v>2045119</v>
      </c>
      <c r="C120" s="130">
        <f>SUM(C110:C117)</f>
        <v>5336777.05</v>
      </c>
      <c r="D120" s="130">
        <f>SUM(D110:D117)</f>
        <v>1102594.55</v>
      </c>
      <c r="E120" s="130">
        <f>SUM(E110:E117)</f>
        <v>8484490.6</v>
      </c>
      <c r="F120" s="244">
        <f>SUM(F110:F117)</f>
        <v>848.44906</v>
      </c>
      <c r="H120" s="218"/>
      <c r="I120" s="303" t="s">
        <v>355</v>
      </c>
      <c r="J120" s="303"/>
      <c r="K120" s="303">
        <f>K107+K118</f>
        <v>241272.31</v>
      </c>
      <c r="L120" s="303"/>
      <c r="M120" s="21"/>
      <c r="N120" s="16"/>
      <c r="O120" s="2"/>
      <c r="P120" s="2"/>
      <c r="Q120" s="303"/>
      <c r="R120" s="303"/>
      <c r="S120" s="303"/>
      <c r="T120" s="218"/>
      <c r="V120" s="372"/>
      <c r="W120" s="303"/>
      <c r="X120" s="218"/>
      <c r="Y120" s="303"/>
      <c r="AA120" s="303"/>
      <c r="AD120" s="1"/>
      <c r="AE120"/>
      <c r="AF120" s="20"/>
      <c r="AH120" s="172"/>
      <c r="AI120" s="205"/>
      <c r="AJ120" s="304"/>
      <c r="AK120" s="304"/>
      <c r="AO120" s="205"/>
      <c r="AP120" s="213"/>
      <c r="AQ120" s="295"/>
      <c r="AR120" s="295"/>
      <c r="AV120" s="172"/>
      <c r="AW120" s="172"/>
      <c r="AX120" s="388"/>
    </row>
    <row r="121" spans="1:49">
      <c r="A121" s="130"/>
      <c r="F121" s="244"/>
      <c r="H121" s="218"/>
      <c r="I121" s="303"/>
      <c r="J121" s="303"/>
      <c r="K121" s="303"/>
      <c r="L121" s="303"/>
      <c r="M121" s="21"/>
      <c r="N121" s="16"/>
      <c r="O121" s="2"/>
      <c r="P121" s="2"/>
      <c r="Q121" s="370"/>
      <c r="R121" s="303"/>
      <c r="S121" s="303"/>
      <c r="T121" s="218"/>
      <c r="V121" s="372"/>
      <c r="W121" s="303"/>
      <c r="X121" s="218"/>
      <c r="Y121" s="303"/>
      <c r="Z121" s="303"/>
      <c r="AA121" s="303"/>
      <c r="AC121" s="380"/>
      <c r="AK121" s="304"/>
      <c r="AO121" s="205"/>
      <c r="AP121" s="213"/>
      <c r="AQ121" s="295"/>
      <c r="AR121" s="295"/>
      <c r="AV121" s="172"/>
      <c r="AW121" s="172"/>
    </row>
    <row r="122" spans="1:49">
      <c r="A122" s="130"/>
      <c r="B122" s="366" t="s">
        <v>368</v>
      </c>
      <c r="C122" s="366"/>
      <c r="H122" s="218"/>
      <c r="I122" s="303"/>
      <c r="J122" s="303"/>
      <c r="K122" s="303"/>
      <c r="L122" s="303"/>
      <c r="M122" s="21"/>
      <c r="N122" s="16"/>
      <c r="O122" s="2"/>
      <c r="P122" s="2"/>
      <c r="Q122" s="303"/>
      <c r="R122" s="303"/>
      <c r="S122" s="303"/>
      <c r="T122" s="218"/>
      <c r="V122" s="372"/>
      <c r="W122" s="303"/>
      <c r="X122" s="218"/>
      <c r="Y122" s="303"/>
      <c r="Z122" s="303"/>
      <c r="AA122" s="303"/>
      <c r="AC122" s="380"/>
      <c r="AK122" s="304"/>
      <c r="AO122" s="205"/>
      <c r="AP122" s="213"/>
      <c r="AQ122" s="295"/>
      <c r="AR122" s="295"/>
      <c r="AV122" s="172"/>
      <c r="AW122" s="172"/>
    </row>
    <row r="123" spans="1:49">
      <c r="A123" s="130" t="s">
        <v>84</v>
      </c>
      <c r="B123" s="130" t="s">
        <v>369</v>
      </c>
      <c r="C123" s="130" t="s">
        <v>370</v>
      </c>
      <c r="D123" s="130" t="s">
        <v>371</v>
      </c>
      <c r="E123" s="363" t="s">
        <v>372</v>
      </c>
      <c r="F123" s="217" t="s">
        <v>304</v>
      </c>
      <c r="H123" s="218"/>
      <c r="I123" s="303"/>
      <c r="J123" s="303" t="s">
        <v>162</v>
      </c>
      <c r="K123" s="303" t="s">
        <v>117</v>
      </c>
      <c r="L123" s="303"/>
      <c r="M123" s="21"/>
      <c r="N123" s="16"/>
      <c r="O123" s="2"/>
      <c r="P123" s="2"/>
      <c r="Q123" s="303"/>
      <c r="R123" s="303"/>
      <c r="S123" s="303"/>
      <c r="T123" s="218"/>
      <c r="V123" s="372"/>
      <c r="W123" s="303"/>
      <c r="X123" s="218"/>
      <c r="Y123" s="303"/>
      <c r="Z123" s="303"/>
      <c r="AA123" s="303"/>
      <c r="AC123" s="380"/>
      <c r="AK123" s="304"/>
      <c r="AO123" s="205"/>
      <c r="AP123" s="213"/>
      <c r="AQ123" s="295"/>
      <c r="AR123" s="295"/>
      <c r="AV123" s="172"/>
      <c r="AW123" s="172"/>
    </row>
    <row r="124" spans="1:49">
      <c r="A124" s="367">
        <v>202311</v>
      </c>
      <c r="B124" s="341"/>
      <c r="C124" s="341">
        <v>240148.759999521</v>
      </c>
      <c r="D124" s="341"/>
      <c r="E124" s="341">
        <f t="shared" ref="E124:E145" si="38">B124+C124+D124</f>
        <v>240148.759999521</v>
      </c>
      <c r="F124" s="341">
        <f t="shared" ref="F124:F145" si="39">E124/10000</f>
        <v>24.0148759999521</v>
      </c>
      <c r="H124" s="218" t="s">
        <v>373</v>
      </c>
      <c r="I124" s="303" t="s">
        <v>27</v>
      </c>
      <c r="J124" s="303" t="s">
        <v>14</v>
      </c>
      <c r="K124" s="303"/>
      <c r="L124" s="303" t="s">
        <v>374</v>
      </c>
      <c r="M124" s="21"/>
      <c r="N124" s="197"/>
      <c r="O124" s="2"/>
      <c r="P124" s="2"/>
      <c r="Q124" s="303"/>
      <c r="R124" s="303"/>
      <c r="S124" s="303"/>
      <c r="T124" s="218"/>
      <c r="V124" s="372"/>
      <c r="W124" s="303"/>
      <c r="X124" s="218"/>
      <c r="Y124" s="303"/>
      <c r="Z124" s="303"/>
      <c r="AA124" s="303"/>
      <c r="AC124" s="380"/>
      <c r="AK124" s="304"/>
      <c r="AO124" s="205"/>
      <c r="AP124" s="213"/>
      <c r="AQ124" s="295"/>
      <c r="AR124" s="295"/>
      <c r="AV124" s="172"/>
      <c r="AW124" s="172"/>
    </row>
    <row r="125" spans="1:29">
      <c r="A125" s="367">
        <v>202312</v>
      </c>
      <c r="B125" s="341"/>
      <c r="C125" s="341">
        <v>403878.859999333</v>
      </c>
      <c r="D125" s="341"/>
      <c r="E125" s="341">
        <f t="shared" si="38"/>
        <v>403878.859999333</v>
      </c>
      <c r="F125" s="341">
        <f t="shared" si="39"/>
        <v>40.3878859999333</v>
      </c>
      <c r="H125" s="218"/>
      <c r="I125" s="303" t="s">
        <v>27</v>
      </c>
      <c r="J125" s="303" t="s">
        <v>14</v>
      </c>
      <c r="K125" s="303"/>
      <c r="L125" s="303" t="s">
        <v>338</v>
      </c>
      <c r="M125" s="21"/>
      <c r="N125" s="197"/>
      <c r="O125" s="2"/>
      <c r="P125"/>
      <c r="Q125" s="303"/>
      <c r="R125" s="303"/>
      <c r="S125" s="303"/>
      <c r="T125" s="218"/>
      <c r="V125" s="372"/>
      <c r="W125" s="303"/>
      <c r="X125" s="218"/>
      <c r="Y125" s="303"/>
      <c r="Z125" s="303"/>
      <c r="AA125" s="303"/>
      <c r="AC125" s="380"/>
    </row>
    <row r="126" spans="1:29">
      <c r="A126" s="368">
        <v>202401</v>
      </c>
      <c r="B126" s="323">
        <v>483812.06</v>
      </c>
      <c r="C126" s="323">
        <v>345275.989999727</v>
      </c>
      <c r="D126" s="323"/>
      <c r="E126" s="323">
        <f t="shared" si="38"/>
        <v>829088.049999727</v>
      </c>
      <c r="F126" s="323">
        <f t="shared" si="39"/>
        <v>82.9088049999727</v>
      </c>
      <c r="H126" s="218"/>
      <c r="I126" s="303" t="s">
        <v>27</v>
      </c>
      <c r="J126" s="303" t="s">
        <v>14</v>
      </c>
      <c r="K126" s="303"/>
      <c r="L126" s="303" t="s">
        <v>340</v>
      </c>
      <c r="M126" s="14"/>
      <c r="N126" s="197"/>
      <c r="O126"/>
      <c r="P126" s="303"/>
      <c r="Q126" s="303"/>
      <c r="R126" s="303"/>
      <c r="S126" s="303"/>
      <c r="T126" s="218"/>
      <c r="V126" s="372"/>
      <c r="W126" s="303"/>
      <c r="X126" s="218"/>
      <c r="Y126" s="303"/>
      <c r="Z126" s="303"/>
      <c r="AA126" s="303"/>
      <c r="AC126" s="380"/>
    </row>
    <row r="127" spans="1:29">
      <c r="A127" s="368">
        <v>202402</v>
      </c>
      <c r="B127" s="323">
        <v>505332.9</v>
      </c>
      <c r="C127" s="323">
        <v>536575.850000541</v>
      </c>
      <c r="D127" s="323"/>
      <c r="E127" s="323">
        <f t="shared" si="38"/>
        <v>1041908.75000054</v>
      </c>
      <c r="F127" s="323">
        <f t="shared" si="39"/>
        <v>104.190875000054</v>
      </c>
      <c r="H127" s="218"/>
      <c r="I127" s="303" t="s">
        <v>375</v>
      </c>
      <c r="J127" s="303" t="s">
        <v>166</v>
      </c>
      <c r="K127" s="303">
        <v>13915.39</v>
      </c>
      <c r="L127" s="303" t="s">
        <v>376</v>
      </c>
      <c r="M127" s="14"/>
      <c r="N127" s="172"/>
      <c r="O127"/>
      <c r="P127" s="370"/>
      <c r="Q127" s="370"/>
      <c r="R127" s="303"/>
      <c r="S127" s="303"/>
      <c r="T127" s="218"/>
      <c r="V127" s="372"/>
      <c r="W127" s="303"/>
      <c r="X127" s="218"/>
      <c r="Y127" s="303"/>
      <c r="Z127" s="303"/>
      <c r="AA127" s="303"/>
      <c r="AC127" s="380"/>
    </row>
    <row r="128" spans="1:29">
      <c r="A128" s="368">
        <v>202403</v>
      </c>
      <c r="B128" s="323">
        <v>456310.35</v>
      </c>
      <c r="C128" s="323">
        <v>306494.689999558</v>
      </c>
      <c r="D128" s="323"/>
      <c r="E128" s="323">
        <f t="shared" si="38"/>
        <v>762805.039999558</v>
      </c>
      <c r="F128" s="323">
        <f t="shared" si="39"/>
        <v>76.2805039999558</v>
      </c>
      <c r="H128" s="218"/>
      <c r="I128" s="303"/>
      <c r="J128" s="303" t="s">
        <v>166</v>
      </c>
      <c r="K128" s="303">
        <v>123235.73</v>
      </c>
      <c r="L128" s="303" t="s">
        <v>377</v>
      </c>
      <c r="M128" s="14"/>
      <c r="N128" s="172"/>
      <c r="O128" s="256"/>
      <c r="P128" s="371"/>
      <c r="Q128" s="371"/>
      <c r="R128" s="370"/>
      <c r="S128" s="303"/>
      <c r="T128" s="218"/>
      <c r="V128" s="372"/>
      <c r="W128" s="303"/>
      <c r="X128" s="218"/>
      <c r="Y128" s="303"/>
      <c r="Z128" s="303"/>
      <c r="AA128" s="303"/>
      <c r="AC128" s="380"/>
    </row>
    <row r="129" spans="1:29">
      <c r="A129" s="368">
        <v>202404</v>
      </c>
      <c r="B129" s="323">
        <v>406199.1</v>
      </c>
      <c r="C129" s="323">
        <v>256632.389999454</v>
      </c>
      <c r="D129" s="323"/>
      <c r="E129" s="323">
        <f t="shared" si="38"/>
        <v>662831.489999454</v>
      </c>
      <c r="F129" s="323">
        <f t="shared" si="39"/>
        <v>66.2831489999454</v>
      </c>
      <c r="H129" s="218"/>
      <c r="I129" s="303"/>
      <c r="J129" s="303" t="s">
        <v>166</v>
      </c>
      <c r="K129" s="303">
        <v>257059.89</v>
      </c>
      <c r="L129" s="303" t="s">
        <v>378</v>
      </c>
      <c r="M129"/>
      <c r="N129" s="194"/>
      <c r="O129" s="14"/>
      <c r="P129" s="14"/>
      <c r="Q129" s="14"/>
      <c r="R129" s="371"/>
      <c r="S129" s="303"/>
      <c r="T129" s="218"/>
      <c r="V129" s="372"/>
      <c r="W129" s="303"/>
      <c r="X129" s="218"/>
      <c r="Y129" s="303"/>
      <c r="Z129" s="303"/>
      <c r="AA129" s="303"/>
      <c r="AC129" s="380"/>
    </row>
    <row r="130" spans="1:29">
      <c r="A130" s="368">
        <v>202405</v>
      </c>
      <c r="B130" s="323">
        <v>287505.68</v>
      </c>
      <c r="C130" s="323">
        <v>144377.619999993</v>
      </c>
      <c r="D130" s="323"/>
      <c r="E130" s="323">
        <f t="shared" si="38"/>
        <v>431883.299999993</v>
      </c>
      <c r="F130" s="323">
        <f t="shared" si="39"/>
        <v>43.1883299999993</v>
      </c>
      <c r="H130" s="218"/>
      <c r="I130" s="303"/>
      <c r="J130" s="303" t="s">
        <v>166</v>
      </c>
      <c r="K130" s="303">
        <v>21171.38</v>
      </c>
      <c r="L130" s="303" t="s">
        <v>379</v>
      </c>
      <c r="M130"/>
      <c r="N130" s="194"/>
      <c r="O130" s="14"/>
      <c r="P130" s="14"/>
      <c r="Q130" s="14"/>
      <c r="R130" s="371"/>
      <c r="S130" s="303"/>
      <c r="T130" s="218"/>
      <c r="V130" s="372"/>
      <c r="W130" s="303"/>
      <c r="X130" s="218"/>
      <c r="Y130" s="303"/>
      <c r="Z130" s="303"/>
      <c r="AA130" s="303"/>
      <c r="AC130" s="380"/>
    </row>
    <row r="131" spans="1:29">
      <c r="A131" s="368">
        <v>202406</v>
      </c>
      <c r="B131" s="323">
        <v>4171129.49</v>
      </c>
      <c r="C131" s="323">
        <v>60793.1399999969</v>
      </c>
      <c r="D131" s="323"/>
      <c r="E131" s="323">
        <f t="shared" si="38"/>
        <v>4231922.63</v>
      </c>
      <c r="F131" s="323">
        <f t="shared" si="39"/>
        <v>423.192263</v>
      </c>
      <c r="H131" s="218"/>
      <c r="I131" s="303" t="s">
        <v>345</v>
      </c>
      <c r="J131" s="303"/>
      <c r="K131" s="303">
        <f>SUM(K124:K126)-SUM(K127:K130)</f>
        <v>-415382.39</v>
      </c>
      <c r="L131" s="303"/>
      <c r="M131"/>
      <c r="N131" s="194"/>
      <c r="O131" s="14"/>
      <c r="P131" s="14"/>
      <c r="Q131" s="14"/>
      <c r="R131" s="371"/>
      <c r="S131" s="303"/>
      <c r="T131" s="218"/>
      <c r="V131" s="372"/>
      <c r="W131" s="303"/>
      <c r="X131" s="218"/>
      <c r="Y131" s="303"/>
      <c r="Z131" s="303"/>
      <c r="AA131" s="303"/>
      <c r="AC131" s="380"/>
    </row>
    <row r="132" spans="1:29">
      <c r="A132" s="368">
        <v>202407</v>
      </c>
      <c r="B132" s="323">
        <v>251490.89</v>
      </c>
      <c r="C132" s="323">
        <v>61132.749999997</v>
      </c>
      <c r="D132" s="323"/>
      <c r="E132" s="323">
        <f t="shared" si="38"/>
        <v>312623.639999997</v>
      </c>
      <c r="F132" s="323">
        <f t="shared" si="39"/>
        <v>31.2623639999997</v>
      </c>
      <c r="H132" s="218"/>
      <c r="I132" s="303" t="s">
        <v>355</v>
      </c>
      <c r="J132" s="303"/>
      <c r="K132" s="303">
        <f>K120</f>
        <v>241272.31</v>
      </c>
      <c r="L132" s="303"/>
      <c r="M132" s="218"/>
      <c r="N132" s="194"/>
      <c r="O132" s="14"/>
      <c r="P132" s="14"/>
      <c r="Q132" s="14"/>
      <c r="R132" s="371"/>
      <c r="S132" s="303"/>
      <c r="T132" s="218"/>
      <c r="V132" s="372"/>
      <c r="W132" s="303"/>
      <c r="X132" s="218"/>
      <c r="Y132" s="303"/>
      <c r="Z132" s="303"/>
      <c r="AA132" s="303"/>
      <c r="AC132" s="380"/>
    </row>
    <row r="133" spans="1:29">
      <c r="A133" s="368">
        <v>202408</v>
      </c>
      <c r="B133" s="323">
        <v>220156.83</v>
      </c>
      <c r="C133" s="323">
        <v>40877.3500000021</v>
      </c>
      <c r="D133" s="323"/>
      <c r="E133" s="323">
        <f t="shared" si="38"/>
        <v>261034.180000002</v>
      </c>
      <c r="F133" s="323">
        <f t="shared" si="39"/>
        <v>26.1034180000002</v>
      </c>
      <c r="H133" s="218"/>
      <c r="I133" s="303"/>
      <c r="J133" s="303"/>
      <c r="K133" s="303"/>
      <c r="L133" s="303"/>
      <c r="M133" s="218"/>
      <c r="N133" s="172"/>
      <c r="O133" s="14"/>
      <c r="P133" s="14"/>
      <c r="Q133" s="14"/>
      <c r="R133" s="371"/>
      <c r="S133" s="303"/>
      <c r="T133" s="218"/>
      <c r="V133" s="372"/>
      <c r="W133" s="303"/>
      <c r="X133" s="218"/>
      <c r="Y133" s="303"/>
      <c r="Z133" s="303"/>
      <c r="AA133" s="303"/>
      <c r="AC133" s="380"/>
    </row>
    <row r="134" spans="1:29">
      <c r="A134" s="368">
        <v>202409</v>
      </c>
      <c r="B134" s="323">
        <v>108217.2</v>
      </c>
      <c r="C134" s="323"/>
      <c r="D134" s="323"/>
      <c r="E134" s="323">
        <f t="shared" si="38"/>
        <v>108217.2</v>
      </c>
      <c r="F134" s="323">
        <f t="shared" si="39"/>
        <v>10.82172</v>
      </c>
      <c r="H134" s="218"/>
      <c r="I134" s="303"/>
      <c r="J134" s="303"/>
      <c r="K134" s="303"/>
      <c r="L134" s="303"/>
      <c r="M134" s="218"/>
      <c r="N134" s="172"/>
      <c r="O134" s="14"/>
      <c r="P134" s="14"/>
      <c r="Q134" s="371"/>
      <c r="R134" s="371"/>
      <c r="S134" s="303"/>
      <c r="T134" s="218"/>
      <c r="V134" s="372"/>
      <c r="W134" s="303"/>
      <c r="X134" s="218"/>
      <c r="Y134" s="303"/>
      <c r="Z134" s="303"/>
      <c r="AA134" s="303"/>
      <c r="AC134" s="380"/>
    </row>
    <row r="135" spans="1:29">
      <c r="A135" s="368">
        <v>202410</v>
      </c>
      <c r="B135" s="323">
        <v>99768.16</v>
      </c>
      <c r="C135" s="323"/>
      <c r="D135" s="323"/>
      <c r="E135" s="323">
        <f t="shared" si="38"/>
        <v>99768.16</v>
      </c>
      <c r="F135" s="323">
        <f t="shared" si="39"/>
        <v>9.976816</v>
      </c>
      <c r="H135" s="218"/>
      <c r="I135" s="303"/>
      <c r="J135" s="303" t="s">
        <v>162</v>
      </c>
      <c r="K135" s="303" t="s">
        <v>117</v>
      </c>
      <c r="L135" s="303"/>
      <c r="M135" s="218"/>
      <c r="N135" s="172"/>
      <c r="O135" s="14"/>
      <c r="P135" s="14"/>
      <c r="Q135" s="371"/>
      <c r="R135" s="371"/>
      <c r="S135" s="303"/>
      <c r="T135" s="218"/>
      <c r="V135" s="372"/>
      <c r="W135" s="303"/>
      <c r="X135" s="218"/>
      <c r="Y135" s="303"/>
      <c r="Z135" s="303"/>
      <c r="AA135" s="303"/>
      <c r="AC135" s="380"/>
    </row>
    <row r="136" spans="1:29">
      <c r="A136" s="368">
        <v>202411</v>
      </c>
      <c r="B136" s="323">
        <v>125128.23</v>
      </c>
      <c r="C136" s="323">
        <v>66701</v>
      </c>
      <c r="D136" s="323"/>
      <c r="E136" s="323">
        <f t="shared" si="38"/>
        <v>191829.23</v>
      </c>
      <c r="F136" s="323">
        <f t="shared" si="39"/>
        <v>19.182923</v>
      </c>
      <c r="H136" s="218" t="s">
        <v>380</v>
      </c>
      <c r="I136" s="303" t="s">
        <v>27</v>
      </c>
      <c r="J136" s="303" t="s">
        <v>14</v>
      </c>
      <c r="K136" s="303"/>
      <c r="L136" s="303" t="s">
        <v>374</v>
      </c>
      <c r="M136" s="16"/>
      <c r="N136" s="172"/>
      <c r="O136" s="14"/>
      <c r="P136" s="256"/>
      <c r="Q136" s="370"/>
      <c r="R136" s="371"/>
      <c r="S136" s="303"/>
      <c r="T136" s="218"/>
      <c r="V136" s="372"/>
      <c r="W136" s="303"/>
      <c r="X136" s="218"/>
      <c r="Y136" s="303"/>
      <c r="Z136" s="303"/>
      <c r="AA136" s="303"/>
      <c r="AC136" s="380"/>
    </row>
    <row r="137" spans="1:29">
      <c r="A137" s="368">
        <v>202412</v>
      </c>
      <c r="B137" s="323">
        <f>148351.61+39817</f>
        <v>188168.61</v>
      </c>
      <c r="C137" s="323"/>
      <c r="D137" s="323">
        <v>4288989.56</v>
      </c>
      <c r="E137" s="323">
        <f t="shared" si="38"/>
        <v>4477158.17</v>
      </c>
      <c r="F137" s="323">
        <f t="shared" si="39"/>
        <v>447.715817</v>
      </c>
      <c r="H137" s="218"/>
      <c r="I137" s="303" t="s">
        <v>27</v>
      </c>
      <c r="J137" s="303" t="s">
        <v>14</v>
      </c>
      <c r="K137" s="303"/>
      <c r="L137" s="303" t="s">
        <v>338</v>
      </c>
      <c r="M137" s="218"/>
      <c r="N137" s="172"/>
      <c r="O137" s="256"/>
      <c r="P137" s="256"/>
      <c r="Q137" s="370"/>
      <c r="R137" s="370"/>
      <c r="S137" s="303"/>
      <c r="T137" s="218"/>
      <c r="V137" s="372"/>
      <c r="W137" s="303"/>
      <c r="X137" s="218"/>
      <c r="Y137" s="303"/>
      <c r="Z137" s="303"/>
      <c r="AA137" s="303"/>
      <c r="AC137" s="380"/>
    </row>
    <row r="138" spans="1:29">
      <c r="A138" s="365" t="s">
        <v>356</v>
      </c>
      <c r="B138" s="338">
        <v>87881.75</v>
      </c>
      <c r="C138" s="338"/>
      <c r="D138" s="338"/>
      <c r="E138" s="338">
        <f t="shared" si="38"/>
        <v>87881.75</v>
      </c>
      <c r="F138" s="338">
        <f t="shared" si="39"/>
        <v>8.788175</v>
      </c>
      <c r="H138" s="218"/>
      <c r="I138" s="303" t="s">
        <v>27</v>
      </c>
      <c r="J138" s="303" t="s">
        <v>14</v>
      </c>
      <c r="K138" s="303"/>
      <c r="L138" s="303" t="s">
        <v>340</v>
      </c>
      <c r="M138" s="218"/>
      <c r="N138" s="172"/>
      <c r="O138" s="256"/>
      <c r="P138" s="256"/>
      <c r="Q138" s="370"/>
      <c r="R138" s="370"/>
      <c r="S138" s="303"/>
      <c r="T138" s="218"/>
      <c r="V138" s="372"/>
      <c r="W138" s="303"/>
      <c r="X138" s="218"/>
      <c r="Y138" s="303"/>
      <c r="Z138" s="303"/>
      <c r="AA138" s="303"/>
      <c r="AC138" s="380"/>
    </row>
    <row r="139" spans="1:29">
      <c r="A139" s="365" t="s">
        <v>357</v>
      </c>
      <c r="B139" s="338">
        <v>58686.18</v>
      </c>
      <c r="C139" s="338"/>
      <c r="D139" s="338"/>
      <c r="E139" s="338">
        <f t="shared" si="38"/>
        <v>58686.18</v>
      </c>
      <c r="F139" s="338">
        <f t="shared" si="39"/>
        <v>5.868618</v>
      </c>
      <c r="H139" s="218"/>
      <c r="I139" s="303" t="s">
        <v>375</v>
      </c>
      <c r="J139" s="303" t="s">
        <v>166</v>
      </c>
      <c r="K139" s="303">
        <v>1270.28</v>
      </c>
      <c r="L139" s="303" t="s">
        <v>379</v>
      </c>
      <c r="M139" s="218"/>
      <c r="O139" s="256"/>
      <c r="P139"/>
      <c r="Q139" s="303"/>
      <c r="R139" s="370"/>
      <c r="S139" s="303"/>
      <c r="T139" s="218"/>
      <c r="V139" s="372"/>
      <c r="W139" s="303"/>
      <c r="X139" s="218"/>
      <c r="Y139" s="303"/>
      <c r="Z139" s="303"/>
      <c r="AA139" s="303"/>
      <c r="AC139" s="380"/>
    </row>
    <row r="140" spans="1:29">
      <c r="A140" s="365" t="s">
        <v>359</v>
      </c>
      <c r="B140" s="338">
        <v>16294.71</v>
      </c>
      <c r="C140" s="338"/>
      <c r="D140" s="338"/>
      <c r="E140" s="338">
        <f t="shared" si="38"/>
        <v>16294.71</v>
      </c>
      <c r="F140" s="338">
        <f t="shared" si="39"/>
        <v>1.629471</v>
      </c>
      <c r="H140" s="218"/>
      <c r="I140" s="303" t="s">
        <v>375</v>
      </c>
      <c r="J140" s="303" t="s">
        <v>166</v>
      </c>
      <c r="K140" s="303">
        <v>6000</v>
      </c>
      <c r="L140" s="303" t="s">
        <v>378</v>
      </c>
      <c r="M140" s="218"/>
      <c r="O140"/>
      <c r="P140"/>
      <c r="Q140" s="303"/>
      <c r="R140" s="303"/>
      <c r="S140" s="303"/>
      <c r="T140" s="218"/>
      <c r="V140" s="372"/>
      <c r="W140" s="303"/>
      <c r="X140" s="218"/>
      <c r="Y140" s="303"/>
      <c r="Z140" s="303"/>
      <c r="AA140" s="303"/>
      <c r="AC140" s="380"/>
    </row>
    <row r="141" spans="1:29">
      <c r="A141" s="365" t="s">
        <v>360</v>
      </c>
      <c r="B141" s="338">
        <v>19061.99</v>
      </c>
      <c r="C141" s="338"/>
      <c r="D141" s="338"/>
      <c r="E141" s="338">
        <f t="shared" si="38"/>
        <v>19061.99</v>
      </c>
      <c r="F141" s="338">
        <f t="shared" si="39"/>
        <v>1.906199</v>
      </c>
      <c r="H141" s="218"/>
      <c r="I141" s="303" t="s">
        <v>375</v>
      </c>
      <c r="J141" s="303" t="s">
        <v>166</v>
      </c>
      <c r="K141" s="303">
        <v>160393.66</v>
      </c>
      <c r="L141" s="303" t="s">
        <v>381</v>
      </c>
      <c r="M141" s="218"/>
      <c r="O141"/>
      <c r="P141"/>
      <c r="Q141" s="303"/>
      <c r="R141" s="303"/>
      <c r="S141" s="303"/>
      <c r="T141" s="218"/>
      <c r="V141" s="372"/>
      <c r="W141" s="303"/>
      <c r="X141" s="218"/>
      <c r="Y141" s="303"/>
      <c r="Z141" s="303"/>
      <c r="AA141" s="303"/>
      <c r="AC141" s="380"/>
    </row>
    <row r="142" spans="1:29">
      <c r="A142" s="365" t="s">
        <v>361</v>
      </c>
      <c r="B142" s="338">
        <v>20988.87</v>
      </c>
      <c r="C142" s="338"/>
      <c r="D142" s="338"/>
      <c r="E142" s="338">
        <f t="shared" si="38"/>
        <v>20988.87</v>
      </c>
      <c r="F142" s="338">
        <f t="shared" si="39"/>
        <v>2.098887</v>
      </c>
      <c r="H142" s="218"/>
      <c r="I142" s="303" t="s">
        <v>345</v>
      </c>
      <c r="J142" s="303"/>
      <c r="K142" s="303">
        <f>SUM(K136:K138)-SUM(K139:K141)</f>
        <v>-167663.94</v>
      </c>
      <c r="L142" s="303"/>
      <c r="O142"/>
      <c r="P142" s="2"/>
      <c r="Q142" s="370"/>
      <c r="R142" s="303"/>
      <c r="S142" s="303"/>
      <c r="T142" s="218"/>
      <c r="V142" s="372"/>
      <c r="W142" s="303"/>
      <c r="X142" s="218"/>
      <c r="Y142" s="303"/>
      <c r="Z142" s="303"/>
      <c r="AA142" s="303"/>
      <c r="AC142" s="380"/>
    </row>
    <row r="143" spans="1:29">
      <c r="A143" s="365" t="s">
        <v>362</v>
      </c>
      <c r="B143" s="338">
        <v>26969.04</v>
      </c>
      <c r="C143" s="338"/>
      <c r="D143" s="338"/>
      <c r="E143" s="338">
        <f t="shared" si="38"/>
        <v>26969.04</v>
      </c>
      <c r="F143" s="338">
        <f t="shared" si="39"/>
        <v>2.696904</v>
      </c>
      <c r="H143" s="218"/>
      <c r="I143" s="303" t="s">
        <v>355</v>
      </c>
      <c r="J143" s="303"/>
      <c r="K143" s="303">
        <f>K132</f>
        <v>241272.31</v>
      </c>
      <c r="L143" s="303"/>
      <c r="M143" s="218"/>
      <c r="O143" s="2"/>
      <c r="P143" s="2"/>
      <c r="Q143" s="2"/>
      <c r="R143" s="303"/>
      <c r="S143" s="303"/>
      <c r="T143" s="218"/>
      <c r="V143" s="372"/>
      <c r="W143" s="303"/>
      <c r="X143" s="218"/>
      <c r="Y143" s="303"/>
      <c r="Z143" s="303"/>
      <c r="AA143" s="303"/>
      <c r="AC143" s="380"/>
    </row>
    <row r="144" spans="1:57">
      <c r="A144" s="365" t="s">
        <v>363</v>
      </c>
      <c r="B144" s="338">
        <v>45189.92</v>
      </c>
      <c r="C144" s="338"/>
      <c r="D144" s="338"/>
      <c r="E144" s="338">
        <f t="shared" si="38"/>
        <v>45189.92</v>
      </c>
      <c r="F144" s="338">
        <f t="shared" si="39"/>
        <v>4.518992</v>
      </c>
      <c r="H144" s="218"/>
      <c r="M144" s="412"/>
      <c r="O144" s="2"/>
      <c r="P144" s="2"/>
      <c r="Q144" s="2"/>
      <c r="R144" s="412"/>
      <c r="S144" s="412"/>
      <c r="T144" s="303"/>
      <c r="V144" s="380"/>
      <c r="W144" s="303"/>
      <c r="X144" s="303"/>
      <c r="Y144" s="303"/>
      <c r="Z144" s="303"/>
      <c r="AB144" s="130"/>
      <c r="AC144" s="265"/>
      <c r="AD144"/>
      <c r="AE144" s="20"/>
      <c r="AF144" s="6"/>
      <c r="AG144" s="172"/>
      <c r="AH144" s="295"/>
      <c r="AI144" s="304"/>
      <c r="AJ144" s="304"/>
      <c r="AX144" s="159"/>
      <c r="AY144" s="159"/>
      <c r="BB144" s="305"/>
      <c r="BC144"/>
      <c r="BD144"/>
      <c r="BE144"/>
    </row>
    <row r="145" spans="1:57">
      <c r="A145" s="365" t="s">
        <v>364</v>
      </c>
      <c r="B145" s="338"/>
      <c r="C145" s="338"/>
      <c r="D145" s="338"/>
      <c r="E145" s="338">
        <f t="shared" si="38"/>
        <v>0</v>
      </c>
      <c r="F145" s="338">
        <f t="shared" si="39"/>
        <v>0</v>
      </c>
      <c r="H145" s="218"/>
      <c r="I145" s="303"/>
      <c r="J145" s="303"/>
      <c r="K145" s="303"/>
      <c r="L145" s="303"/>
      <c r="M145" s="412"/>
      <c r="O145" s="2"/>
      <c r="P145" s="2"/>
      <c r="Q145" s="2"/>
      <c r="R145" s="412"/>
      <c r="S145" s="412"/>
      <c r="T145" s="303"/>
      <c r="V145" s="380"/>
      <c r="W145" s="303"/>
      <c r="X145" s="303"/>
      <c r="Y145" s="303"/>
      <c r="Z145" s="303"/>
      <c r="AB145" s="130"/>
      <c r="AC145" s="265"/>
      <c r="AD145"/>
      <c r="AE145" s="20"/>
      <c r="AF145" s="6"/>
      <c r="AG145" s="172"/>
      <c r="AH145" s="295"/>
      <c r="AI145" s="304"/>
      <c r="AJ145" s="304"/>
      <c r="AX145" s="159"/>
      <c r="AY145" s="159"/>
      <c r="BB145" s="305"/>
      <c r="BC145"/>
      <c r="BD145"/>
      <c r="BE145"/>
    </row>
    <row r="146" spans="1:57">
      <c r="A146" s="1" t="s">
        <v>382</v>
      </c>
      <c r="B146" s="130">
        <f>SUM(B126:B137)</f>
        <v>7303219.5</v>
      </c>
      <c r="C146" s="130">
        <f>SUM(C126:C137)</f>
        <v>1818860.77999927</v>
      </c>
      <c r="D146" s="130">
        <f>SUM(D126:D137)</f>
        <v>4288989.56</v>
      </c>
      <c r="E146" s="130">
        <f>SUM(E126:E137)</f>
        <v>13411069.8399993</v>
      </c>
      <c r="F146" s="130">
        <f>SUM(F126:F137)</f>
        <v>1341.10698399993</v>
      </c>
      <c r="H146" s="218"/>
      <c r="I146" s="303"/>
      <c r="J146" s="303"/>
      <c r="K146" s="303"/>
      <c r="L146" s="303"/>
      <c r="M146" s="218"/>
      <c r="O146" s="2"/>
      <c r="P146" s="2"/>
      <c r="Q146" s="2"/>
      <c r="R146" s="218"/>
      <c r="S146" s="218"/>
      <c r="T146" s="303"/>
      <c r="V146" s="380"/>
      <c r="W146" s="303"/>
      <c r="X146" s="303"/>
      <c r="Y146" s="303"/>
      <c r="Z146" s="303"/>
      <c r="AB146" s="130"/>
      <c r="AC146" s="265"/>
      <c r="AD146"/>
      <c r="AE146" s="20"/>
      <c r="AF146" s="6"/>
      <c r="AG146" s="172"/>
      <c r="AH146" s="295"/>
      <c r="AI146" s="304"/>
      <c r="AJ146" s="304"/>
      <c r="AX146" s="159"/>
      <c r="AY146" s="159"/>
      <c r="BB146" s="305"/>
      <c r="BC146"/>
      <c r="BD146"/>
      <c r="BE146"/>
    </row>
    <row r="147" spans="1:57">
      <c r="A147" s="1" t="s">
        <v>383</v>
      </c>
      <c r="B147" s="130">
        <f>SUM(B138:B145)</f>
        <v>275072.46</v>
      </c>
      <c r="C147" s="130">
        <f>SUM(C138:C145)</f>
        <v>0</v>
      </c>
      <c r="D147" s="130">
        <f>SUM(D138:D145)</f>
        <v>0</v>
      </c>
      <c r="E147" s="130">
        <f>SUM(E138:E145)</f>
        <v>275072.46</v>
      </c>
      <c r="F147" s="130">
        <f>E147/10000</f>
        <v>27.507246</v>
      </c>
      <c r="H147" s="218"/>
      <c r="I147" s="303"/>
      <c r="J147" s="303" t="s">
        <v>162</v>
      </c>
      <c r="K147" s="303" t="s">
        <v>117</v>
      </c>
      <c r="L147" s="303"/>
      <c r="M147" s="218"/>
      <c r="O147" s="2"/>
      <c r="P147" s="2"/>
      <c r="Q147" s="2"/>
      <c r="R147" s="218"/>
      <c r="S147" s="218"/>
      <c r="T147" s="303"/>
      <c r="V147" s="380"/>
      <c r="W147" s="303"/>
      <c r="X147" s="303"/>
      <c r="Y147" s="303"/>
      <c r="Z147" s="303"/>
      <c r="AB147" s="130"/>
      <c r="AC147" s="265"/>
      <c r="AD147"/>
      <c r="AE147" s="20"/>
      <c r="AF147" s="6"/>
      <c r="AG147" s="172"/>
      <c r="AH147" s="295"/>
      <c r="AI147" s="304"/>
      <c r="AJ147" s="304"/>
      <c r="AX147" s="159"/>
      <c r="AY147" s="159"/>
      <c r="BB147" s="305"/>
      <c r="BC147"/>
      <c r="BD147"/>
      <c r="BE147"/>
    </row>
    <row r="148" spans="8:57">
      <c r="H148" s="218" t="s">
        <v>384</v>
      </c>
      <c r="I148" s="303" t="s">
        <v>27</v>
      </c>
      <c r="J148" s="303" t="s">
        <v>14</v>
      </c>
      <c r="K148" s="303"/>
      <c r="L148" s="303" t="s">
        <v>374</v>
      </c>
      <c r="M148" s="218"/>
      <c r="O148" s="2"/>
      <c r="P148" s="2"/>
      <c r="Q148" s="370"/>
      <c r="R148" s="218"/>
      <c r="S148" s="218"/>
      <c r="T148" s="303"/>
      <c r="V148" s="380"/>
      <c r="W148" s="303"/>
      <c r="X148" s="303"/>
      <c r="Y148" s="303"/>
      <c r="Z148" s="303"/>
      <c r="AB148" s="130"/>
      <c r="AC148" s="265"/>
      <c r="AD148"/>
      <c r="AE148" s="20"/>
      <c r="AF148" s="6"/>
      <c r="AG148" s="172"/>
      <c r="AH148" s="295"/>
      <c r="AI148" s="304"/>
      <c r="AJ148" s="304"/>
      <c r="AK148" s="304"/>
      <c r="AN148" s="205"/>
      <c r="AO148" s="213"/>
      <c r="AP148" s="295"/>
      <c r="AQ148" s="295"/>
      <c r="AR148" s="295"/>
      <c r="AU148" s="172"/>
      <c r="AV148" s="21"/>
      <c r="AW148" s="159"/>
      <c r="AX148" s="159"/>
      <c r="AY148" s="159"/>
      <c r="BB148" s="305"/>
      <c r="BC148"/>
      <c r="BD148"/>
      <c r="BE148"/>
    </row>
    <row r="149" spans="8:49">
      <c r="H149" s="218"/>
      <c r="I149" s="303" t="s">
        <v>27</v>
      </c>
      <c r="J149" s="303" t="s">
        <v>14</v>
      </c>
      <c r="K149" s="303"/>
      <c r="L149" s="303" t="s">
        <v>374</v>
      </c>
      <c r="M149" s="218"/>
      <c r="O149" s="2"/>
      <c r="P149" s="2"/>
      <c r="Q149" s="370"/>
      <c r="R149" s="303"/>
      <c r="S149" s="303"/>
      <c r="T149" s="218"/>
      <c r="V149" s="372"/>
      <c r="W149" s="303"/>
      <c r="X149" s="218"/>
      <c r="Y149" s="303"/>
      <c r="Z149" s="303"/>
      <c r="AA149" s="303"/>
      <c r="AC149" s="380"/>
      <c r="AK149" s="304"/>
      <c r="AN149" s="205"/>
      <c r="AO149" s="213"/>
      <c r="AP149" s="295"/>
      <c r="AQ149" s="295"/>
      <c r="AR149" s="295"/>
      <c r="AU149" s="172"/>
      <c r="AV149" s="21"/>
      <c r="AW149" s="159"/>
    </row>
    <row r="150" spans="1:49">
      <c r="A150" s="1" t="s">
        <v>385</v>
      </c>
      <c r="E150" s="389"/>
      <c r="H150" s="218"/>
      <c r="I150" s="303" t="s">
        <v>27</v>
      </c>
      <c r="J150" s="303" t="s">
        <v>14</v>
      </c>
      <c r="K150" s="303"/>
      <c r="L150" s="303" t="s">
        <v>338</v>
      </c>
      <c r="M150" s="218"/>
      <c r="O150" s="2"/>
      <c r="P150" s="2"/>
      <c r="Q150" s="370"/>
      <c r="R150" s="303"/>
      <c r="S150" s="303"/>
      <c r="T150" s="218"/>
      <c r="V150" s="372"/>
      <c r="W150" s="303"/>
      <c r="X150" s="218"/>
      <c r="Y150" s="303"/>
      <c r="Z150" s="303"/>
      <c r="AA150" s="303"/>
      <c r="AC150" s="380"/>
      <c r="AK150" s="304"/>
      <c r="AN150" s="205"/>
      <c r="AO150" s="213"/>
      <c r="AP150" s="295"/>
      <c r="AQ150" s="295"/>
      <c r="AR150" s="295"/>
      <c r="AU150" s="172"/>
      <c r="AV150" s="21"/>
      <c r="AW150" s="159"/>
    </row>
    <row r="151" spans="1:49">
      <c r="A151" s="390" t="s">
        <v>386</v>
      </c>
      <c r="B151" s="390" t="s">
        <v>387</v>
      </c>
      <c r="C151" s="391" t="s">
        <v>388</v>
      </c>
      <c r="D151" s="391" t="s">
        <v>389</v>
      </c>
      <c r="E151" s="391" t="s">
        <v>390</v>
      </c>
      <c r="F151" s="391" t="s">
        <v>304</v>
      </c>
      <c r="H151" s="218"/>
      <c r="I151" s="303" t="s">
        <v>27</v>
      </c>
      <c r="J151" s="303" t="s">
        <v>14</v>
      </c>
      <c r="K151" s="303"/>
      <c r="L151" s="303" t="s">
        <v>340</v>
      </c>
      <c r="M151" s="218"/>
      <c r="N151" s="172"/>
      <c r="O151" s="2"/>
      <c r="P151" s="2"/>
      <c r="Q151" s="370"/>
      <c r="R151" s="303"/>
      <c r="S151" s="303"/>
      <c r="T151" s="218"/>
      <c r="V151" s="372"/>
      <c r="W151" s="303"/>
      <c r="X151" s="218"/>
      <c r="Y151" s="303"/>
      <c r="Z151" s="303"/>
      <c r="AA151" s="303"/>
      <c r="AC151" s="380"/>
      <c r="AK151" s="304"/>
      <c r="AN151" s="205"/>
      <c r="AO151" s="213"/>
      <c r="AP151" s="295"/>
      <c r="AQ151" s="295"/>
      <c r="AR151" s="295"/>
      <c r="AU151" s="172"/>
      <c r="AV151" s="21"/>
      <c r="AW151" s="159"/>
    </row>
    <row r="152" spans="1:49">
      <c r="A152" s="392">
        <v>45230</v>
      </c>
      <c r="B152" s="393" t="s">
        <v>391</v>
      </c>
      <c r="C152" s="394">
        <v>39352.86</v>
      </c>
      <c r="D152" s="320"/>
      <c r="E152" s="395">
        <f t="shared" ref="E152:E168" si="40">SUM(C152:D152)</f>
        <v>39352.86</v>
      </c>
      <c r="F152" s="311">
        <f t="shared" ref="F152:F168" si="41">E152/10000</f>
        <v>3.935286</v>
      </c>
      <c r="H152" s="218"/>
      <c r="I152" s="303" t="s">
        <v>375</v>
      </c>
      <c r="J152" s="303" t="s">
        <v>14</v>
      </c>
      <c r="K152" s="303"/>
      <c r="L152" s="303" t="s">
        <v>351</v>
      </c>
      <c r="M152" s="16"/>
      <c r="N152" s="172"/>
      <c r="O152" s="2"/>
      <c r="P152"/>
      <c r="Q152" s="303"/>
      <c r="R152" s="303"/>
      <c r="S152" s="303"/>
      <c r="T152" s="412"/>
      <c r="V152" s="372"/>
      <c r="W152" s="303"/>
      <c r="X152" s="218"/>
      <c r="Y152" s="303"/>
      <c r="Z152" s="303"/>
      <c r="AA152" s="303"/>
      <c r="AC152" s="380"/>
      <c r="AK152" s="304"/>
      <c r="AN152" s="205"/>
      <c r="AO152" s="213"/>
      <c r="AP152" s="295"/>
      <c r="AQ152" s="295"/>
      <c r="AR152" s="295"/>
      <c r="AU152" s="172"/>
      <c r="AV152" s="21"/>
      <c r="AW152" s="159"/>
    </row>
    <row r="153" spans="1:29">
      <c r="A153" s="392">
        <v>45260</v>
      </c>
      <c r="B153" s="393" t="s">
        <v>391</v>
      </c>
      <c r="C153" s="394">
        <v>816293.38</v>
      </c>
      <c r="D153" s="320"/>
      <c r="E153" s="395">
        <f t="shared" si="40"/>
        <v>816293.38</v>
      </c>
      <c r="F153" s="311">
        <f t="shared" si="41"/>
        <v>81.629338</v>
      </c>
      <c r="H153" s="218"/>
      <c r="I153" s="303" t="s">
        <v>345</v>
      </c>
      <c r="J153" s="303"/>
      <c r="K153" s="303">
        <f>SUM(K148:K152)</f>
        <v>0</v>
      </c>
      <c r="L153" s="303"/>
      <c r="M153" s="16"/>
      <c r="N153" s="172"/>
      <c r="O153"/>
      <c r="P153"/>
      <c r="Q153" s="303"/>
      <c r="R153" s="303"/>
      <c r="S153" s="303"/>
      <c r="T153" s="218"/>
      <c r="V153" s="372"/>
      <c r="W153" s="303"/>
      <c r="X153" s="218"/>
      <c r="Y153" s="303"/>
      <c r="Z153" s="303"/>
      <c r="AA153" s="303"/>
      <c r="AC153" s="380"/>
    </row>
    <row r="154" spans="1:29">
      <c r="A154" s="392">
        <v>45291</v>
      </c>
      <c r="B154" s="393" t="s">
        <v>391</v>
      </c>
      <c r="C154" s="394">
        <v>3671150.05</v>
      </c>
      <c r="D154" s="320"/>
      <c r="E154" s="395">
        <f t="shared" si="40"/>
        <v>3671150.05</v>
      </c>
      <c r="F154" s="311">
        <f t="shared" si="41"/>
        <v>367.115005</v>
      </c>
      <c r="H154" s="218"/>
      <c r="I154" s="303" t="s">
        <v>347</v>
      </c>
      <c r="J154" s="303"/>
      <c r="K154" s="303">
        <v>0</v>
      </c>
      <c r="L154" s="303"/>
      <c r="M154" s="16"/>
      <c r="N154" s="194"/>
      <c r="O154"/>
      <c r="P154"/>
      <c r="Q154" s="303"/>
      <c r="R154" s="303"/>
      <c r="S154" s="303"/>
      <c r="T154" s="218"/>
      <c r="V154" s="372"/>
      <c r="W154" s="303"/>
      <c r="X154" s="218"/>
      <c r="Y154" s="303"/>
      <c r="Z154" s="303"/>
      <c r="AA154" s="303"/>
      <c r="AC154" s="380"/>
    </row>
    <row r="155" spans="1:29">
      <c r="A155" s="396">
        <v>45351</v>
      </c>
      <c r="B155" s="397" t="s">
        <v>391</v>
      </c>
      <c r="C155" s="398">
        <v>37502.42</v>
      </c>
      <c r="D155" s="398">
        <v>0</v>
      </c>
      <c r="E155" s="399">
        <f t="shared" si="40"/>
        <v>37502.42</v>
      </c>
      <c r="F155" s="312">
        <f t="shared" si="41"/>
        <v>3.750242</v>
      </c>
      <c r="H155" s="218"/>
      <c r="I155" s="303" t="s">
        <v>355</v>
      </c>
      <c r="J155" s="303"/>
      <c r="K155" s="303">
        <f>K143+K153</f>
        <v>241272.31</v>
      </c>
      <c r="L155" s="303"/>
      <c r="M155" s="218"/>
      <c r="N155" s="194"/>
      <c r="O155"/>
      <c r="P155" s="14"/>
      <c r="Q155" s="371"/>
      <c r="R155" s="303"/>
      <c r="S155" s="303"/>
      <c r="T155" s="218"/>
      <c r="V155" s="372"/>
      <c r="W155" s="303"/>
      <c r="X155" s="218"/>
      <c r="Y155" s="303"/>
      <c r="Z155" s="303"/>
      <c r="AA155" s="303"/>
      <c r="AC155" s="380"/>
    </row>
    <row r="156" spans="1:29">
      <c r="A156" s="396">
        <v>45382</v>
      </c>
      <c r="B156" s="397" t="s">
        <v>391</v>
      </c>
      <c r="C156" s="398">
        <v>1952035.22</v>
      </c>
      <c r="D156" s="398">
        <v>2527990.93</v>
      </c>
      <c r="E156" s="399">
        <f t="shared" si="40"/>
        <v>4480026.15</v>
      </c>
      <c r="F156" s="312">
        <f t="shared" si="41"/>
        <v>448.002615</v>
      </c>
      <c r="H156" s="218"/>
      <c r="I156" s="303"/>
      <c r="J156" s="303"/>
      <c r="K156" s="303"/>
      <c r="L156" s="303"/>
      <c r="M156" s="218"/>
      <c r="N156" s="194"/>
      <c r="O156" s="14"/>
      <c r="P156" s="14"/>
      <c r="Q156" s="371"/>
      <c r="R156" s="371"/>
      <c r="S156" s="303"/>
      <c r="T156" s="218"/>
      <c r="V156" s="372"/>
      <c r="W156" s="303"/>
      <c r="X156" s="218"/>
      <c r="Y156" s="303"/>
      <c r="Z156" s="303"/>
      <c r="AA156" s="303"/>
      <c r="AC156" s="380"/>
    </row>
    <row r="157" spans="1:29">
      <c r="A157" s="396">
        <v>45412</v>
      </c>
      <c r="B157" s="397" t="s">
        <v>391</v>
      </c>
      <c r="C157" s="398">
        <v>301279.46</v>
      </c>
      <c r="D157" s="398">
        <v>903869.9</v>
      </c>
      <c r="E157" s="399">
        <f t="shared" si="40"/>
        <v>1205149.36</v>
      </c>
      <c r="F157" s="312">
        <f t="shared" si="41"/>
        <v>120.514936</v>
      </c>
      <c r="H157" s="218"/>
      <c r="I157" s="303"/>
      <c r="J157" s="303"/>
      <c r="K157" s="303"/>
      <c r="L157" s="303"/>
      <c r="M157" s="218"/>
      <c r="N157" s="194"/>
      <c r="O157" s="14"/>
      <c r="P157" s="14"/>
      <c r="Q157" s="14"/>
      <c r="R157" s="371"/>
      <c r="S157" s="303"/>
      <c r="T157" s="218"/>
      <c r="V157" s="372"/>
      <c r="W157" s="303"/>
      <c r="X157" s="218"/>
      <c r="Y157" s="303"/>
      <c r="Z157" s="303"/>
      <c r="AA157" s="303"/>
      <c r="AC157" s="380"/>
    </row>
    <row r="158" spans="1:29">
      <c r="A158" s="396">
        <v>45443</v>
      </c>
      <c r="B158" s="397" t="s">
        <v>391</v>
      </c>
      <c r="C158" s="398">
        <v>445947.05</v>
      </c>
      <c r="D158" s="398">
        <v>860833.17</v>
      </c>
      <c r="E158" s="399">
        <f t="shared" si="40"/>
        <v>1306780.22</v>
      </c>
      <c r="F158" s="312">
        <f t="shared" si="41"/>
        <v>130.678022</v>
      </c>
      <c r="H158" s="218"/>
      <c r="I158" s="303"/>
      <c r="J158" s="303" t="s">
        <v>162</v>
      </c>
      <c r="K158" s="303" t="s">
        <v>117</v>
      </c>
      <c r="L158" s="303"/>
      <c r="M158" s="16"/>
      <c r="N158" s="194"/>
      <c r="O158" s="14"/>
      <c r="P158" s="14"/>
      <c r="Q158" s="14"/>
      <c r="R158" s="371"/>
      <c r="S158" s="303"/>
      <c r="T158" s="218"/>
      <c r="V158" s="372"/>
      <c r="W158" s="303"/>
      <c r="X158" s="218"/>
      <c r="Y158" s="303"/>
      <c r="Z158" s="303"/>
      <c r="AA158" s="303"/>
      <c r="AC158" s="380"/>
    </row>
    <row r="159" spans="1:29">
      <c r="A159" s="396">
        <v>45473</v>
      </c>
      <c r="B159" s="397" t="s">
        <v>391</v>
      </c>
      <c r="C159" s="398">
        <v>475177.75</v>
      </c>
      <c r="D159" s="398">
        <v>1342349.22</v>
      </c>
      <c r="E159" s="399">
        <f t="shared" si="40"/>
        <v>1817526.97</v>
      </c>
      <c r="F159" s="312">
        <f t="shared" si="41"/>
        <v>181.752697</v>
      </c>
      <c r="H159" s="218" t="s">
        <v>392</v>
      </c>
      <c r="I159" s="303" t="s">
        <v>27</v>
      </c>
      <c r="J159" s="303" t="s">
        <v>14</v>
      </c>
      <c r="K159" s="303"/>
      <c r="L159" s="303" t="s">
        <v>374</v>
      </c>
      <c r="M159" s="412"/>
      <c r="N159" s="194"/>
      <c r="O159" s="14"/>
      <c r="P159" s="14"/>
      <c r="Q159" s="14"/>
      <c r="R159" s="371"/>
      <c r="S159" s="303"/>
      <c r="T159" s="218"/>
      <c r="V159" s="372"/>
      <c r="W159" s="303"/>
      <c r="X159" s="218"/>
      <c r="Y159" s="303"/>
      <c r="Z159" s="303"/>
      <c r="AA159" s="303"/>
      <c r="AC159" s="380"/>
    </row>
    <row r="160" spans="1:29">
      <c r="A160" s="396">
        <v>45504</v>
      </c>
      <c r="B160" s="397" t="s">
        <v>391</v>
      </c>
      <c r="C160" s="398">
        <v>2181765.17</v>
      </c>
      <c r="D160" s="398">
        <v>1270485.38</v>
      </c>
      <c r="E160" s="399">
        <f t="shared" si="40"/>
        <v>3452250.55</v>
      </c>
      <c r="F160" s="312">
        <f t="shared" si="41"/>
        <v>345.225055</v>
      </c>
      <c r="H160" s="218"/>
      <c r="I160" s="303" t="s">
        <v>27</v>
      </c>
      <c r="J160" s="303" t="s">
        <v>14</v>
      </c>
      <c r="K160" s="303"/>
      <c r="L160" s="303" t="s">
        <v>338</v>
      </c>
      <c r="M160" s="218"/>
      <c r="N160" s="194"/>
      <c r="O160" s="14"/>
      <c r="P160" s="14"/>
      <c r="Q160" s="14"/>
      <c r="R160" s="371"/>
      <c r="S160" s="303"/>
      <c r="T160" s="218"/>
      <c r="V160" s="372"/>
      <c r="W160" s="303"/>
      <c r="X160" s="218"/>
      <c r="Y160" s="303"/>
      <c r="Z160" s="303"/>
      <c r="AA160" s="303"/>
      <c r="AC160" s="380"/>
    </row>
    <row r="161" spans="1:29">
      <c r="A161" s="396">
        <v>45565</v>
      </c>
      <c r="B161" s="397" t="s">
        <v>391</v>
      </c>
      <c r="C161" s="398">
        <v>-119123.77</v>
      </c>
      <c r="D161" s="398">
        <v>5617</v>
      </c>
      <c r="E161" s="399">
        <f t="shared" si="40"/>
        <v>-113506.77</v>
      </c>
      <c r="F161" s="312">
        <f t="shared" si="41"/>
        <v>-11.350677</v>
      </c>
      <c r="H161" s="218"/>
      <c r="I161" s="303" t="s">
        <v>27</v>
      </c>
      <c r="J161" s="303" t="s">
        <v>14</v>
      </c>
      <c r="K161" s="303"/>
      <c r="L161" s="303" t="s">
        <v>340</v>
      </c>
      <c r="M161" s="16"/>
      <c r="N161" s="194"/>
      <c r="O161" s="14"/>
      <c r="P161" s="14"/>
      <c r="Q161" s="14"/>
      <c r="R161" s="371"/>
      <c r="S161" s="303"/>
      <c r="T161" s="218"/>
      <c r="V161" s="372"/>
      <c r="W161" s="303"/>
      <c r="X161" s="218"/>
      <c r="Y161" s="303"/>
      <c r="Z161" s="303"/>
      <c r="AA161" s="303"/>
      <c r="AC161" s="380"/>
    </row>
    <row r="162" spans="1:29">
      <c r="A162" s="754" t="s">
        <v>393</v>
      </c>
      <c r="B162" s="401" t="s">
        <v>391</v>
      </c>
      <c r="C162" s="402">
        <v>50027.08</v>
      </c>
      <c r="D162" s="402"/>
      <c r="E162" s="403">
        <f t="shared" si="40"/>
        <v>50027.08</v>
      </c>
      <c r="F162" s="313">
        <f t="shared" si="41"/>
        <v>5.002708</v>
      </c>
      <c r="H162" s="218"/>
      <c r="I162" s="303" t="s">
        <v>375</v>
      </c>
      <c r="J162" s="303" t="s">
        <v>14</v>
      </c>
      <c r="K162" s="303"/>
      <c r="L162" s="303" t="s">
        <v>351</v>
      </c>
      <c r="M162" s="16"/>
      <c r="N162" s="194"/>
      <c r="O162" s="14"/>
      <c r="P162" s="14"/>
      <c r="Q162" s="371"/>
      <c r="R162" s="371"/>
      <c r="S162" s="303"/>
      <c r="T162" s="218"/>
      <c r="V162" s="372"/>
      <c r="W162" s="303"/>
      <c r="X162" s="218"/>
      <c r="Y162" s="303"/>
      <c r="Z162" s="303"/>
      <c r="AA162" s="303"/>
      <c r="AC162" s="380"/>
    </row>
    <row r="163" spans="1:29">
      <c r="A163" s="754" t="s">
        <v>394</v>
      </c>
      <c r="B163" s="401" t="s">
        <v>391</v>
      </c>
      <c r="C163" s="402"/>
      <c r="D163" s="402"/>
      <c r="E163" s="403">
        <f t="shared" si="40"/>
        <v>0</v>
      </c>
      <c r="F163" s="313">
        <f t="shared" si="41"/>
        <v>0</v>
      </c>
      <c r="H163" s="218"/>
      <c r="I163" s="303" t="s">
        <v>345</v>
      </c>
      <c r="J163" s="303"/>
      <c r="K163" s="303">
        <f>SUM(K159:K162)</f>
        <v>0</v>
      </c>
      <c r="L163" s="303"/>
      <c r="M163" s="218"/>
      <c r="N163" s="172"/>
      <c r="O163" s="14"/>
      <c r="P163" s="14"/>
      <c r="Q163" s="371"/>
      <c r="R163" s="371"/>
      <c r="S163" s="303"/>
      <c r="T163" s="218"/>
      <c r="V163" s="372"/>
      <c r="W163" s="303"/>
      <c r="X163" s="218"/>
      <c r="Y163" s="303"/>
      <c r="Z163" s="303"/>
      <c r="AA163" s="303"/>
      <c r="AC163" s="380"/>
    </row>
    <row r="164" spans="1:29">
      <c r="A164" s="754" t="s">
        <v>395</v>
      </c>
      <c r="B164" s="401" t="s">
        <v>391</v>
      </c>
      <c r="C164" s="402"/>
      <c r="D164" s="402">
        <v>148857.74</v>
      </c>
      <c r="E164" s="403">
        <f t="shared" si="40"/>
        <v>148857.74</v>
      </c>
      <c r="F164" s="313">
        <f t="shared" si="41"/>
        <v>14.885774</v>
      </c>
      <c r="H164" s="218"/>
      <c r="I164" s="303" t="s">
        <v>347</v>
      </c>
      <c r="J164" s="303"/>
      <c r="K164" s="303">
        <v>0</v>
      </c>
      <c r="L164" s="303"/>
      <c r="M164" s="218"/>
      <c r="N164" s="172"/>
      <c r="O164" s="14"/>
      <c r="P164"/>
      <c r="Q164"/>
      <c r="R164" s="371"/>
      <c r="S164" s="303"/>
      <c r="T164" s="218"/>
      <c r="V164" s="372"/>
      <c r="W164" s="303"/>
      <c r="X164" s="218"/>
      <c r="Y164" s="303"/>
      <c r="Z164" s="303"/>
      <c r="AA164" s="303"/>
      <c r="AC164" s="380"/>
    </row>
    <row r="165" spans="1:29">
      <c r="A165" s="754" t="s">
        <v>396</v>
      </c>
      <c r="B165" s="401" t="s">
        <v>391</v>
      </c>
      <c r="C165" s="402"/>
      <c r="D165" s="402">
        <v>277169.33</v>
      </c>
      <c r="E165" s="403">
        <f t="shared" si="40"/>
        <v>277169.33</v>
      </c>
      <c r="F165" s="313">
        <f t="shared" si="41"/>
        <v>27.716933</v>
      </c>
      <c r="H165" s="218"/>
      <c r="I165" s="303" t="s">
        <v>355</v>
      </c>
      <c r="J165" s="303"/>
      <c r="K165" s="303">
        <f>K155+K163</f>
        <v>241272.31</v>
      </c>
      <c r="L165" s="303"/>
      <c r="M165" s="218"/>
      <c r="N165" s="172"/>
      <c r="O165"/>
      <c r="P165"/>
      <c r="Q165"/>
      <c r="R165" s="371"/>
      <c r="S165" s="303"/>
      <c r="T165" s="218"/>
      <c r="V165" s="372"/>
      <c r="W165" s="303"/>
      <c r="X165" s="218"/>
      <c r="Y165" s="303"/>
      <c r="Z165" s="303"/>
      <c r="AA165" s="303"/>
      <c r="AC165" s="380"/>
    </row>
    <row r="166" spans="1:29">
      <c r="A166" s="754" t="s">
        <v>397</v>
      </c>
      <c r="B166" s="401" t="s">
        <v>391</v>
      </c>
      <c r="C166" s="402"/>
      <c r="D166" s="402">
        <v>300135.91</v>
      </c>
      <c r="E166" s="403">
        <f t="shared" si="40"/>
        <v>300135.91</v>
      </c>
      <c r="F166" s="313">
        <f t="shared" si="41"/>
        <v>30.013591</v>
      </c>
      <c r="H166" s="218"/>
      <c r="I166" s="303"/>
      <c r="J166" s="218"/>
      <c r="K166" s="303"/>
      <c r="L166" s="303"/>
      <c r="M166" s="218"/>
      <c r="N166" s="172"/>
      <c r="O166"/>
      <c r="P166"/>
      <c r="Q166"/>
      <c r="R166" s="370"/>
      <c r="S166" s="303"/>
      <c r="T166" s="218"/>
      <c r="V166" s="372"/>
      <c r="W166" s="303"/>
      <c r="X166" s="218"/>
      <c r="Y166" s="303"/>
      <c r="Z166" s="303"/>
      <c r="AA166" s="303"/>
      <c r="AC166" s="380"/>
    </row>
    <row r="167" spans="1:29">
      <c r="A167" s="754" t="s">
        <v>398</v>
      </c>
      <c r="B167" s="401" t="s">
        <v>391</v>
      </c>
      <c r="C167" s="402"/>
      <c r="D167" s="402">
        <v>786494.76</v>
      </c>
      <c r="E167" s="403">
        <f t="shared" si="40"/>
        <v>786494.76</v>
      </c>
      <c r="F167" s="313">
        <f t="shared" si="41"/>
        <v>78.649476</v>
      </c>
      <c r="H167" s="218"/>
      <c r="I167" s="303"/>
      <c r="J167" s="303"/>
      <c r="K167" s="303"/>
      <c r="L167" s="303"/>
      <c r="M167" s="412"/>
      <c r="N167" s="172"/>
      <c r="O167"/>
      <c r="P167"/>
      <c r="Q167"/>
      <c r="R167" s="370"/>
      <c r="S167" s="303"/>
      <c r="T167" s="412"/>
      <c r="V167" s="372"/>
      <c r="W167" s="303"/>
      <c r="X167" s="218"/>
      <c r="Y167" s="303"/>
      <c r="Z167" s="303"/>
      <c r="AA167" s="303"/>
      <c r="AC167" s="380"/>
    </row>
    <row r="168" spans="1:29">
      <c r="A168" s="754" t="s">
        <v>399</v>
      </c>
      <c r="B168" s="401" t="s">
        <v>391</v>
      </c>
      <c r="C168" s="402"/>
      <c r="D168" s="402">
        <v>415600</v>
      </c>
      <c r="E168" s="403">
        <f t="shared" si="40"/>
        <v>415600</v>
      </c>
      <c r="F168" s="313">
        <f t="shared" si="41"/>
        <v>41.56</v>
      </c>
      <c r="H168" s="218"/>
      <c r="I168" s="303"/>
      <c r="J168" s="303"/>
      <c r="K168" s="303"/>
      <c r="L168" s="303"/>
      <c r="M168" s="412"/>
      <c r="N168" s="172"/>
      <c r="O168"/>
      <c r="P168"/>
      <c r="Q168"/>
      <c r="R168" s="370"/>
      <c r="S168" s="303"/>
      <c r="T168" s="412"/>
      <c r="V168" s="372"/>
      <c r="W168" s="303"/>
      <c r="X168" s="218"/>
      <c r="Y168" s="303"/>
      <c r="Z168" s="303"/>
      <c r="AA168" s="303"/>
      <c r="AC168" s="380"/>
    </row>
    <row r="169" spans="1:29">
      <c r="A169" s="754" t="s">
        <v>400</v>
      </c>
      <c r="B169" s="401" t="s">
        <v>391</v>
      </c>
      <c r="C169" s="402"/>
      <c r="D169" s="402"/>
      <c r="E169" s="403"/>
      <c r="F169" s="313"/>
      <c r="H169" s="218"/>
      <c r="I169" s="303"/>
      <c r="J169" s="383"/>
      <c r="K169" s="303"/>
      <c r="L169" s="303"/>
      <c r="M169" s="412"/>
      <c r="N169" s="172"/>
      <c r="O169"/>
      <c r="P169"/>
      <c r="Q169" s="370"/>
      <c r="R169" s="370"/>
      <c r="S169" s="303"/>
      <c r="T169" s="412"/>
      <c r="V169" s="372"/>
      <c r="W169" s="303"/>
      <c r="X169" s="218"/>
      <c r="Y169" s="303"/>
      <c r="Z169" s="303"/>
      <c r="AA169" s="303"/>
      <c r="AC169" s="380"/>
    </row>
    <row r="170" spans="1:29">
      <c r="A170" s="1" t="s">
        <v>365</v>
      </c>
      <c r="C170" s="130">
        <f>SUM(C152:C154)</f>
        <v>4526796.29</v>
      </c>
      <c r="D170" s="130">
        <f>SUM(D152:D154)</f>
        <v>0</v>
      </c>
      <c r="E170" s="130">
        <f>SUM(E152:E154)</f>
        <v>4526796.29</v>
      </c>
      <c r="F170" s="244">
        <f>SUM(F152:F154)</f>
        <v>452.679629</v>
      </c>
      <c r="H170" s="218" t="s">
        <v>401</v>
      </c>
      <c r="I170" s="303" t="s">
        <v>402</v>
      </c>
      <c r="J170" s="303" t="s">
        <v>162</v>
      </c>
      <c r="K170" s="303" t="s">
        <v>117</v>
      </c>
      <c r="L170" s="303" t="s">
        <v>70</v>
      </c>
      <c r="M170" s="412"/>
      <c r="N170" s="172"/>
      <c r="O170"/>
      <c r="P170"/>
      <c r="Q170" s="303"/>
      <c r="R170" s="370"/>
      <c r="S170" s="303"/>
      <c r="T170" s="412"/>
      <c r="V170" s="372"/>
      <c r="W170" s="303"/>
      <c r="X170" s="218"/>
      <c r="Y170" s="303"/>
      <c r="Z170" s="303"/>
      <c r="AA170" s="303"/>
      <c r="AC170" s="380"/>
    </row>
    <row r="171" spans="1:29">
      <c r="A171" s="1" t="s">
        <v>366</v>
      </c>
      <c r="C171" s="130">
        <f>SUM(C155:C161)</f>
        <v>5274583.3</v>
      </c>
      <c r="D171" s="130">
        <f>SUM(D155:D161)</f>
        <v>6911145.6</v>
      </c>
      <c r="E171" s="130">
        <f>SUM(E155:E161)</f>
        <v>12185728.9</v>
      </c>
      <c r="F171" s="244">
        <f>SUM(F155:F161)</f>
        <v>1218.57289</v>
      </c>
      <c r="H171" s="218"/>
      <c r="I171" s="303" t="s">
        <v>27</v>
      </c>
      <c r="J171" s="303" t="s">
        <v>14</v>
      </c>
      <c r="K171" s="303"/>
      <c r="L171" s="413" t="s">
        <v>374</v>
      </c>
      <c r="M171" s="412"/>
      <c r="N171" s="172"/>
      <c r="O171"/>
      <c r="P171"/>
      <c r="Q171" s="303"/>
      <c r="R171" s="303"/>
      <c r="S171" s="303"/>
      <c r="T171" s="412"/>
      <c r="V171" s="372"/>
      <c r="W171" s="303"/>
      <c r="X171" s="218"/>
      <c r="Y171" s="303"/>
      <c r="Z171" s="303"/>
      <c r="AA171" s="303"/>
      <c r="AC171" s="380"/>
    </row>
    <row r="172" spans="1:29">
      <c r="A172" s="1" t="s">
        <v>367</v>
      </c>
      <c r="C172" s="130">
        <f>SUM(C162:C169)</f>
        <v>50027.08</v>
      </c>
      <c r="D172" s="130">
        <f>SUM(D162:D169)</f>
        <v>1928257.74</v>
      </c>
      <c r="E172" s="130">
        <f>SUM(E162:E169)</f>
        <v>1978284.82</v>
      </c>
      <c r="F172" s="244">
        <f>SUM(F162:F169)</f>
        <v>197.828482</v>
      </c>
      <c r="H172" s="218"/>
      <c r="I172" s="303" t="s">
        <v>27</v>
      </c>
      <c r="J172" s="303" t="s">
        <v>14</v>
      </c>
      <c r="K172" s="303"/>
      <c r="L172" s="413" t="s">
        <v>338</v>
      </c>
      <c r="M172" s="412"/>
      <c r="N172" s="295"/>
      <c r="O172"/>
      <c r="P172"/>
      <c r="Q172" s="303"/>
      <c r="R172" s="303"/>
      <c r="S172" s="303"/>
      <c r="T172" s="412"/>
      <c r="V172" s="372"/>
      <c r="W172" s="303"/>
      <c r="X172" s="218"/>
      <c r="Y172" s="303"/>
      <c r="Z172" s="303"/>
      <c r="AA172" s="303"/>
      <c r="AC172" s="380"/>
    </row>
    <row r="173" spans="6:29">
      <c r="F173" s="244"/>
      <c r="H173" s="218"/>
      <c r="I173" s="303" t="s">
        <v>375</v>
      </c>
      <c r="J173" s="380" t="s">
        <v>350</v>
      </c>
      <c r="K173" s="303"/>
      <c r="L173" s="413" t="s">
        <v>343</v>
      </c>
      <c r="M173" s="412"/>
      <c r="N173" s="295"/>
      <c r="O173"/>
      <c r="P173" s="13"/>
      <c r="Q173" s="383"/>
      <c r="R173" s="303"/>
      <c r="S173" s="303"/>
      <c r="T173" s="412"/>
      <c r="V173" s="372"/>
      <c r="W173" s="303"/>
      <c r="X173" s="218"/>
      <c r="Y173" s="303"/>
      <c r="Z173" s="303"/>
      <c r="AA173" s="303"/>
      <c r="AC173" s="380"/>
    </row>
    <row r="174" spans="6:29">
      <c r="F174" s="130"/>
      <c r="H174" s="218"/>
      <c r="I174" s="303" t="s">
        <v>71</v>
      </c>
      <c r="J174" s="303"/>
      <c r="K174" s="303">
        <f>SUM(K171:K173)</f>
        <v>0</v>
      </c>
      <c r="L174" s="303"/>
      <c r="M174" s="412"/>
      <c r="N174" s="295"/>
      <c r="O174" s="13"/>
      <c r="P174" s="13"/>
      <c r="Q174" s="13"/>
      <c r="R174" s="383"/>
      <c r="S174" s="303"/>
      <c r="T174" s="412"/>
      <c r="V174" s="372"/>
      <c r="W174" s="303"/>
      <c r="X174" s="218"/>
      <c r="Y174" s="303"/>
      <c r="Z174" s="303"/>
      <c r="AA174" s="303"/>
      <c r="AC174" s="380"/>
    </row>
    <row r="175" spans="8:29">
      <c r="H175" s="218"/>
      <c r="I175" s="303" t="s">
        <v>345</v>
      </c>
      <c r="J175" s="303"/>
      <c r="K175" s="303">
        <f>K165+K174</f>
        <v>241272.31</v>
      </c>
      <c r="L175" s="303"/>
      <c r="M175" s="412"/>
      <c r="N175" s="295"/>
      <c r="O175" s="13"/>
      <c r="P175" s="13"/>
      <c r="Q175" s="13"/>
      <c r="R175" s="383"/>
      <c r="S175" s="303"/>
      <c r="T175" s="412"/>
      <c r="U175" s="412"/>
      <c r="V175" s="372"/>
      <c r="W175" s="303"/>
      <c r="X175" s="218"/>
      <c r="Y175" s="303"/>
      <c r="Z175" s="303"/>
      <c r="AA175" s="303"/>
      <c r="AC175" s="380"/>
    </row>
    <row r="176" spans="1:29">
      <c r="A176" s="1" t="s">
        <v>403</v>
      </c>
      <c r="B176" s="130" t="s">
        <v>404</v>
      </c>
      <c r="H176" s="218"/>
      <c r="I176" s="218"/>
      <c r="J176" s="16"/>
      <c r="K176" s="16"/>
      <c r="L176" s="16"/>
      <c r="M176" s="218"/>
      <c r="N176" s="295"/>
      <c r="O176" s="13"/>
      <c r="P176" s="13"/>
      <c r="Q176" s="13"/>
      <c r="R176" s="383"/>
      <c r="S176" s="303"/>
      <c r="T176" s="412"/>
      <c r="U176" s="412"/>
      <c r="V176" s="372"/>
      <c r="W176" s="303"/>
      <c r="X176" s="218"/>
      <c r="Y176" s="303"/>
      <c r="Z176" s="303"/>
      <c r="AA176" s="303"/>
      <c r="AC176" s="380"/>
    </row>
    <row r="177" spans="1:29">
      <c r="A177" s="404">
        <v>45688</v>
      </c>
      <c r="B177" s="130">
        <v>182241.39</v>
      </c>
      <c r="F177" s="130"/>
      <c r="H177" s="218"/>
      <c r="I177" s="218"/>
      <c r="J177" s="16"/>
      <c r="K177" s="16"/>
      <c r="L177" s="16"/>
      <c r="M177" s="218"/>
      <c r="N177" s="295"/>
      <c r="O177" s="414"/>
      <c r="P177" s="13"/>
      <c r="Q177" s="13"/>
      <c r="R177" s="383"/>
      <c r="S177" s="303"/>
      <c r="T177" s="412"/>
      <c r="U177" s="412"/>
      <c r="V177" s="372"/>
      <c r="W177" s="303"/>
      <c r="X177" s="218"/>
      <c r="Y177" s="303"/>
      <c r="Z177" s="303"/>
      <c r="AA177" s="303"/>
      <c r="AC177" s="380"/>
    </row>
    <row r="178" spans="1:29">
      <c r="A178" s="405">
        <v>45716</v>
      </c>
      <c r="B178" s="130">
        <v>394814.55</v>
      </c>
      <c r="F178" s="130"/>
      <c r="H178" s="218" t="s">
        <v>405</v>
      </c>
      <c r="I178" s="303" t="s">
        <v>402</v>
      </c>
      <c r="J178" s="303" t="s">
        <v>162</v>
      </c>
      <c r="K178" s="303" t="s">
        <v>117</v>
      </c>
      <c r="L178" s="303" t="s">
        <v>70</v>
      </c>
      <c r="M178" s="412"/>
      <c r="N178" s="295"/>
      <c r="O178" s="414"/>
      <c r="P178" s="13"/>
      <c r="Q178" s="13"/>
      <c r="R178" s="383"/>
      <c r="S178" s="303"/>
      <c r="T178" s="412"/>
      <c r="U178" s="412"/>
      <c r="V178" s="372"/>
      <c r="W178" s="303"/>
      <c r="X178" s="218"/>
      <c r="Y178" s="303"/>
      <c r="Z178" s="303"/>
      <c r="AA178" s="303"/>
      <c r="AC178" s="380"/>
    </row>
    <row r="179" spans="1:29">
      <c r="A179" s="405">
        <v>45747</v>
      </c>
      <c r="B179" s="130">
        <v>425994.61</v>
      </c>
      <c r="F179" s="130"/>
      <c r="H179" s="218"/>
      <c r="I179" s="303" t="s">
        <v>27</v>
      </c>
      <c r="J179" s="303" t="s">
        <v>14</v>
      </c>
      <c r="K179" s="303"/>
      <c r="L179" s="413" t="s">
        <v>374</v>
      </c>
      <c r="M179" s="218"/>
      <c r="N179" s="295"/>
      <c r="O179" s="414"/>
      <c r="P179" s="13"/>
      <c r="Q179" s="383"/>
      <c r="R179" s="383"/>
      <c r="S179" s="303"/>
      <c r="T179" s="412"/>
      <c r="U179" s="412"/>
      <c r="V179" s="372"/>
      <c r="W179" s="303"/>
      <c r="X179" s="218"/>
      <c r="Y179" s="303"/>
      <c r="Z179" s="303"/>
      <c r="AA179" s="303"/>
      <c r="AC179" s="380"/>
    </row>
    <row r="180" spans="1:29">
      <c r="A180" s="405">
        <v>45777</v>
      </c>
      <c r="B180" s="130">
        <v>902752.18</v>
      </c>
      <c r="F180" s="130"/>
      <c r="H180" s="218"/>
      <c r="I180" s="303" t="s">
        <v>27</v>
      </c>
      <c r="J180" s="303" t="s">
        <v>14</v>
      </c>
      <c r="K180" s="303"/>
      <c r="L180" s="413" t="s">
        <v>338</v>
      </c>
      <c r="M180" s="218"/>
      <c r="N180" s="295"/>
      <c r="O180" s="414"/>
      <c r="P180" s="13"/>
      <c r="Q180" s="383"/>
      <c r="R180" s="383"/>
      <c r="S180" s="303"/>
      <c r="T180" s="412"/>
      <c r="U180" s="412"/>
      <c r="V180" s="372"/>
      <c r="W180" s="303"/>
      <c r="X180" s="218"/>
      <c r="Y180" s="303"/>
      <c r="Z180" s="303"/>
      <c r="AA180" s="303"/>
      <c r="AC180" s="380"/>
    </row>
    <row r="181" spans="1:29">
      <c r="A181" s="405">
        <v>45808</v>
      </c>
      <c r="B181" s="130">
        <v>1022389.06</v>
      </c>
      <c r="F181" s="19"/>
      <c r="H181" s="218"/>
      <c r="I181" s="303" t="s">
        <v>375</v>
      </c>
      <c r="J181" s="303" t="s">
        <v>14</v>
      </c>
      <c r="K181" s="303"/>
      <c r="L181" s="413" t="s">
        <v>406</v>
      </c>
      <c r="M181" s="218"/>
      <c r="N181" s="295"/>
      <c r="O181" s="414"/>
      <c r="P181" s="13"/>
      <c r="Q181" s="383"/>
      <c r="R181" s="383"/>
      <c r="S181" s="303"/>
      <c r="T181" s="412"/>
      <c r="U181" s="412"/>
      <c r="V181" s="372"/>
      <c r="W181" s="303"/>
      <c r="X181" s="218"/>
      <c r="Y181" s="303"/>
      <c r="Z181" s="303"/>
      <c r="AA181" s="303"/>
      <c r="AC181" s="380"/>
    </row>
    <row r="182" spans="1:29">
      <c r="A182" s="405">
        <v>45838</v>
      </c>
      <c r="B182" s="130">
        <v>1058035.87</v>
      </c>
      <c r="F182" s="19"/>
      <c r="H182" s="218"/>
      <c r="I182" s="303" t="s">
        <v>375</v>
      </c>
      <c r="J182" s="303" t="s">
        <v>14</v>
      </c>
      <c r="K182" s="303"/>
      <c r="L182" s="413" t="s">
        <v>351</v>
      </c>
      <c r="M182" s="415"/>
      <c r="N182" s="172"/>
      <c r="O182" s="414"/>
      <c r="P182" s="21"/>
      <c r="Q182" s="205"/>
      <c r="R182" s="383"/>
      <c r="S182" s="303"/>
      <c r="T182" s="412"/>
      <c r="U182" s="412"/>
      <c r="V182" s="372"/>
      <c r="W182" s="303"/>
      <c r="X182" s="218"/>
      <c r="Y182" s="303"/>
      <c r="Z182" s="303"/>
      <c r="AA182" s="303"/>
      <c r="AC182" s="380"/>
    </row>
    <row r="183" spans="1:29">
      <c r="A183" s="405">
        <v>45869</v>
      </c>
      <c r="B183" s="130">
        <v>1558835.58</v>
      </c>
      <c r="F183" s="19"/>
      <c r="H183" s="218"/>
      <c r="I183" s="303" t="s">
        <v>375</v>
      </c>
      <c r="J183" s="380" t="s">
        <v>14</v>
      </c>
      <c r="K183" s="303"/>
      <c r="L183" s="413" t="s">
        <v>352</v>
      </c>
      <c r="M183" s="415"/>
      <c r="N183" s="172"/>
      <c r="O183" s="414"/>
      <c r="P183"/>
      <c r="Q183" s="303"/>
      <c r="R183" s="205"/>
      <c r="S183" s="303"/>
      <c r="T183" s="412"/>
      <c r="U183" s="412"/>
      <c r="V183" s="372"/>
      <c r="W183" s="303"/>
      <c r="X183" s="218"/>
      <c r="Y183" s="303"/>
      <c r="Z183" s="303"/>
      <c r="AA183" s="303"/>
      <c r="AC183" s="380"/>
    </row>
    <row r="184" spans="6:29">
      <c r="F184" s="19"/>
      <c r="H184" s="218"/>
      <c r="I184" s="303" t="s">
        <v>375</v>
      </c>
      <c r="J184" s="380" t="s">
        <v>350</v>
      </c>
      <c r="K184" s="303"/>
      <c r="L184" s="413" t="s">
        <v>353</v>
      </c>
      <c r="M184" s="16"/>
      <c r="N184" s="172"/>
      <c r="O184" s="416"/>
      <c r="P184"/>
      <c r="Q184" s="303"/>
      <c r="R184" s="303"/>
      <c r="S184" s="303"/>
      <c r="T184" s="412"/>
      <c r="U184" s="412"/>
      <c r="V184" s="372"/>
      <c r="W184" s="303"/>
      <c r="X184" s="218"/>
      <c r="Y184" s="303"/>
      <c r="Z184" s="303"/>
      <c r="AA184" s="303"/>
      <c r="AC184" s="380"/>
    </row>
    <row r="185" spans="1:29">
      <c r="A185" s="1" t="s">
        <v>367</v>
      </c>
      <c r="B185" s="130">
        <f>SUM(B177:B182)</f>
        <v>3986227.66</v>
      </c>
      <c r="F185" s="19"/>
      <c r="H185" s="218"/>
      <c r="I185" s="303" t="s">
        <v>375</v>
      </c>
      <c r="J185" s="380" t="s">
        <v>350</v>
      </c>
      <c r="K185" s="303"/>
      <c r="L185" s="413" t="s">
        <v>343</v>
      </c>
      <c r="M185" s="16"/>
      <c r="N185" s="172"/>
      <c r="O185" s="416"/>
      <c r="P185"/>
      <c r="Q185" s="303"/>
      <c r="R185" s="303"/>
      <c r="S185" s="303"/>
      <c r="T185" s="412"/>
      <c r="U185" s="412"/>
      <c r="V185" s="372"/>
      <c r="W185" s="303"/>
      <c r="X185" s="218"/>
      <c r="Y185" s="303"/>
      <c r="Z185" s="303"/>
      <c r="AA185" s="303"/>
      <c r="AC185" s="380"/>
    </row>
    <row r="186" spans="1:29">
      <c r="A186" s="19"/>
      <c r="D186" s="406"/>
      <c r="F186" s="19"/>
      <c r="H186" s="218"/>
      <c r="I186" s="303" t="s">
        <v>71</v>
      </c>
      <c r="J186" s="303"/>
      <c r="K186" s="303">
        <f>SUM(K179:K185)</f>
        <v>0</v>
      </c>
      <c r="L186" s="303"/>
      <c r="M186" s="16"/>
      <c r="N186" s="172"/>
      <c r="O186" s="416"/>
      <c r="P186"/>
      <c r="Q186" s="303"/>
      <c r="R186" s="303"/>
      <c r="S186" s="303"/>
      <c r="T186" s="412"/>
      <c r="U186" s="412"/>
      <c r="V186" s="369"/>
      <c r="W186" s="303"/>
      <c r="X186" s="218"/>
      <c r="Y186" s="303"/>
      <c r="Z186" s="303"/>
      <c r="AA186" s="303"/>
      <c r="AC186" s="380"/>
    </row>
    <row r="187" spans="1:29">
      <c r="A187" s="407"/>
      <c r="B187" s="407"/>
      <c r="C187" s="407"/>
      <c r="D187" s="408"/>
      <c r="F187" s="19"/>
      <c r="H187" s="218"/>
      <c r="I187" s="303" t="s">
        <v>345</v>
      </c>
      <c r="J187" s="303"/>
      <c r="K187" s="303">
        <f>K175+K186</f>
        <v>241272.31</v>
      </c>
      <c r="L187" s="303">
        <f>K187/1.06/10000</f>
        <v>22.7615386792453</v>
      </c>
      <c r="M187" s="16"/>
      <c r="N187" s="194"/>
      <c r="O187" s="416"/>
      <c r="P187"/>
      <c r="Q187" s="303"/>
      <c r="R187" s="303"/>
      <c r="S187" s="303"/>
      <c r="T187" s="412"/>
      <c r="U187" s="412"/>
      <c r="V187" s="369"/>
      <c r="W187" s="303"/>
      <c r="X187" s="218"/>
      <c r="Y187" s="303"/>
      <c r="Z187" s="303"/>
      <c r="AA187" s="303"/>
      <c r="AC187" s="380"/>
    </row>
    <row r="188" spans="1:29">
      <c r="A188" s="409"/>
      <c r="B188" s="409"/>
      <c r="C188" s="409"/>
      <c r="D188" s="303"/>
      <c r="F188" s="19"/>
      <c r="H188" s="218"/>
      <c r="I188" s="303"/>
      <c r="J188" s="303"/>
      <c r="K188" s="303"/>
      <c r="L188" s="303"/>
      <c r="M188" s="16"/>
      <c r="N188" s="194"/>
      <c r="O188" s="416"/>
      <c r="P188" s="14"/>
      <c r="Q188" s="371"/>
      <c r="R188" s="303"/>
      <c r="S188" s="303"/>
      <c r="T188" s="412"/>
      <c r="U188" s="412"/>
      <c r="V188" s="369"/>
      <c r="W188" s="303"/>
      <c r="X188" s="218"/>
      <c r="Y188" s="303"/>
      <c r="Z188" s="303"/>
      <c r="AA188" s="303"/>
      <c r="AC188" s="380"/>
    </row>
    <row r="189" spans="1:29">
      <c r="A189" s="409"/>
      <c r="B189" s="409"/>
      <c r="C189" s="409"/>
      <c r="D189" s="410"/>
      <c r="F189" s="19"/>
      <c r="H189" s="218"/>
      <c r="I189" s="303"/>
      <c r="J189" s="303"/>
      <c r="K189" s="303"/>
      <c r="L189" s="303"/>
      <c r="M189" s="16"/>
      <c r="N189" s="194"/>
      <c r="O189" s="417"/>
      <c r="P189" s="14"/>
      <c r="Q189" s="14"/>
      <c r="R189" s="371"/>
      <c r="S189" s="303"/>
      <c r="T189" s="412"/>
      <c r="U189" s="412"/>
      <c r="V189" s="369"/>
      <c r="W189" s="303"/>
      <c r="X189" s="218"/>
      <c r="Y189" s="303"/>
      <c r="Z189" s="303"/>
      <c r="AA189" s="303"/>
      <c r="AC189" s="380"/>
    </row>
    <row r="190" spans="1:29">
      <c r="A190" s="411"/>
      <c r="B190" s="411"/>
      <c r="C190" s="411"/>
      <c r="D190" s="303"/>
      <c r="F190" s="19"/>
      <c r="H190" s="218" t="s">
        <v>407</v>
      </c>
      <c r="I190" s="303" t="s">
        <v>402</v>
      </c>
      <c r="J190" s="303" t="s">
        <v>162</v>
      </c>
      <c r="K190" s="303" t="s">
        <v>117</v>
      </c>
      <c r="L190" s="303" t="s">
        <v>70</v>
      </c>
      <c r="M190" s="16"/>
      <c r="N190" s="194"/>
      <c r="O190" s="417"/>
      <c r="P190" s="14"/>
      <c r="Q190" s="14"/>
      <c r="R190" s="371"/>
      <c r="S190" s="303"/>
      <c r="T190" s="412"/>
      <c r="U190" s="412"/>
      <c r="V190" s="369"/>
      <c r="W190" s="303"/>
      <c r="X190" s="218"/>
      <c r="Y190" s="303"/>
      <c r="Z190" s="303"/>
      <c r="AA190" s="303"/>
      <c r="AC190" s="380"/>
    </row>
    <row r="191" spans="1:29">
      <c r="A191" s="411"/>
      <c r="B191" s="411"/>
      <c r="C191" s="411"/>
      <c r="D191" s="410"/>
      <c r="F191" s="19"/>
      <c r="H191" s="218"/>
      <c r="I191" s="303" t="s">
        <v>27</v>
      </c>
      <c r="J191" s="380" t="s">
        <v>14</v>
      </c>
      <c r="K191" s="303"/>
      <c r="L191" s="413" t="s">
        <v>374</v>
      </c>
      <c r="M191" s="16"/>
      <c r="N191" s="194"/>
      <c r="O191" s="14"/>
      <c r="P191" s="14"/>
      <c r="Q191" s="14"/>
      <c r="R191" s="371"/>
      <c r="S191" s="303"/>
      <c r="T191" s="412"/>
      <c r="V191" s="369"/>
      <c r="W191" s="303"/>
      <c r="X191" s="218"/>
      <c r="Y191" s="303"/>
      <c r="Z191" s="303"/>
      <c r="AA191" s="303"/>
      <c r="AC191" s="380"/>
    </row>
    <row r="192" spans="1:29">
      <c r="A192" s="411"/>
      <c r="B192" s="411"/>
      <c r="C192" s="411"/>
      <c r="D192" s="303"/>
      <c r="F192" s="19"/>
      <c r="H192" s="218"/>
      <c r="I192" s="303" t="s">
        <v>27</v>
      </c>
      <c r="J192" s="303" t="s">
        <v>14</v>
      </c>
      <c r="K192" s="303"/>
      <c r="L192" s="413" t="s">
        <v>338</v>
      </c>
      <c r="M192" s="16"/>
      <c r="N192" s="194"/>
      <c r="O192" s="14"/>
      <c r="P192" s="14"/>
      <c r="Q192" s="14"/>
      <c r="R192" s="371"/>
      <c r="S192" s="303"/>
      <c r="T192" s="412"/>
      <c r="V192" s="369"/>
      <c r="W192" s="303"/>
      <c r="X192" s="218"/>
      <c r="Y192" s="303"/>
      <c r="Z192" s="303"/>
      <c r="AA192" s="303"/>
      <c r="AC192" s="380"/>
    </row>
    <row r="193" spans="1:29">
      <c r="A193" s="411"/>
      <c r="B193" s="411"/>
      <c r="C193" s="411"/>
      <c r="D193" s="418"/>
      <c r="H193" s="218"/>
      <c r="I193" s="303" t="s">
        <v>375</v>
      </c>
      <c r="J193" s="380" t="s">
        <v>14</v>
      </c>
      <c r="K193" s="303"/>
      <c r="L193" s="413" t="s">
        <v>406</v>
      </c>
      <c r="M193" s="16"/>
      <c r="N193" s="194"/>
      <c r="O193" s="14"/>
      <c r="P193" s="14"/>
      <c r="Q193" s="14"/>
      <c r="R193" s="371"/>
      <c r="S193" s="303"/>
      <c r="T193" s="412"/>
      <c r="U193" s="412"/>
      <c r="V193" s="369"/>
      <c r="W193" s="303"/>
      <c r="X193" s="218"/>
      <c r="Y193" s="303"/>
      <c r="Z193" s="303"/>
      <c r="AA193" s="303"/>
      <c r="AC193" s="380"/>
    </row>
    <row r="194" spans="1:29">
      <c r="A194" s="419"/>
      <c r="B194" s="419"/>
      <c r="C194" s="419"/>
      <c r="D194" s="303"/>
      <c r="H194" s="218"/>
      <c r="I194" s="303" t="s">
        <v>375</v>
      </c>
      <c r="J194" s="380" t="s">
        <v>14</v>
      </c>
      <c r="K194" s="303"/>
      <c r="L194" s="413" t="s">
        <v>351</v>
      </c>
      <c r="M194" s="16"/>
      <c r="N194" s="194"/>
      <c r="O194" s="14"/>
      <c r="P194" s="14"/>
      <c r="Q194" s="371"/>
      <c r="R194" s="371"/>
      <c r="S194" s="303"/>
      <c r="T194" s="412"/>
      <c r="U194" s="412"/>
      <c r="V194" s="372"/>
      <c r="W194" s="303"/>
      <c r="X194" s="218"/>
      <c r="Y194" s="303"/>
      <c r="Z194" s="303"/>
      <c r="AA194" s="303"/>
      <c r="AC194" s="380"/>
    </row>
    <row r="195" spans="1:29">
      <c r="A195" s="419"/>
      <c r="B195" s="419"/>
      <c r="C195" s="419"/>
      <c r="H195" s="218"/>
      <c r="I195" s="303" t="s">
        <v>375</v>
      </c>
      <c r="J195" s="380" t="s">
        <v>14</v>
      </c>
      <c r="K195" s="303"/>
      <c r="L195" s="413" t="s">
        <v>352</v>
      </c>
      <c r="M195" s="16"/>
      <c r="N195" s="194"/>
      <c r="O195" s="14"/>
      <c r="P195" s="14"/>
      <c r="Q195" s="371"/>
      <c r="R195" s="371"/>
      <c r="S195" s="303"/>
      <c r="T195" s="412"/>
      <c r="V195" s="372"/>
      <c r="W195" s="303"/>
      <c r="X195" s="218"/>
      <c r="Y195" s="303"/>
      <c r="Z195" s="303"/>
      <c r="AA195" s="303"/>
      <c r="AC195" s="380"/>
    </row>
    <row r="196" spans="8:29">
      <c r="H196" s="218"/>
      <c r="I196" s="303" t="s">
        <v>375</v>
      </c>
      <c r="J196" s="380" t="s">
        <v>350</v>
      </c>
      <c r="K196" s="303"/>
      <c r="L196" s="413" t="s">
        <v>353</v>
      </c>
      <c r="M196" s="16"/>
      <c r="N196" s="194"/>
      <c r="O196" s="14"/>
      <c r="P196" s="14"/>
      <c r="Q196" s="371"/>
      <c r="R196" s="371"/>
      <c r="S196" s="303"/>
      <c r="T196" s="218"/>
      <c r="V196" s="372"/>
      <c r="W196" s="303"/>
      <c r="X196" s="218"/>
      <c r="Y196" s="303"/>
      <c r="Z196" s="303"/>
      <c r="AA196" s="303"/>
      <c r="AC196" s="380"/>
    </row>
    <row r="197" spans="8:29">
      <c r="H197" s="218"/>
      <c r="I197" s="303" t="s">
        <v>375</v>
      </c>
      <c r="J197" s="380" t="s">
        <v>350</v>
      </c>
      <c r="K197" s="303"/>
      <c r="L197" s="413" t="s">
        <v>343</v>
      </c>
      <c r="M197" s="16"/>
      <c r="N197" s="194"/>
      <c r="O197" s="14"/>
      <c r="P197" s="14"/>
      <c r="Q197" s="371"/>
      <c r="R197" s="371"/>
      <c r="S197" s="303"/>
      <c r="T197" s="218"/>
      <c r="V197" s="372"/>
      <c r="W197" s="303"/>
      <c r="X197" s="218"/>
      <c r="Y197" s="303"/>
      <c r="Z197" s="303"/>
      <c r="AA197" s="303"/>
      <c r="AC197" s="380"/>
    </row>
    <row r="198" spans="8:29">
      <c r="H198" s="218"/>
      <c r="I198" s="303" t="s">
        <v>71</v>
      </c>
      <c r="J198" s="303"/>
      <c r="K198" s="303">
        <f>SUM(K191:K197)</f>
        <v>0</v>
      </c>
      <c r="L198" s="303"/>
      <c r="M198" s="16"/>
      <c r="N198" s="172"/>
      <c r="O198" s="14"/>
      <c r="P198" s="3"/>
      <c r="Q198" s="190"/>
      <c r="R198" s="371"/>
      <c r="S198" s="303"/>
      <c r="T198" s="218"/>
      <c r="V198" s="372"/>
      <c r="W198" s="303"/>
      <c r="X198" s="218"/>
      <c r="Y198" s="303"/>
      <c r="Z198" s="303"/>
      <c r="AA198" s="303"/>
      <c r="AC198" s="380"/>
    </row>
    <row r="199" spans="8:29">
      <c r="H199" s="218"/>
      <c r="I199" s="303" t="s">
        <v>345</v>
      </c>
      <c r="J199" s="303"/>
      <c r="K199" s="303">
        <f>K187+K198</f>
        <v>241272.31</v>
      </c>
      <c r="L199" s="303"/>
      <c r="M199" s="16"/>
      <c r="N199" s="172"/>
      <c r="O199" s="3"/>
      <c r="P199"/>
      <c r="Q199" s="303"/>
      <c r="R199" s="190"/>
      <c r="S199" s="303"/>
      <c r="T199" s="218"/>
      <c r="V199" s="372"/>
      <c r="W199" s="303"/>
      <c r="X199" s="218"/>
      <c r="Y199" s="303"/>
      <c r="Z199" s="303"/>
      <c r="AA199" s="303"/>
      <c r="AC199" s="380"/>
    </row>
    <row r="200" spans="8:29">
      <c r="H200" s="218"/>
      <c r="I200" s="303"/>
      <c r="J200" s="303"/>
      <c r="K200" s="303"/>
      <c r="L200" s="303"/>
      <c r="M200" s="16"/>
      <c r="N200" s="172"/>
      <c r="O200"/>
      <c r="P200"/>
      <c r="Q200" s="303"/>
      <c r="R200" s="303"/>
      <c r="S200" s="303"/>
      <c r="T200" s="218"/>
      <c r="V200" s="372"/>
      <c r="W200" s="303"/>
      <c r="X200" s="218"/>
      <c r="Y200" s="303"/>
      <c r="Z200" s="303"/>
      <c r="AA200" s="303"/>
      <c r="AC200" s="380"/>
    </row>
    <row r="201" spans="8:29">
      <c r="H201" s="218"/>
      <c r="I201" s="303"/>
      <c r="J201" s="303"/>
      <c r="K201" s="303"/>
      <c r="L201" s="303"/>
      <c r="M201" s="16"/>
      <c r="N201" s="172"/>
      <c r="O201"/>
      <c r="P201"/>
      <c r="Q201" s="303"/>
      <c r="R201" s="303"/>
      <c r="S201" s="303"/>
      <c r="T201" s="218"/>
      <c r="V201" s="372"/>
      <c r="W201" s="303"/>
      <c r="X201" s="218"/>
      <c r="Y201" s="303"/>
      <c r="Z201" s="303"/>
      <c r="AA201" s="303"/>
      <c r="AC201" s="380"/>
    </row>
    <row r="202" spans="8:29">
      <c r="H202" s="218"/>
      <c r="I202" s="303"/>
      <c r="J202" s="303"/>
      <c r="K202" s="303"/>
      <c r="L202" s="303"/>
      <c r="M202" s="16"/>
      <c r="N202" s="194"/>
      <c r="O202"/>
      <c r="P202"/>
      <c r="Q202" s="303"/>
      <c r="R202" s="303"/>
      <c r="S202" s="303"/>
      <c r="T202" s="218"/>
      <c r="V202" s="372"/>
      <c r="W202" s="303"/>
      <c r="X202" s="218"/>
      <c r="Y202" s="303"/>
      <c r="Z202" s="303"/>
      <c r="AA202" s="303"/>
      <c r="AC202" s="380"/>
    </row>
    <row r="203" spans="8:29">
      <c r="H203" s="218" t="s">
        <v>408</v>
      </c>
      <c r="I203" s="303" t="s">
        <v>402</v>
      </c>
      <c r="J203" s="303" t="s">
        <v>162</v>
      </c>
      <c r="K203" s="303" t="s">
        <v>117</v>
      </c>
      <c r="L203" s="303" t="s">
        <v>70</v>
      </c>
      <c r="M203" s="16"/>
      <c r="N203" s="194"/>
      <c r="O203"/>
      <c r="P203" s="14"/>
      <c r="Q203" s="371"/>
      <c r="R203" s="303"/>
      <c r="S203" s="303"/>
      <c r="T203" s="218"/>
      <c r="V203" s="372"/>
      <c r="W203" s="303"/>
      <c r="X203" s="218"/>
      <c r="Y203" s="303"/>
      <c r="Z203" s="303"/>
      <c r="AA203" s="303"/>
      <c r="AC203" s="380"/>
    </row>
    <row r="204" spans="8:29">
      <c r="H204" s="218"/>
      <c r="I204" s="303" t="s">
        <v>27</v>
      </c>
      <c r="J204" s="372" t="s">
        <v>14</v>
      </c>
      <c r="K204" s="303"/>
      <c r="L204" s="413" t="s">
        <v>374</v>
      </c>
      <c r="M204" s="16"/>
      <c r="N204" s="194"/>
      <c r="O204" s="14"/>
      <c r="P204" s="14"/>
      <c r="Q204" s="14"/>
      <c r="R204" s="371"/>
      <c r="S204" s="303"/>
      <c r="T204" s="218"/>
      <c r="V204" s="372"/>
      <c r="W204" s="303"/>
      <c r="X204" s="218"/>
      <c r="Y204" s="303"/>
      <c r="Z204" s="303"/>
      <c r="AA204" s="303"/>
      <c r="AC204" s="380"/>
    </row>
    <row r="205" spans="8:29">
      <c r="H205" s="218"/>
      <c r="I205" s="303" t="s">
        <v>27</v>
      </c>
      <c r="J205" s="372" t="s">
        <v>14</v>
      </c>
      <c r="K205" s="303"/>
      <c r="L205" s="413" t="s">
        <v>338</v>
      </c>
      <c r="M205" s="16"/>
      <c r="N205" s="194"/>
      <c r="O205" s="14"/>
      <c r="P205" s="14"/>
      <c r="Q205" s="14"/>
      <c r="R205" s="371"/>
      <c r="S205" s="303"/>
      <c r="T205" s="218"/>
      <c r="V205" s="372"/>
      <c r="W205" s="303"/>
      <c r="X205" s="218"/>
      <c r="Y205" s="303"/>
      <c r="Z205" s="303"/>
      <c r="AA205" s="303"/>
      <c r="AC205" s="380"/>
    </row>
    <row r="206" spans="8:29">
      <c r="H206" s="218"/>
      <c r="I206" s="303" t="s">
        <v>375</v>
      </c>
      <c r="J206" s="380" t="s">
        <v>14</v>
      </c>
      <c r="K206" s="303"/>
      <c r="L206" s="413" t="s">
        <v>406</v>
      </c>
      <c r="M206" s="16"/>
      <c r="N206" s="194"/>
      <c r="O206" s="14"/>
      <c r="P206" s="14"/>
      <c r="Q206" s="14"/>
      <c r="R206" s="371"/>
      <c r="S206" s="303"/>
      <c r="T206" s="218"/>
      <c r="V206" s="372"/>
      <c r="W206" s="303"/>
      <c r="X206" s="218"/>
      <c r="Y206" s="303"/>
      <c r="Z206" s="303"/>
      <c r="AA206" s="303"/>
      <c r="AC206" s="380"/>
    </row>
    <row r="207" spans="8:29">
      <c r="H207" s="218"/>
      <c r="I207" s="303" t="s">
        <v>375</v>
      </c>
      <c r="J207" s="380" t="s">
        <v>14</v>
      </c>
      <c r="K207" s="303"/>
      <c r="L207" s="413" t="s">
        <v>351</v>
      </c>
      <c r="M207" s="16"/>
      <c r="N207" s="194"/>
      <c r="O207" s="14"/>
      <c r="P207" s="14"/>
      <c r="Q207" s="14"/>
      <c r="R207" s="371"/>
      <c r="S207" s="303"/>
      <c r="T207" s="218"/>
      <c r="V207" s="372"/>
      <c r="W207" s="303"/>
      <c r="X207" s="218"/>
      <c r="Y207" s="303"/>
      <c r="Z207" s="303"/>
      <c r="AA207" s="303"/>
      <c r="AC207" s="380"/>
    </row>
    <row r="208" spans="8:29">
      <c r="H208" s="218"/>
      <c r="I208" s="303" t="s">
        <v>375</v>
      </c>
      <c r="J208" s="380" t="s">
        <v>14</v>
      </c>
      <c r="K208" s="303"/>
      <c r="L208" s="413" t="s">
        <v>352</v>
      </c>
      <c r="M208" s="16"/>
      <c r="N208" s="194"/>
      <c r="O208" s="14"/>
      <c r="P208" s="14"/>
      <c r="Q208" s="14"/>
      <c r="R208" s="371"/>
      <c r="S208" s="303"/>
      <c r="T208" s="218"/>
      <c r="V208" s="372"/>
      <c r="W208" s="303"/>
      <c r="X208" s="218"/>
      <c r="Y208" s="303"/>
      <c r="Z208" s="303"/>
      <c r="AA208" s="303"/>
      <c r="AC208" s="380"/>
    </row>
    <row r="209" spans="8:29">
      <c r="H209" s="218"/>
      <c r="I209" s="303" t="s">
        <v>375</v>
      </c>
      <c r="J209" s="380" t="s">
        <v>350</v>
      </c>
      <c r="K209" s="303"/>
      <c r="L209" s="413" t="s">
        <v>353</v>
      </c>
      <c r="M209" s="218"/>
      <c r="N209" s="194"/>
      <c r="O209" s="14"/>
      <c r="P209" s="14"/>
      <c r="Q209" s="371"/>
      <c r="R209" s="371"/>
      <c r="S209" s="303"/>
      <c r="T209" s="218"/>
      <c r="V209" s="372"/>
      <c r="W209" s="303"/>
      <c r="X209" s="218"/>
      <c r="Y209" s="303"/>
      <c r="Z209" s="303"/>
      <c r="AA209" s="303"/>
      <c r="AC209" s="380"/>
    </row>
    <row r="210" spans="8:29">
      <c r="H210" s="218"/>
      <c r="I210" s="303" t="s">
        <v>375</v>
      </c>
      <c r="J210" s="380" t="s">
        <v>350</v>
      </c>
      <c r="K210" s="303"/>
      <c r="L210" s="413" t="s">
        <v>343</v>
      </c>
      <c r="M210" s="16"/>
      <c r="N210" s="194"/>
      <c r="O210" s="14"/>
      <c r="P210" s="14"/>
      <c r="Q210" s="371"/>
      <c r="R210" s="371"/>
      <c r="S210" s="303"/>
      <c r="T210" s="218"/>
      <c r="V210" s="372"/>
      <c r="W210" s="303"/>
      <c r="X210" s="218"/>
      <c r="Y210" s="303"/>
      <c r="Z210" s="303"/>
      <c r="AA210" s="303"/>
      <c r="AC210" s="380"/>
    </row>
    <row r="211" spans="8:26">
      <c r="H211" s="218"/>
      <c r="I211" s="303" t="s">
        <v>71</v>
      </c>
      <c r="J211" s="303"/>
      <c r="K211" s="303">
        <f>SUM(K204:K210)</f>
        <v>0</v>
      </c>
      <c r="L211" s="303"/>
      <c r="M211" s="2"/>
      <c r="N211" s="172"/>
      <c r="O211" s="14"/>
      <c r="P211" s="14"/>
      <c r="Q211" s="420"/>
      <c r="R211" s="371"/>
      <c r="S211" s="303"/>
      <c r="T211" s="218"/>
      <c r="V211" s="372"/>
      <c r="W211" s="303"/>
      <c r="X211" s="218"/>
      <c r="Y211" s="303"/>
      <c r="Z211" s="303"/>
    </row>
    <row r="212" spans="8:26">
      <c r="H212" s="218"/>
      <c r="I212" s="303" t="s">
        <v>345</v>
      </c>
      <c r="J212" s="303"/>
      <c r="K212" s="303">
        <f>K199+K211</f>
        <v>241272.31</v>
      </c>
      <c r="L212" s="303"/>
      <c r="M212" s="2"/>
      <c r="N212" s="172"/>
      <c r="O212" s="14"/>
      <c r="P212"/>
      <c r="R212" s="420"/>
      <c r="T212" s="218"/>
      <c r="V212" s="372"/>
      <c r="W212" s="303"/>
      <c r="X212" s="218"/>
      <c r="Y212" s="303"/>
      <c r="Z212" s="303"/>
    </row>
    <row r="213" spans="8:26">
      <c r="H213" s="218"/>
      <c r="I213" s="303"/>
      <c r="J213" s="303"/>
      <c r="K213" s="303"/>
      <c r="L213" s="303"/>
      <c r="M213" s="2"/>
      <c r="N213" s="172"/>
      <c r="O213"/>
      <c r="P213"/>
      <c r="W213" s="303"/>
      <c r="X213" s="218"/>
      <c r="Y213" s="303"/>
      <c r="Z213" s="303"/>
    </row>
    <row r="214" spans="8:25">
      <c r="H214" s="218"/>
      <c r="I214" s="303"/>
      <c r="J214" s="303"/>
      <c r="K214" s="303"/>
      <c r="L214" s="303"/>
      <c r="M214" s="2"/>
      <c r="N214" s="172"/>
      <c r="O214"/>
      <c r="P214"/>
      <c r="W214" s="303"/>
      <c r="X214" s="218"/>
      <c r="Y214" s="303"/>
    </row>
    <row r="215" spans="8:16">
      <c r="H215" s="218" t="s">
        <v>409</v>
      </c>
      <c r="I215" s="303" t="s">
        <v>402</v>
      </c>
      <c r="J215" s="303" t="s">
        <v>162</v>
      </c>
      <c r="K215" s="303" t="s">
        <v>117</v>
      </c>
      <c r="L215" s="303" t="s">
        <v>70</v>
      </c>
      <c r="N215" s="172"/>
      <c r="O215"/>
      <c r="P215"/>
    </row>
    <row r="216" spans="8:16">
      <c r="H216" s="218"/>
      <c r="I216" s="303" t="s">
        <v>27</v>
      </c>
      <c r="J216" s="372" t="s">
        <v>14</v>
      </c>
      <c r="K216" s="303"/>
      <c r="L216" s="413" t="s">
        <v>374</v>
      </c>
      <c r="N216" s="172"/>
      <c r="O216"/>
      <c r="P216"/>
    </row>
    <row r="217" spans="8:16">
      <c r="H217" s="218"/>
      <c r="I217" s="303" t="s">
        <v>27</v>
      </c>
      <c r="J217" s="372" t="s">
        <v>14</v>
      </c>
      <c r="K217" s="303"/>
      <c r="L217" s="413" t="s">
        <v>338</v>
      </c>
      <c r="N217" s="194"/>
      <c r="O217"/>
      <c r="P217"/>
    </row>
    <row r="218" spans="8:17">
      <c r="H218" s="218"/>
      <c r="I218" s="303" t="s">
        <v>375</v>
      </c>
      <c r="J218" s="380" t="s">
        <v>14</v>
      </c>
      <c r="K218" s="303"/>
      <c r="L218" s="413" t="s">
        <v>406</v>
      </c>
      <c r="O218"/>
      <c r="P218" s="3"/>
      <c r="Q218" s="4"/>
    </row>
    <row r="219" spans="8:19">
      <c r="H219" s="218"/>
      <c r="I219" s="303" t="s">
        <v>375</v>
      </c>
      <c r="J219" s="380" t="s">
        <v>14</v>
      </c>
      <c r="K219" s="303"/>
      <c r="L219" s="413" t="s">
        <v>351</v>
      </c>
      <c r="O219" s="3"/>
      <c r="R219" s="4"/>
      <c r="S219" s="4"/>
    </row>
    <row r="220" spans="8:12">
      <c r="H220" s="218"/>
      <c r="I220" s="303" t="s">
        <v>375</v>
      </c>
      <c r="J220" s="380" t="s">
        <v>14</v>
      </c>
      <c r="K220" s="303"/>
      <c r="L220" s="413" t="s">
        <v>352</v>
      </c>
    </row>
    <row r="221" spans="8:12">
      <c r="H221" s="218"/>
      <c r="I221" s="303" t="s">
        <v>375</v>
      </c>
      <c r="J221" s="380" t="s">
        <v>350</v>
      </c>
      <c r="K221" s="303"/>
      <c r="L221" s="413" t="s">
        <v>353</v>
      </c>
    </row>
    <row r="222" spans="8:12">
      <c r="H222" s="218"/>
      <c r="I222" s="303" t="s">
        <v>375</v>
      </c>
      <c r="J222" s="380" t="s">
        <v>350</v>
      </c>
      <c r="K222" s="303"/>
      <c r="L222" s="413" t="s">
        <v>343</v>
      </c>
    </row>
    <row r="223" spans="8:12">
      <c r="H223" s="218"/>
      <c r="I223" s="303" t="s">
        <v>71</v>
      </c>
      <c r="J223" s="303"/>
      <c r="K223" s="303">
        <f>SUM(K216:K222)</f>
        <v>0</v>
      </c>
      <c r="L223" s="303"/>
    </row>
    <row r="224" spans="8:12">
      <c r="H224" s="218"/>
      <c r="I224" s="303" t="s">
        <v>345</v>
      </c>
      <c r="J224" s="303"/>
      <c r="K224" s="303">
        <f>K212+K223</f>
        <v>241272.31</v>
      </c>
      <c r="L224" s="303"/>
    </row>
    <row r="225" spans="8:12">
      <c r="H225" s="218"/>
      <c r="I225" s="303"/>
      <c r="J225" s="303"/>
      <c r="K225" s="303"/>
      <c r="L225" s="303"/>
    </row>
  </sheetData>
  <autoFilter xmlns:etc="http://www.wps.cn/officeDocument/2017/etCustomData" ref="A2:AP74" etc:filterBottomFollowUsedRange="0">
    <extLst/>
  </autoFilter>
  <mergeCells count="1">
    <mergeCell ref="B122:C122"/>
  </mergeCells>
  <pageMargins left="0.75" right="0.75" top="1" bottom="1" header="0.5" footer="0.5"/>
  <headerFooter/>
  <ignoredErrors>
    <ignoredError sqref="F3:F28 W30:Z30 U30 P30:S30 N30 M3:AA29" formulaRange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6"/>
  <sheetViews>
    <sheetView topLeftCell="E1" workbookViewId="0">
      <pane ySplit="2" topLeftCell="A3" activePane="bottomLeft" state="frozen"/>
      <selection/>
      <selection pane="bottomLeft" activeCell="P69" sqref="P69:T69"/>
    </sheetView>
  </sheetViews>
  <sheetFormatPr defaultColWidth="8.89166666666667" defaultRowHeight="13.5"/>
  <cols>
    <col min="1" max="1" width="8.89166666666667" style="1"/>
    <col min="2" max="6" width="9.63333333333333" style="231"/>
    <col min="7" max="8" width="8.89166666666667" style="1"/>
    <col min="9" max="9" width="9.63333333333333" style="231"/>
    <col min="10" max="13" width="8.89166666666667" style="231"/>
    <col min="14" max="14" width="11.2583333333333" style="1" customWidth="1"/>
    <col min="15" max="15" width="12.6333333333333" style="172"/>
    <col min="16" max="19" width="10.5" style="287" customWidth="1"/>
    <col min="20" max="20" width="11.5" style="287" customWidth="1"/>
    <col min="21" max="21" width="8.89166666666667" style="172"/>
    <col min="22" max="22" width="11.275" customWidth="1"/>
    <col min="23" max="23" width="12.8166666666667"/>
    <col min="24" max="24" width="10.5416666666667"/>
  </cols>
  <sheetData>
    <row r="1" spans="1:22">
      <c r="A1" s="1" t="s">
        <v>410</v>
      </c>
      <c r="H1" s="1" t="s">
        <v>326</v>
      </c>
      <c r="O1" s="294" t="s">
        <v>410</v>
      </c>
      <c r="V1" s="218" t="s">
        <v>411</v>
      </c>
    </row>
    <row r="2" spans="1:27">
      <c r="A2" s="1" t="s">
        <v>84</v>
      </c>
      <c r="B2" s="231" t="s">
        <v>12</v>
      </c>
      <c r="C2" s="231" t="s">
        <v>13</v>
      </c>
      <c r="D2" s="231" t="s">
        <v>14</v>
      </c>
      <c r="E2" s="231" t="s">
        <v>20</v>
      </c>
      <c r="F2" s="231" t="s">
        <v>214</v>
      </c>
      <c r="H2" s="1" t="s">
        <v>84</v>
      </c>
      <c r="I2" s="231" t="s">
        <v>12</v>
      </c>
      <c r="J2" s="231" t="s">
        <v>13</v>
      </c>
      <c r="K2" s="231" t="s">
        <v>14</v>
      </c>
      <c r="L2" s="231" t="s">
        <v>20</v>
      </c>
      <c r="M2" s="231" t="s">
        <v>214</v>
      </c>
      <c r="O2" s="218" t="s">
        <v>68</v>
      </c>
      <c r="P2" s="287" t="s">
        <v>12</v>
      </c>
      <c r="Q2" s="287" t="s">
        <v>13</v>
      </c>
      <c r="R2" s="287" t="s">
        <v>14</v>
      </c>
      <c r="S2" s="287" t="s">
        <v>20</v>
      </c>
      <c r="T2" s="287" t="s">
        <v>214</v>
      </c>
      <c r="V2" s="218" t="s">
        <v>68</v>
      </c>
      <c r="W2" s="287" t="s">
        <v>12</v>
      </c>
      <c r="X2" s="287" t="s">
        <v>13</v>
      </c>
      <c r="Y2" s="287" t="s">
        <v>14</v>
      </c>
      <c r="Z2" s="287" t="s">
        <v>20</v>
      </c>
      <c r="AA2" s="287" t="s">
        <v>214</v>
      </c>
    </row>
    <row r="3" hidden="1" spans="1:20">
      <c r="A3" s="259">
        <v>43831</v>
      </c>
      <c r="B3" s="231">
        <f>'毛利-收入组成'!B3/'GMV表-商品大类'!B6</f>
        <v>0.0579319454522146</v>
      </c>
      <c r="C3" s="231">
        <f>'毛利-收入组成'!C3/'GMV表-商品大类'!C6</f>
        <v>0.00378647146642483</v>
      </c>
      <c r="D3" s="231">
        <f>'毛利-收入组成'!D3/'GMV表-商品大类'!D6</f>
        <v>0.0851611215439263</v>
      </c>
      <c r="E3" s="231">
        <f>'毛利-收入组成'!E3/'GMV表-商品大类'!E6</f>
        <v>0.0187010067105197</v>
      </c>
      <c r="F3" s="231">
        <f>'毛利-收入组成'!F3/'GMV表-商品大类'!F6</f>
        <v>0.0254491345915959</v>
      </c>
      <c r="H3" s="259">
        <v>43831</v>
      </c>
      <c r="I3" s="231">
        <f>'毛利-收入组成'!I3/'GMV表-商品大类'!I6</f>
        <v>0</v>
      </c>
      <c r="J3" s="231">
        <f>IFERROR('毛利-收入组成'!J3/'GMV表-商品大类'!J6,0)</f>
        <v>0</v>
      </c>
      <c r="K3" s="231">
        <f>'毛利-收入组成'!K3/'GMV表-商品大类'!K6</f>
        <v>0.150987316785116</v>
      </c>
      <c r="L3" s="231">
        <f>IFERROR('毛利-收入组成'!L3/'GMV表-商品大类'!L6,0)</f>
        <v>0</v>
      </c>
      <c r="M3" s="231">
        <f>'毛利-收入组成'!M3/'GMV表-商品大类'!M6</f>
        <v>0.0372018161412999</v>
      </c>
      <c r="O3" s="295" t="s">
        <v>216</v>
      </c>
      <c r="P3" s="287">
        <f>'毛利-收入组成'!AZ3/'GMV表-商品大类'!P6</f>
        <v>0.0579319454522146</v>
      </c>
      <c r="Q3" s="287">
        <f>'毛利-收入组成'!BA3/'GMV表-商品大类'!Q6</f>
        <v>0.00378647146642483</v>
      </c>
      <c r="R3" s="287">
        <f>'毛利-收入组成'!BB3/'GMV表-商品大类'!R6</f>
        <v>0.0851611215439263</v>
      </c>
      <c r="S3" s="287">
        <f>'毛利-收入组成'!BC3/'GMV表-商品大类'!S6</f>
        <v>0.0187010067105197</v>
      </c>
      <c r="T3" s="287">
        <f>'毛利-收入组成'!BD3/'GMV表-商品大类'!T6</f>
        <v>0.0254491345915958</v>
      </c>
    </row>
    <row r="4" hidden="1" spans="1:20">
      <c r="A4" s="259">
        <v>43862</v>
      </c>
      <c r="B4" s="231">
        <f>'毛利-收入组成'!B4/'GMV表-商品大类'!B7</f>
        <v>0.0510338619358269</v>
      </c>
      <c r="C4" s="231">
        <f>'毛利-收入组成'!C4/'GMV表-商品大类'!C7</f>
        <v>0.00262305410675411</v>
      </c>
      <c r="D4" s="231">
        <f>'毛利-收入组成'!D4/'GMV表-商品大类'!D7</f>
        <v>0.083873140857926</v>
      </c>
      <c r="E4" s="231">
        <f>'毛利-收入组成'!E4/'GMV表-商品大类'!E7</f>
        <v>0.0229530184728268</v>
      </c>
      <c r="F4" s="231">
        <f>'毛利-收入组成'!F4/'GMV表-商品大类'!F7</f>
        <v>0.0187228813540171</v>
      </c>
      <c r="H4" s="259">
        <v>43862</v>
      </c>
      <c r="I4" s="231">
        <f>'毛利-收入组成'!I4/'GMV表-商品大类'!I7</f>
        <v>0.000154833943527373</v>
      </c>
      <c r="J4" s="231">
        <f>IFERROR('毛利-收入组成'!J4/'GMV表-商品大类'!J7,0)</f>
        <v>0</v>
      </c>
      <c r="K4" s="231">
        <f>'毛利-收入组成'!K4/'GMV表-商品大类'!K7</f>
        <v>0.0582707235985931</v>
      </c>
      <c r="L4" s="231">
        <f>IFERROR('毛利-收入组成'!L4/'GMV表-商品大类'!L7,0)</f>
        <v>0</v>
      </c>
      <c r="M4" s="231">
        <f>'毛利-收入组成'!M4/'GMV表-商品大类'!M7</f>
        <v>0.033395798787472</v>
      </c>
      <c r="O4" s="295" t="s">
        <v>217</v>
      </c>
      <c r="P4" s="287">
        <f>'毛利-收入组成'!AZ4/'GMV表-商品大类'!P7</f>
        <v>0.0549950180277414</v>
      </c>
      <c r="Q4" s="287">
        <f>'毛利-收入组成'!BA4/'GMV表-商品大类'!Q7</f>
        <v>0.00311975332645802</v>
      </c>
      <c r="R4" s="287">
        <f>'毛利-收入组成'!BB4/'GMV表-商品大类'!R7</f>
        <v>0.084457718812187</v>
      </c>
      <c r="S4" s="287">
        <f>'毛利-收入组成'!BC4/'GMV表-商品大类'!S7</f>
        <v>0.020030707914409</v>
      </c>
      <c r="T4" s="287">
        <f>'毛利-收入组成'!BD4/'GMV表-商品大类'!T7</f>
        <v>0.0218407849501574</v>
      </c>
    </row>
    <row r="5" hidden="1" spans="1:20">
      <c r="A5" s="259">
        <v>43891</v>
      </c>
      <c r="B5" s="231">
        <f>'毛利-收入组成'!B5/'GMV表-商品大类'!B8</f>
        <v>0.0729210573293913</v>
      </c>
      <c r="C5" s="231">
        <f>'毛利-收入组成'!C5/'GMV表-商品大类'!C8</f>
        <v>0.00305654495169408</v>
      </c>
      <c r="D5" s="231">
        <f>'毛利-收入组成'!D5/'GMV表-商品大类'!D8</f>
        <v>0.122569886177738</v>
      </c>
      <c r="E5" s="231">
        <f>'毛利-收入组成'!E5/'GMV表-商品大类'!E8</f>
        <v>0.0109682041029719</v>
      </c>
      <c r="F5" s="231">
        <f>'毛利-收入组成'!F5/'GMV表-商品大类'!F8</f>
        <v>0.0262918915857352</v>
      </c>
      <c r="H5" s="259">
        <v>43891</v>
      </c>
      <c r="I5" s="231">
        <f>'毛利-收入组成'!I5/'GMV表-商品大类'!I8</f>
        <v>5.23288084474599e-5</v>
      </c>
      <c r="J5" s="231">
        <f>IFERROR('毛利-收入组成'!J5/'GMV表-商品大类'!J8,0)</f>
        <v>0</v>
      </c>
      <c r="K5" s="231">
        <f>'毛利-收入组成'!K5/'GMV表-商品大类'!K8</f>
        <v>0.0569651499965136</v>
      </c>
      <c r="L5" s="231">
        <f>IFERROR('毛利-收入组成'!L5/'GMV表-商品大类'!L8,0)</f>
        <v>0</v>
      </c>
      <c r="M5" s="231">
        <f>'毛利-收入组成'!M5/'GMV表-商品大类'!M8</f>
        <v>0.00828727611799303</v>
      </c>
      <c r="O5" s="295" t="s">
        <v>218</v>
      </c>
      <c r="P5" s="287">
        <f>'毛利-收入组成'!AZ5/'GMV表-商品大类'!P8</f>
        <v>0.0598897472151435</v>
      </c>
      <c r="Q5" s="287">
        <f>'毛利-收入组成'!BA5/'GMV表-商品大类'!Q8</f>
        <v>0.00309593308370581</v>
      </c>
      <c r="R5" s="287">
        <f>'毛利-收入组成'!BB5/'GMV表-商品大类'!R8</f>
        <v>0.0998350898631325</v>
      </c>
      <c r="S5" s="287">
        <f>'毛利-收入组成'!BC5/'GMV表-商品大类'!S8</f>
        <v>0.0148233002467575</v>
      </c>
      <c r="T5" s="287">
        <f>'毛利-收入组成'!BD5/'GMV表-商品大类'!T8</f>
        <v>0.0234747350403184</v>
      </c>
    </row>
    <row r="6" hidden="1" spans="1:20">
      <c r="A6" s="259">
        <v>43922</v>
      </c>
      <c r="B6" s="231">
        <f>'毛利-收入组成'!B6/'GMV表-商品大类'!B9</f>
        <v>0.0544661049005268</v>
      </c>
      <c r="C6" s="231">
        <f>'毛利-收入组成'!C6/'GMV表-商品大类'!C9</f>
        <v>0.00266003982389046</v>
      </c>
      <c r="D6" s="231">
        <f>'毛利-收入组成'!D6/'GMV表-商品大类'!D9</f>
        <v>0.0590316695292011</v>
      </c>
      <c r="E6" s="231">
        <f>'毛利-收入组成'!E6/'GMV表-商品大类'!E9</f>
        <v>0.020688885938386</v>
      </c>
      <c r="F6" s="231">
        <f>'毛利-收入组成'!F6/'GMV表-商品大类'!F9</f>
        <v>0.0164159950092057</v>
      </c>
      <c r="H6" s="259">
        <v>43922</v>
      </c>
      <c r="I6" s="231">
        <f>'毛利-收入组成'!I6/'GMV表-商品大类'!I9</f>
        <v>0.00518148333153109</v>
      </c>
      <c r="J6" s="231">
        <f>IFERROR('毛利-收入组成'!J6/'GMV表-商品大类'!J9,0)</f>
        <v>0</v>
      </c>
      <c r="K6" s="231">
        <f>'毛利-收入组成'!K6/'GMV表-商品大类'!K9</f>
        <v>0.0911228558848302</v>
      </c>
      <c r="L6" s="231">
        <f>IFERROR('毛利-收入组成'!L6/'GMV表-商品大类'!L9,0)</f>
        <v>0</v>
      </c>
      <c r="M6" s="231">
        <f>'毛利-收入组成'!M6/'GMV表-商品大类'!M9</f>
        <v>0.0184597405378792</v>
      </c>
      <c r="O6" s="295" t="s">
        <v>219</v>
      </c>
      <c r="P6" s="287">
        <f>'毛利-收入组成'!AZ6/'GMV表-商品大类'!P9</f>
        <v>0.0588131404928671</v>
      </c>
      <c r="Q6" s="287">
        <f>'毛利-收入组成'!BA6/'GMV表-商品大类'!Q9</f>
        <v>0.00297951196589376</v>
      </c>
      <c r="R6" s="287">
        <f>'毛利-收入组成'!BB6/'GMV表-商品大类'!R9</f>
        <v>0.0881217539749926</v>
      </c>
      <c r="S6" s="287">
        <f>'毛利-收入组成'!BC6/'GMV表-商品大类'!S9</f>
        <v>0.0161746871420034</v>
      </c>
      <c r="T6" s="287">
        <f>'毛利-收入组成'!BD6/'GMV表-商品大类'!T9</f>
        <v>0.0216580160562133</v>
      </c>
    </row>
    <row r="7" hidden="1" spans="1:20">
      <c r="A7" s="259">
        <v>43952</v>
      </c>
      <c r="B7" s="231">
        <f>'毛利-收入组成'!B7/'GMV表-商品大类'!B10</f>
        <v>0.0577107556590251</v>
      </c>
      <c r="C7" s="231">
        <f>'毛利-收入组成'!C7/'GMV表-商品大类'!C10</f>
        <v>0.0064385530392833</v>
      </c>
      <c r="D7" s="231">
        <f>'毛利-收入组成'!D7/'GMV表-商品大类'!D10</f>
        <v>0.0572323142399002</v>
      </c>
      <c r="E7" s="231">
        <f>'毛利-收入组成'!E7/'GMV表-商品大类'!E10</f>
        <v>0.0487967484155074</v>
      </c>
      <c r="F7" s="231">
        <f>'毛利-收入组成'!F7/'GMV表-商品大类'!F10</f>
        <v>0.0221234135504831</v>
      </c>
      <c r="H7" s="259">
        <v>43952</v>
      </c>
      <c r="I7" s="231">
        <f>'毛利-收入组成'!I7/'GMV表-商品大类'!I10</f>
        <v>-0.00643895709814363</v>
      </c>
      <c r="J7" s="231">
        <f>IFERROR('毛利-收入组成'!J7/'GMV表-商品大类'!J10,0)</f>
        <v>0</v>
      </c>
      <c r="K7" s="231">
        <f>'毛利-收入组成'!K7/'GMV表-商品大类'!K10</f>
        <v>0.0895479486067624</v>
      </c>
      <c r="L7" s="231">
        <f>IFERROR('毛利-收入组成'!L7/'GMV表-商品大类'!L10,0)</f>
        <v>0</v>
      </c>
      <c r="M7" s="231">
        <f>'毛利-收入组成'!M7/'GMV表-商品大类'!M10</f>
        <v>0.0117153941796744</v>
      </c>
      <c r="O7" s="295" t="s">
        <v>220</v>
      </c>
      <c r="P7" s="287">
        <f>'毛利-收入组成'!AZ7/'GMV表-商品大类'!P10</f>
        <v>0.0586218140585809</v>
      </c>
      <c r="Q7" s="287">
        <f>'毛利-收入组成'!BA7/'GMV表-商品大类'!Q10</f>
        <v>0.00364033433464035</v>
      </c>
      <c r="R7" s="287">
        <f>'毛利-收入组成'!BB7/'GMV表-商品大类'!R10</f>
        <v>0.0806915187605504</v>
      </c>
      <c r="S7" s="287">
        <f>'毛利-收入组成'!BC7/'GMV表-商品大类'!S10</f>
        <v>0.0229710378558321</v>
      </c>
      <c r="T7" s="287">
        <f>'毛利-收入组成'!BD7/'GMV表-商品大类'!T10</f>
        <v>0.0217485703393341</v>
      </c>
    </row>
    <row r="8" hidden="1" spans="1:20">
      <c r="A8" s="259">
        <v>43983</v>
      </c>
      <c r="B8" s="231">
        <f>'毛利-收入组成'!B8/'GMV表-商品大类'!B11</f>
        <v>0.0550193646251516</v>
      </c>
      <c r="C8" s="231">
        <f>'毛利-收入组成'!C8/'GMV表-商品大类'!C11</f>
        <v>0.00469255505607712</v>
      </c>
      <c r="D8" s="231">
        <f>'毛利-收入组成'!D8/'GMV表-商品大类'!D11</f>
        <v>0.0527207251585204</v>
      </c>
      <c r="E8" s="231">
        <f>'毛利-收入组成'!E8/'GMV表-商品大类'!E11</f>
        <v>0.0417884526410308</v>
      </c>
      <c r="F8" s="231">
        <f>'毛利-收入组成'!F8/'GMV表-商品大类'!F11</f>
        <v>0.0215986033205756</v>
      </c>
      <c r="H8" s="259">
        <v>43983</v>
      </c>
      <c r="I8" s="231">
        <f>'毛利-收入组成'!I8/'GMV表-商品大类'!I11</f>
        <v>0.00146347917401655</v>
      </c>
      <c r="J8" s="231">
        <f>IFERROR('毛利-收入组成'!J8/'GMV表-商品大类'!J11,0)</f>
        <v>0</v>
      </c>
      <c r="K8" s="231">
        <f>'毛利-收入组成'!K8/'GMV表-商品大类'!K11</f>
        <v>0.0523056522156635</v>
      </c>
      <c r="L8" s="231">
        <f>IFERROR('毛利-收入组成'!L8/'GMV表-商品大类'!L11,0)</f>
        <v>0</v>
      </c>
      <c r="M8" s="231">
        <f>'毛利-收入组成'!M8/'GMV表-商品大类'!M11</f>
        <v>0.0209934935473375</v>
      </c>
      <c r="O8" s="295" t="s">
        <v>221</v>
      </c>
      <c r="P8" s="287">
        <f>'毛利-收入组成'!AZ8/'GMV表-商品大类'!P11</f>
        <v>0.0581656994665426</v>
      </c>
      <c r="Q8" s="287">
        <f>'毛利-收入组成'!BA8/'GMV表-商品大类'!Q11</f>
        <v>0.00381293061249787</v>
      </c>
      <c r="R8" s="287">
        <f>'毛利-收入组成'!BB8/'GMV表-商品大类'!R11</f>
        <v>0.0732222633399863</v>
      </c>
      <c r="S8" s="287">
        <f>'毛利-收入组成'!BC8/'GMV表-商品大类'!S11</f>
        <v>0.0288091649130315</v>
      </c>
      <c r="T8" s="287">
        <f>'毛利-收入组成'!BD8/'GMV表-商品大类'!T11</f>
        <v>0.0217220702879206</v>
      </c>
    </row>
    <row r="9" hidden="1" spans="1:20">
      <c r="A9" s="259">
        <v>44013</v>
      </c>
      <c r="B9" s="231">
        <f>'毛利-收入组成'!B9/'GMV表-商品大类'!B12</f>
        <v>0.0426815775999085</v>
      </c>
      <c r="C9" s="231">
        <f>'毛利-收入组成'!C9/'GMV表-商品大类'!C12</f>
        <v>0.00840210093232359</v>
      </c>
      <c r="D9" s="231">
        <f>'毛利-收入组成'!D9/'GMV表-商品大类'!D12</f>
        <v>0.0327503705692069</v>
      </c>
      <c r="E9" s="231">
        <f>'毛利-收入组成'!E9/'GMV表-商品大类'!E12</f>
        <v>0.037470043203454</v>
      </c>
      <c r="F9" s="231">
        <f>'毛利-收入组成'!F9/'GMV表-商品大类'!F12</f>
        <v>0.0198962955179854</v>
      </c>
      <c r="H9" s="259">
        <v>44013</v>
      </c>
      <c r="I9" s="231">
        <f>'毛利-收入组成'!I9/'GMV表-商品大类'!I12</f>
        <v>5.74370220749571e-6</v>
      </c>
      <c r="J9" s="231">
        <f>IFERROR('毛利-收入组成'!J9/'GMV表-商品大类'!J12,0)</f>
        <v>0</v>
      </c>
      <c r="K9" s="231">
        <f>'毛利-收入组成'!K9/'GMV表-商品大类'!K12</f>
        <v>0.0583338590423839</v>
      </c>
      <c r="L9" s="231">
        <f>IFERROR('毛利-收入组成'!L9/'GMV表-商品大类'!L12,0)</f>
        <v>0</v>
      </c>
      <c r="M9" s="231">
        <f>'毛利-收入组成'!M9/'GMV表-商品大类'!M12</f>
        <v>0.0180215933754839</v>
      </c>
      <c r="O9" s="295" t="s">
        <v>222</v>
      </c>
      <c r="P9" s="287">
        <f>'毛利-收入组成'!AZ9/'GMV表-商品大类'!P12</f>
        <v>0.056185616411541</v>
      </c>
      <c r="Q9" s="287">
        <f>'毛利-收入组成'!BA9/'GMV表-商品大类'!Q12</f>
        <v>0.00431897799938417</v>
      </c>
      <c r="R9" s="287">
        <f>'毛利-收入组成'!BB9/'GMV表-商品大类'!R12</f>
        <v>0.0657170847497678</v>
      </c>
      <c r="S9" s="287">
        <f>'毛利-收入组成'!BC9/'GMV表-商品大类'!S12</f>
        <v>0.0302075349795965</v>
      </c>
      <c r="T9" s="287">
        <f>'毛利-收入组成'!BD9/'GMV表-商品大类'!T12</f>
        <v>0.0214935273702419</v>
      </c>
    </row>
    <row r="10" hidden="1" spans="1:20">
      <c r="A10" s="259">
        <v>44044</v>
      </c>
      <c r="B10" s="231">
        <f>'毛利-收入组成'!B10/'GMV表-商品大类'!B13</f>
        <v>0.0672969750460315</v>
      </c>
      <c r="C10" s="231">
        <f>'毛利-收入组成'!C10/'GMV表-商品大类'!C13</f>
        <v>0.00655674102234551</v>
      </c>
      <c r="D10" s="231">
        <f>'毛利-收入组成'!D10/'GMV表-商品大类'!D13</f>
        <v>0.0355955953289635</v>
      </c>
      <c r="E10" s="231">
        <f>'毛利-收入组成'!E10/'GMV表-商品大类'!E13</f>
        <v>0.0980030839451204</v>
      </c>
      <c r="F10" s="231">
        <f>'毛利-收入组成'!F10/'GMV表-商品大类'!F13</f>
        <v>0.0265234822937586</v>
      </c>
      <c r="H10" s="259">
        <v>44044</v>
      </c>
      <c r="I10" s="231">
        <f>'毛利-收入组成'!I10/'GMV表-商品大类'!I13</f>
        <v>6.13746214895371e-5</v>
      </c>
      <c r="J10" s="231">
        <f>IFERROR('毛利-收入组成'!J10/'GMV表-商品大类'!J13,0)</f>
        <v>0</v>
      </c>
      <c r="K10" s="231">
        <f>'毛利-收入组成'!K10/'GMV表-商品大类'!K13</f>
        <v>0.0879720983291068</v>
      </c>
      <c r="L10" s="231">
        <f>IFERROR('毛利-收入组成'!L10/'GMV表-商品大类'!L13,0)</f>
        <v>0</v>
      </c>
      <c r="M10" s="231">
        <f>'毛利-收入组成'!M10/'GMV表-商品大类'!M13</f>
        <v>0.0296845428573001</v>
      </c>
      <c r="O10" s="295" t="s">
        <v>223</v>
      </c>
      <c r="P10" s="287">
        <f>'毛利-收入组成'!AZ10/'GMV表-商品大类'!P13</f>
        <v>0.0573260281578991</v>
      </c>
      <c r="Q10" s="287">
        <f>'毛利-收入组成'!BA10/'GMV表-商品大类'!Q13</f>
        <v>0.00451865966467708</v>
      </c>
      <c r="R10" s="287">
        <f>'毛利-收入组成'!BB10/'GMV表-商品大类'!R13</f>
        <v>0.0603594255301307</v>
      </c>
      <c r="S10" s="287">
        <f>'毛利-收入组成'!BC10/'GMV表-商品大类'!S13</f>
        <v>0.0392494046208791</v>
      </c>
      <c r="T10" s="287">
        <f>'毛利-收入组成'!BD10/'GMV表-商品大类'!T13</f>
        <v>0.0220282974676194</v>
      </c>
    </row>
    <row r="11" hidden="1" spans="1:20">
      <c r="A11" s="259">
        <v>44075</v>
      </c>
      <c r="B11" s="231">
        <f>'毛利-收入组成'!B11/'GMV表-商品大类'!B14</f>
        <v>0.0783864899770383</v>
      </c>
      <c r="C11" s="231">
        <f>'毛利-收入组成'!C11/'GMV表-商品大类'!C14</f>
        <v>0.00627871298316816</v>
      </c>
      <c r="D11" s="231">
        <f>'毛利-收入组成'!D11/'GMV表-商品大类'!D14</f>
        <v>0.0494563240638361</v>
      </c>
      <c r="E11" s="231">
        <f>'毛利-收入组成'!E11/'GMV表-商品大类'!E14</f>
        <v>0.0471381165958314</v>
      </c>
      <c r="F11" s="231">
        <f>'毛利-收入组成'!F11/'GMV表-商品大类'!F14</f>
        <v>0.0261202114344847</v>
      </c>
      <c r="H11" s="259">
        <v>44075</v>
      </c>
      <c r="I11" s="231">
        <f>'毛利-收入组成'!I11/'GMV表-商品大类'!I14</f>
        <v>6.17956759748885e-5</v>
      </c>
      <c r="J11" s="231">
        <f>IFERROR('毛利-收入组成'!J11/'GMV表-商品大类'!J14,0)</f>
        <v>0</v>
      </c>
      <c r="K11" s="231">
        <f>'毛利-收入组成'!K11/'GMV表-商品大类'!K14</f>
        <v>0.0566558216116065</v>
      </c>
      <c r="L11" s="231">
        <f>IFERROR('毛利-收入组成'!L11/'GMV表-商品大类'!L14,0)</f>
        <v>0.0352648683044905</v>
      </c>
      <c r="M11" s="231">
        <f>'毛利-收入组成'!M11/'GMV表-商品大类'!M14</f>
        <v>0.0133353356579639</v>
      </c>
      <c r="O11" s="295" t="s">
        <v>224</v>
      </c>
      <c r="P11" s="287">
        <f>'毛利-收入组成'!AZ11/'GMV表-商品大类'!P14</f>
        <v>0.0592034347633952</v>
      </c>
      <c r="Q11" s="287">
        <f>'毛利-收入组成'!BA11/'GMV表-商品大类'!Q14</f>
        <v>0.00468583678609944</v>
      </c>
      <c r="R11" s="287">
        <f>'毛利-收入组成'!BB11/'GMV表-商品大类'!R14</f>
        <v>0.0589886684409191</v>
      </c>
      <c r="S11" s="287">
        <f>'毛利-收入组成'!BC11/'GMV表-商品大类'!S14</f>
        <v>0.0403827767326334</v>
      </c>
      <c r="T11" s="287">
        <f>'毛利-收入组成'!BD11/'GMV表-商品大类'!T14</f>
        <v>0.0224404843769848</v>
      </c>
    </row>
    <row r="12" hidden="1" spans="1:20">
      <c r="A12" s="259">
        <v>44105</v>
      </c>
      <c r="B12" s="231">
        <f>'毛利-收入组成'!B12/'GMV表-商品大类'!B15</f>
        <v>0.0195639666319752</v>
      </c>
      <c r="C12" s="231">
        <f>'毛利-收入组成'!C12/'GMV表-商品大类'!C15</f>
        <v>0.006979196741283</v>
      </c>
      <c r="D12" s="231">
        <f>'毛利-收入组成'!D12/'GMV表-商品大类'!D15</f>
        <v>0.0419907545564712</v>
      </c>
      <c r="E12" s="231">
        <f>'毛利-收入组成'!E12/'GMV表-商品大类'!E15</f>
        <v>0.063483328073065</v>
      </c>
      <c r="F12" s="231">
        <f>'毛利-收入组成'!F12/'GMV表-商品大类'!F15</f>
        <v>0.0174746635145138</v>
      </c>
      <c r="H12" s="259">
        <v>44105</v>
      </c>
      <c r="I12" s="231">
        <f>'毛利-收入组成'!I12/'GMV表-商品大类'!I15</f>
        <v>-7.87284213926049e-6</v>
      </c>
      <c r="J12" s="231">
        <f>IFERROR('毛利-收入组成'!J12/'GMV表-商品大类'!J15,0)</f>
        <v>0</v>
      </c>
      <c r="K12" s="231">
        <f>'毛利-收入组成'!K12/'GMV表-商品大类'!K15</f>
        <v>0.0623757857860357</v>
      </c>
      <c r="L12" s="231">
        <f>IFERROR('毛利-收入组成'!L12/'GMV表-商品大类'!L15,0)</f>
        <v>0.0635375573472324</v>
      </c>
      <c r="M12" s="231">
        <f>'毛利-收入组成'!M12/'GMV表-商品大类'!M15</f>
        <v>0.0463442916668663</v>
      </c>
      <c r="O12" s="295" t="s">
        <v>225</v>
      </c>
      <c r="P12" s="287">
        <f>'毛利-收入组成'!AZ12/'GMV表-商品大类'!P15</f>
        <v>0.0562603929235629</v>
      </c>
      <c r="Q12" s="287">
        <f>'毛利-收入组成'!BA12/'GMV表-商品大类'!Q15</f>
        <v>0.0049203636611498</v>
      </c>
      <c r="R12" s="287">
        <f>'毛利-收入组成'!BB12/'GMV表-商品大类'!R15</f>
        <v>0.057158067599985</v>
      </c>
      <c r="S12" s="287">
        <f>'毛利-收入组成'!BC12/'GMV表-商品大类'!S15</f>
        <v>0.0439413405073514</v>
      </c>
      <c r="T12" s="287">
        <f>'毛利-收入组成'!BD12/'GMV表-商品大类'!T15</f>
        <v>0.0219381968220155</v>
      </c>
    </row>
    <row r="13" hidden="1" spans="1:20">
      <c r="A13" s="259">
        <v>44136</v>
      </c>
      <c r="B13" s="231">
        <f>'毛利-收入组成'!B13/'GMV表-商品大类'!B16</f>
        <v>0.0860207251460791</v>
      </c>
      <c r="C13" s="231">
        <f>'毛利-收入组成'!C13/'GMV表-商品大类'!C16</f>
        <v>0.00783476250397642</v>
      </c>
      <c r="D13" s="231">
        <f>'毛利-收入组成'!D13/'GMV表-商品大类'!D16</f>
        <v>0.061316180129561</v>
      </c>
      <c r="E13" s="231">
        <f>'毛利-收入组成'!E13/'GMV表-商品大类'!E16</f>
        <v>0.0201978896181407</v>
      </c>
      <c r="F13" s="231">
        <f>'毛利-收入组成'!F13/'GMV表-商品大类'!F16</f>
        <v>0.0272588003810353</v>
      </c>
      <c r="H13" s="259">
        <v>44136</v>
      </c>
      <c r="I13" s="231">
        <f>'毛利-收入组成'!I13/'GMV表-商品大类'!I16</f>
        <v>3.42851094709222e-5</v>
      </c>
      <c r="J13" s="231">
        <f>IFERROR('毛利-收入组成'!J13/'GMV表-商品大类'!J16,0)</f>
        <v>0</v>
      </c>
      <c r="K13" s="231">
        <f>'毛利-收入组成'!K13/'GMV表-商品大类'!K16</f>
        <v>0.0971458641196311</v>
      </c>
      <c r="L13" s="231">
        <f>IFERROR('毛利-收入组成'!L13/'GMV表-商品大类'!L16,0)</f>
        <v>0.0743142771843694</v>
      </c>
      <c r="M13" s="231">
        <f>'毛利-收入组成'!M13/'GMV表-商品大类'!M16</f>
        <v>0.0444444053349378</v>
      </c>
      <c r="O13" s="295" t="s">
        <v>226</v>
      </c>
      <c r="P13" s="287">
        <f>'毛利-收入组成'!AZ13/'GMV表-商品大类'!P16</f>
        <v>0.0575987459938392</v>
      </c>
      <c r="Q13" s="287">
        <f>'毛利-收入组成'!BA13/'GMV表-商品大类'!Q16</f>
        <v>0.005189945196825</v>
      </c>
      <c r="R13" s="287">
        <f>'毛利-收入组成'!BB13/'GMV表-商品大类'!R16</f>
        <v>0.0577917851910303</v>
      </c>
      <c r="S13" s="287">
        <f>'毛利-收入组成'!BC13/'GMV表-商品大类'!S16</f>
        <v>0.0400121286968332</v>
      </c>
      <c r="T13" s="287">
        <f>'毛利-收入组成'!BD13/'GMV表-商品大类'!T16</f>
        <v>0.0224666017623858</v>
      </c>
    </row>
    <row r="14" hidden="1" spans="1:20">
      <c r="A14" s="259">
        <v>44166</v>
      </c>
      <c r="B14" s="231">
        <f>'毛利-收入组成'!B14/'GMV表-商品大类'!B17</f>
        <v>0.107732647192768</v>
      </c>
      <c r="C14" s="231">
        <f>'毛利-收入组成'!C14/'GMV表-商品大类'!C17</f>
        <v>0.00624377815339236</v>
      </c>
      <c r="D14" s="231">
        <f>'毛利-收入组成'!D14/'GMV表-商品大类'!D17</f>
        <v>0.0792594812043102</v>
      </c>
      <c r="E14" s="231">
        <f>'毛利-收入组成'!E14/'GMV表-商品大类'!E17</f>
        <v>0.0357317300850302</v>
      </c>
      <c r="F14" s="231">
        <f>'毛利-收入组成'!F14/'GMV表-商品大类'!F17</f>
        <v>0.0336917332613818</v>
      </c>
      <c r="H14" s="259">
        <v>44166</v>
      </c>
      <c r="I14" s="231">
        <f>'毛利-收入组成'!I14/'GMV表-商品大类'!I17</f>
        <v>0.000131444525885452</v>
      </c>
      <c r="J14" s="231">
        <f>IFERROR('毛利-收入组成'!J14/'GMV表-商品大类'!J17,0)</f>
        <v>0</v>
      </c>
      <c r="K14" s="231">
        <f>'毛利-收入组成'!K14/'GMV表-商品大类'!K17</f>
        <v>0.0747089834102729</v>
      </c>
      <c r="L14" s="231">
        <f>IFERROR('毛利-收入组成'!L14/'GMV表-商品大类'!L17,0)</f>
        <v>0.389262431825473</v>
      </c>
      <c r="M14" s="231">
        <f>'毛利-收入组成'!M14/'GMV表-商品大类'!M17</f>
        <v>0.0126116185406429</v>
      </c>
      <c r="O14" s="295" t="s">
        <v>227</v>
      </c>
      <c r="P14" s="287">
        <f>'毛利-收入组成'!AZ14/'GMV表-商品大类'!P17</f>
        <v>0.0598733458819519</v>
      </c>
      <c r="Q14" s="287">
        <f>'毛利-收入组成'!BA14/'GMV表-商品大类'!Q17</f>
        <v>0.00527892522899807</v>
      </c>
      <c r="R14" s="287">
        <f>'毛利-收入组成'!BB14/'GMV表-商品大类'!R17</f>
        <v>0.0606404931388876</v>
      </c>
      <c r="S14" s="287">
        <f>'毛利-收入组成'!BC14/'GMV表-商品大类'!S17</f>
        <v>0.0392745862709431</v>
      </c>
      <c r="T14" s="287">
        <f>'毛利-收入组成'!BD14/'GMV表-商品大类'!T17</f>
        <v>0.023499262209201</v>
      </c>
    </row>
    <row r="15" hidden="1" spans="1:27">
      <c r="A15" s="288">
        <v>44197</v>
      </c>
      <c r="B15" s="231">
        <f>'毛利-收入组成'!B15/'GMV表-商品大类'!B18</f>
        <v>0.0296534496335406</v>
      </c>
      <c r="C15" s="231">
        <f>'毛利-收入组成'!C15/'GMV表-商品大类'!C18</f>
        <v>0.0075933481593273</v>
      </c>
      <c r="D15" s="231">
        <f>'毛利-收入组成'!D15/'GMV表-商品大类'!D18</f>
        <v>0.0600502071643121</v>
      </c>
      <c r="E15" s="231">
        <f>'毛利-收入组成'!E15/'GMV表-商品大类'!E18</f>
        <v>0.0404560041661753</v>
      </c>
      <c r="F15" s="231">
        <f>'毛利-收入组成'!F15/'GMV表-商品大类'!F18</f>
        <v>0.0243112968331536</v>
      </c>
      <c r="H15" s="259">
        <v>44197</v>
      </c>
      <c r="I15" s="231">
        <f>'毛利-收入组成'!I15/'GMV表-商品大类'!I18</f>
        <v>0.00330767938437388</v>
      </c>
      <c r="J15" s="231">
        <f>IFERROR('毛利-收入组成'!J15/'GMV表-商品大类'!J18,0)</f>
        <v>0</v>
      </c>
      <c r="K15" s="231">
        <f>'毛利-收入组成'!K15/'GMV表-商品大类'!K18</f>
        <v>0.07765740189289</v>
      </c>
      <c r="L15" s="231">
        <f>IFERROR('毛利-收入组成'!L15/'GMV表-商品大类'!L18,0)</f>
        <v>0.103258413191061</v>
      </c>
      <c r="M15" s="231">
        <f>'毛利-收入组成'!M15/'GMV表-商品大类'!M18</f>
        <v>0.027164317654873</v>
      </c>
      <c r="O15" s="295" t="s">
        <v>228</v>
      </c>
      <c r="P15" s="287">
        <f>'毛利-收入组成'!AZ15/'GMV表-商品大类'!P18</f>
        <v>0.0296534496335406</v>
      </c>
      <c r="Q15" s="287">
        <f>'毛利-收入组成'!BA15/'GMV表-商品大类'!Q18</f>
        <v>0.0075933481593273</v>
      </c>
      <c r="R15" s="287">
        <f>'毛利-收入组成'!BB15/'GMV表-商品大类'!R18</f>
        <v>0.0600502071643121</v>
      </c>
      <c r="S15" s="287">
        <f>'毛利-收入组成'!BC15/'GMV表-商品大类'!S18</f>
        <v>0.0404560041661753</v>
      </c>
      <c r="T15" s="287">
        <f>'毛利-收入组成'!BD15/'GMV表-商品大类'!T18</f>
        <v>0.0243112968331536</v>
      </c>
      <c r="V15" s="295" t="s">
        <v>228</v>
      </c>
      <c r="W15" s="287"/>
      <c r="X15" s="287"/>
      <c r="Y15" s="287"/>
      <c r="Z15" s="287"/>
      <c r="AA15" s="287"/>
    </row>
    <row r="16" hidden="1" spans="1:22">
      <c r="A16" s="288">
        <v>44228</v>
      </c>
      <c r="B16" s="231">
        <f>'毛利-收入组成'!B16/'GMV表-商品大类'!B19</f>
        <v>0.0286452711935766</v>
      </c>
      <c r="C16" s="231">
        <f>'毛利-收入组成'!C16/'GMV表-商品大类'!C19</f>
        <v>0.00703056313628879</v>
      </c>
      <c r="D16" s="231">
        <f>'毛利-收入组成'!D16/'GMV表-商品大类'!D19</f>
        <v>0.0447976002692103</v>
      </c>
      <c r="E16" s="231">
        <f>'毛利-收入组成'!E16/'GMV表-商品大类'!E19</f>
        <v>0.0404926950937904</v>
      </c>
      <c r="F16" s="231">
        <f>'毛利-收入组成'!F16/'GMV表-商品大类'!F19</f>
        <v>0.0193649701019403</v>
      </c>
      <c r="H16" s="259">
        <v>44228</v>
      </c>
      <c r="I16" s="231">
        <f>'毛利-收入组成'!I16/'GMV表-商品大类'!I19</f>
        <v>0.0528623578334129</v>
      </c>
      <c r="J16" s="231">
        <f>IFERROR('毛利-收入组成'!J16/'GMV表-商品大类'!J19,0)</f>
        <v>0</v>
      </c>
      <c r="K16" s="231">
        <f>'毛利-收入组成'!K16/'GMV表-商品大类'!K19</f>
        <v>0.0771076445838981</v>
      </c>
      <c r="L16" s="231">
        <f>IFERROR('毛利-收入组成'!L16/'GMV表-商品大类'!L19,0)</f>
        <v>0.0926940642120752</v>
      </c>
      <c r="M16" s="231">
        <f>'毛利-收入组成'!M16/'GMV表-商品大类'!M19</f>
        <v>0.0577879602304311</v>
      </c>
      <c r="O16" s="295" t="s">
        <v>229</v>
      </c>
      <c r="P16" s="287">
        <f>'毛利-收入组成'!AZ16/'GMV表-商品大类'!P19</f>
        <v>0.0290919012580217</v>
      </c>
      <c r="Q16" s="287">
        <f>'毛利-收入组成'!BA16/'GMV表-商品大类'!Q19</f>
        <v>0.0073055711427249</v>
      </c>
      <c r="R16" s="287">
        <f>'毛利-收入组成'!BB16/'GMV表-商品大类'!R19</f>
        <v>0.0526266764414993</v>
      </c>
      <c r="S16" s="287">
        <f>'毛利-收入组成'!BC16/'GMV表-商品大类'!S19</f>
        <v>0.0404691006978559</v>
      </c>
      <c r="T16" s="287">
        <f>'毛利-收入组成'!BD16/'GMV表-商品大类'!T19</f>
        <v>0.0218387035493157</v>
      </c>
      <c r="V16" s="295" t="s">
        <v>229</v>
      </c>
    </row>
    <row r="17" hidden="1" spans="1:22">
      <c r="A17" s="288">
        <v>44256</v>
      </c>
      <c r="B17" s="231">
        <f>'毛利-收入组成'!B17/'GMV表-商品大类'!B20</f>
        <v>0.0302950305093588</v>
      </c>
      <c r="C17" s="231">
        <f>'毛利-收入组成'!C17/'GMV表-商品大类'!C20</f>
        <v>0.00653752611152361</v>
      </c>
      <c r="D17" s="231">
        <f>'毛利-收入组成'!D17/'GMV表-商品大类'!D20</f>
        <v>0.0980805535470741</v>
      </c>
      <c r="E17" s="231">
        <f>'毛利-收入组成'!E17/'GMV表-商品大类'!E20</f>
        <v>0.0234322029244693</v>
      </c>
      <c r="F17" s="231">
        <f>'毛利-收入组成'!F17/'GMV表-商品大类'!F20</f>
        <v>0.0253481622824403</v>
      </c>
      <c r="H17" s="259">
        <v>44256</v>
      </c>
      <c r="I17" s="231">
        <f>'毛利-收入组成'!I17/'GMV表-商品大类'!I20</f>
        <v>0.0360310846875084</v>
      </c>
      <c r="J17" s="231">
        <f>IFERROR('毛利-收入组成'!J17/'GMV表-商品大类'!J20,0)</f>
        <v>0</v>
      </c>
      <c r="K17" s="231">
        <f>'毛利-收入组成'!K17/'GMV表-商品大类'!K20</f>
        <v>0.0683140231014904</v>
      </c>
      <c r="L17" s="231">
        <f>IFERROR('毛利-收入组成'!L17/'GMV表-商品大类'!L20,0)</f>
        <v>0.00822442519757344</v>
      </c>
      <c r="M17" s="231">
        <f>'毛利-收入组成'!M17/'GMV表-商品大类'!M20</f>
        <v>0.0391480384068021</v>
      </c>
      <c r="O17" s="295" t="s">
        <v>230</v>
      </c>
      <c r="P17" s="287">
        <f>'毛利-收入组成'!AZ17/'GMV表-商品大类'!P20</f>
        <v>0.0294259169681367</v>
      </c>
      <c r="Q17" s="287">
        <f>'毛利-收入组成'!BA17/'GMV表-商品大类'!Q20</f>
        <v>0.00697928302344172</v>
      </c>
      <c r="R17" s="287">
        <f>'毛利-收入组成'!BB17/'GMV表-商品大类'!R20</f>
        <v>0.0686570716993695</v>
      </c>
      <c r="S17" s="287">
        <f>'毛利-收入组成'!BC17/'GMV表-商品大类'!S20</f>
        <v>0.0328981958606895</v>
      </c>
      <c r="T17" s="287">
        <f>'毛利-收入组成'!BD17/'GMV表-商品大类'!T20</f>
        <v>0.0232346990430245</v>
      </c>
      <c r="V17" s="295" t="s">
        <v>230</v>
      </c>
    </row>
    <row r="18" hidden="1" spans="1:22">
      <c r="A18" s="288">
        <v>44287</v>
      </c>
      <c r="B18" s="231">
        <f>'毛利-收入组成'!B18/'GMV表-商品大类'!B21</f>
        <v>0.0194390247899679</v>
      </c>
      <c r="C18" s="231">
        <f>'毛利-收入组成'!C18/'GMV表-商品大类'!C21</f>
        <v>0.00805865505684543</v>
      </c>
      <c r="D18" s="231">
        <f>'毛利-收入组成'!D18/'GMV表-商品大类'!D21</f>
        <v>0.0192402565389168</v>
      </c>
      <c r="E18" s="231">
        <f>'毛利-收入组成'!E18/'GMV表-商品大类'!E21</f>
        <v>0.0323669099446503</v>
      </c>
      <c r="F18" s="231">
        <f>'毛利-收入组成'!F18/'GMV表-商品大类'!F21</f>
        <v>0.012900763586363</v>
      </c>
      <c r="H18" s="259">
        <v>44287</v>
      </c>
      <c r="I18" s="231">
        <f>'毛利-收入组成'!I18/'GMV表-商品大类'!I21</f>
        <v>0.00566614698954604</v>
      </c>
      <c r="J18" s="231">
        <f>IFERROR('毛利-收入组成'!J18/'GMV表-商品大类'!J21,0)</f>
        <v>0</v>
      </c>
      <c r="K18" s="231">
        <f>'毛利-收入组成'!K18/'GMV表-商品大类'!K21</f>
        <v>0.0716475652392627</v>
      </c>
      <c r="L18" s="231">
        <f>IFERROR('毛利-收入组成'!L18/'GMV表-商品大类'!L21,0)</f>
        <v>0.0240897183972678</v>
      </c>
      <c r="M18" s="231">
        <f>'毛利-收入组成'!M18/'GMV表-商品大类'!M21</f>
        <v>0.0253858885376325</v>
      </c>
      <c r="O18" s="295" t="s">
        <v>231</v>
      </c>
      <c r="P18" s="287">
        <f>'毛利-收入组成'!AZ18/'GMV表-商品大类'!P21</f>
        <v>0.0271986964743152</v>
      </c>
      <c r="Q18" s="287">
        <f>'毛利-收入组成'!BA18/'GMV表-商品大类'!Q21</f>
        <v>0.00727927457101441</v>
      </c>
      <c r="R18" s="287">
        <f>'毛利-收入组成'!BB18/'GMV表-商品大类'!R21</f>
        <v>0.0542183267405852</v>
      </c>
      <c r="S18" s="287">
        <f>'毛利-收入组成'!BC18/'GMV表-商品大类'!S21</f>
        <v>0.0327787833710774</v>
      </c>
      <c r="T18" s="287">
        <f>'毛利-收入组成'!BD18/'GMV表-商品大类'!T21</f>
        <v>0.0204303478295086</v>
      </c>
      <c r="V18" s="295" t="s">
        <v>231</v>
      </c>
    </row>
    <row r="19" hidden="1" spans="1:22">
      <c r="A19" s="288">
        <v>44317</v>
      </c>
      <c r="B19" s="231">
        <f>'毛利-收入组成'!B19/'GMV表-商品大类'!B22</f>
        <v>0.0174931429347624</v>
      </c>
      <c r="C19" s="231">
        <f>'毛利-收入组成'!C19/'GMV表-商品大类'!C22</f>
        <v>0.00850039915136064</v>
      </c>
      <c r="D19" s="231">
        <f>'毛利-收入组成'!D19/'GMV表-商品大类'!D22</f>
        <v>0.027482807645426</v>
      </c>
      <c r="E19" s="231">
        <f>'毛利-收入组成'!E19/'GMV表-商品大类'!E22</f>
        <v>0.0351190114156099</v>
      </c>
      <c r="F19" s="231">
        <f>'毛利-收入组成'!F19/'GMV表-商品大类'!F22</f>
        <v>0.0144565882796461</v>
      </c>
      <c r="H19" s="259">
        <v>44317</v>
      </c>
      <c r="I19" s="231">
        <f>'毛利-收入组成'!I19/'GMV表-商品大类'!I22</f>
        <v>0.0228925777883013</v>
      </c>
      <c r="J19" s="231">
        <f>IFERROR('毛利-收入组成'!J19/'GMV表-商品大类'!J22,0)</f>
        <v>0</v>
      </c>
      <c r="K19" s="231">
        <f>'毛利-收入组成'!K19/'GMV表-商品大类'!K22</f>
        <v>0.0921195084484842</v>
      </c>
      <c r="L19" s="231">
        <f>IFERROR('毛利-收入组成'!L19/'GMV表-商品大类'!L22,0)</f>
        <v>0.798101466831876</v>
      </c>
      <c r="M19" s="231">
        <f>'毛利-收入组成'!M19/'GMV表-商品大类'!M22</f>
        <v>0.0333900942699642</v>
      </c>
      <c r="O19" s="295" t="s">
        <v>232</v>
      </c>
      <c r="P19" s="287">
        <f>'毛利-收入组成'!AZ19/'GMV表-商品大类'!P22</f>
        <v>0.0251418660406817</v>
      </c>
      <c r="Q19" s="287">
        <f>'毛利-收入组成'!BA19/'GMV表-商品大类'!Q22</f>
        <v>0.00760040291240016</v>
      </c>
      <c r="R19" s="287">
        <f>'毛利-收入组成'!BB19/'GMV表-商品大类'!R22</f>
        <v>0.0472096872082951</v>
      </c>
      <c r="S19" s="287">
        <f>'毛利-收入组成'!BC19/'GMV表-商品大类'!S22</f>
        <v>0.033191198339259</v>
      </c>
      <c r="T19" s="287">
        <f>'毛利-收入组成'!BD19/'GMV表-商品大类'!T22</f>
        <v>0.0189247155261519</v>
      </c>
      <c r="V19" s="295" t="s">
        <v>232</v>
      </c>
    </row>
    <row r="20" hidden="1" spans="1:22">
      <c r="A20" s="288">
        <v>44348</v>
      </c>
      <c r="B20" s="231">
        <f>'毛利-收入组成'!B20/'GMV表-商品大类'!B23</f>
        <v>0.0395436775829037</v>
      </c>
      <c r="C20" s="231">
        <f>'毛利-收入组成'!C20/'GMV表-商品大类'!C23</f>
        <v>0.00778769012800506</v>
      </c>
      <c r="D20" s="231">
        <f>'毛利-收入组成'!D20/'GMV表-商品大类'!D23</f>
        <v>0.037175308516621</v>
      </c>
      <c r="E20" s="231">
        <f>'毛利-收入组成'!E20/'GMV表-商品大类'!E23</f>
        <v>0.0286271833254137</v>
      </c>
      <c r="F20" s="231">
        <f>'毛利-收入组成'!F20/'GMV表-商品大类'!F23</f>
        <v>0.0184012048440641</v>
      </c>
      <c r="H20" s="259">
        <v>44348</v>
      </c>
      <c r="I20" s="231">
        <f>'毛利-收入组成'!I20/'GMV表-商品大类'!I23</f>
        <v>0.0266104325752812</v>
      </c>
      <c r="J20" s="231">
        <f>IFERROR('毛利-收入组成'!J20/'GMV表-商品大类'!J23,0)</f>
        <v>0</v>
      </c>
      <c r="K20" s="231">
        <f>'毛利-收入组成'!K20/'GMV表-商品大类'!K23</f>
        <v>0.0411026124508987</v>
      </c>
      <c r="L20" s="231">
        <f>IFERROR('毛利-收入组成'!L20/'GMV表-商品大类'!L23,0)</f>
        <v>0.0936248328561521</v>
      </c>
      <c r="M20" s="231">
        <f>'毛利-收入组成'!M20/'GMV表-商品大类'!M23</f>
        <v>0.0302044769049122</v>
      </c>
      <c r="O20" s="295" t="s">
        <v>233</v>
      </c>
      <c r="P20" s="287">
        <f>'毛利-收入组成'!AZ20/'GMV表-商品大类'!P23</f>
        <v>0.027215431088211</v>
      </c>
      <c r="Q20" s="287">
        <f>'毛利-收入组成'!BA20/'GMV表-商品大类'!Q23</f>
        <v>0.00764235505720833</v>
      </c>
      <c r="R20" s="287">
        <f>'毛利-收入组成'!BB20/'GMV表-商品大类'!R23</f>
        <v>0.044384065240319</v>
      </c>
      <c r="S20" s="287">
        <f>'毛利-收入组成'!BC20/'GMV表-商品大类'!S23</f>
        <v>0.0323462350045472</v>
      </c>
      <c r="T20" s="287">
        <f>'毛利-收入组成'!BD20/'GMV表-商品大类'!T23</f>
        <v>0.0188057321981782</v>
      </c>
      <c r="V20" s="295" t="s">
        <v>233</v>
      </c>
    </row>
    <row r="21" hidden="1" spans="1:22">
      <c r="A21" s="288">
        <v>44378</v>
      </c>
      <c r="B21" s="231">
        <f>'毛利-收入组成'!B21/'GMV表-商品大类'!B24</f>
        <v>0.0183893622711352</v>
      </c>
      <c r="C21" s="231">
        <f>'毛利-收入组成'!C21/'GMV表-商品大类'!C24</f>
        <v>0.00585088941425737</v>
      </c>
      <c r="D21" s="231">
        <f>'毛利-收入组成'!D21/'GMV表-商品大类'!D24</f>
        <v>0.0139677246458969</v>
      </c>
      <c r="E21" s="231">
        <f>'毛利-收入组成'!E21/'GMV表-商品大类'!E24</f>
        <v>0.0228063125645811</v>
      </c>
      <c r="F21" s="231">
        <f>'毛利-收入组成'!F21/'GMV表-商品大类'!F24</f>
        <v>0.00924073663038522</v>
      </c>
      <c r="H21" s="259">
        <v>44378</v>
      </c>
      <c r="I21" s="231">
        <f>'毛利-收入组成'!I21/'GMV表-商品大类'!I24</f>
        <v>0.0100419765622134</v>
      </c>
      <c r="J21" s="231">
        <f>IFERROR('毛利-收入组成'!J21/'GMV表-商品大类'!J24,0)</f>
        <v>0</v>
      </c>
      <c r="K21" s="231">
        <f>'毛利-收入组成'!K21/'GMV表-商品大类'!K24</f>
        <v>0.218303024271792</v>
      </c>
      <c r="L21" s="231">
        <f>IFERROR('毛利-收入组成'!L21/'GMV表-商品大类'!L24,0)</f>
        <v>0.0539704959803559</v>
      </c>
      <c r="M21" s="231">
        <f>'毛利-收入组成'!M21/'GMV表-商品大类'!M24</f>
        <v>0.0282089691019789</v>
      </c>
      <c r="O21" s="295" t="s">
        <v>234</v>
      </c>
      <c r="P21" s="287">
        <f>'毛利-收入组成'!AZ21/'GMV表-商品大类'!P24</f>
        <v>0.0257900682054623</v>
      </c>
      <c r="Q21" s="287">
        <f>'毛利-收入组成'!BA21/'GMV表-商品大类'!Q24</f>
        <v>0.00730535441523592</v>
      </c>
      <c r="R21" s="287">
        <f>'毛利-收入组成'!BB21/'GMV表-商品大类'!R24</f>
        <v>0.0388217766943262</v>
      </c>
      <c r="S21" s="287">
        <f>'毛利-收入组成'!BC21/'GMV表-商品大类'!S24</f>
        <v>0.0311685987533631</v>
      </c>
      <c r="T21" s="287">
        <f>'毛利-收入组成'!BD21/'GMV表-商品大类'!T24</f>
        <v>0.0170764946997456</v>
      </c>
      <c r="V21" s="295" t="s">
        <v>234</v>
      </c>
    </row>
    <row r="22" hidden="1" spans="1:22">
      <c r="A22" s="288">
        <v>44409</v>
      </c>
      <c r="B22" s="231">
        <f>'毛利-收入组成'!B22/'GMV表-商品大类'!B25</f>
        <v>0.0177610812915281</v>
      </c>
      <c r="C22" s="231">
        <f>'毛利-收入组成'!C22/'GMV表-商品大类'!C25</f>
        <v>0.00584285904602378</v>
      </c>
      <c r="D22" s="231">
        <f>'毛利-收入组成'!D22/'GMV表-商品大类'!D25</f>
        <v>0.041621207595394</v>
      </c>
      <c r="E22" s="231">
        <f>'毛利-收入组成'!E22/'GMV表-商品大类'!E25</f>
        <v>0.0296166315172194</v>
      </c>
      <c r="F22" s="231">
        <f>'毛利-收入组成'!F22/'GMV表-商品大类'!F25</f>
        <v>0.0151969006606152</v>
      </c>
      <c r="H22" s="259">
        <v>44409</v>
      </c>
      <c r="I22" s="231">
        <f>'毛利-收入组成'!I22/'GMV表-商品大类'!I25</f>
        <v>0.0105467825912088</v>
      </c>
      <c r="J22" s="231">
        <f>IFERROR('毛利-收入组成'!J22/'GMV表-商品大类'!J25,0)</f>
        <v>0</v>
      </c>
      <c r="K22" s="231">
        <f>'毛利-收入组成'!K22/'GMV表-商品大类'!K25</f>
        <v>0.0948269378152513</v>
      </c>
      <c r="L22" s="231">
        <f>IFERROR('毛利-收入组成'!L22/'GMV表-商品大类'!L25,0)</f>
        <v>0.0958280771408038</v>
      </c>
      <c r="M22" s="231">
        <f>'毛利-收入组成'!M22/'GMV表-商品大类'!M25</f>
        <v>0.0217937152744695</v>
      </c>
      <c r="O22" s="295" t="s">
        <v>235</v>
      </c>
      <c r="P22" s="287">
        <f>'毛利-收入组成'!AZ22/'GMV表-商品大类'!P25</f>
        <v>0.0247945285308893</v>
      </c>
      <c r="Q22" s="287">
        <f>'毛利-收入组成'!BA22/'GMV表-商品大类'!Q25</f>
        <v>0.0070250823814235</v>
      </c>
      <c r="R22" s="287">
        <f>'毛利-收入组成'!BB22/'GMV表-商品大类'!R25</f>
        <v>0.0393260692741497</v>
      </c>
      <c r="S22" s="287">
        <f>'毛利-收入组成'!BC22/'GMV表-商品大类'!S25</f>
        <v>0.0309592557123866</v>
      </c>
      <c r="T22" s="287">
        <f>'毛利-收入组成'!BD22/'GMV表-商品大类'!T25</f>
        <v>0.0167367486022268</v>
      </c>
      <c r="V22" s="295" t="s">
        <v>235</v>
      </c>
    </row>
    <row r="23" hidden="1" spans="1:22">
      <c r="A23" s="288">
        <v>44440</v>
      </c>
      <c r="B23" s="231">
        <f>'毛利-收入组成'!B23/'GMV表-商品大类'!B26</f>
        <v>0.0569529890275796</v>
      </c>
      <c r="C23" s="231">
        <f>'毛利-收入组成'!C23/'GMV表-商品大类'!C26</f>
        <v>0.00636054054943418</v>
      </c>
      <c r="D23" s="231">
        <f>'毛利-收入组成'!D23/'GMV表-商品大类'!D26</f>
        <v>0.0229605274842193</v>
      </c>
      <c r="E23" s="231">
        <f>'毛利-收入组成'!E23/'GMV表-商品大类'!E26</f>
        <v>0.0128961431011522</v>
      </c>
      <c r="F23" s="231">
        <f>'毛利-收入组成'!F23/'GMV表-商品大类'!F26</f>
        <v>0.0155636792133433</v>
      </c>
      <c r="H23" s="259">
        <v>44440</v>
      </c>
      <c r="I23" s="231">
        <f>'毛利-收入组成'!I23/'GMV表-商品大类'!I26</f>
        <v>0.028199059919553</v>
      </c>
      <c r="J23" s="231">
        <f>IFERROR('毛利-收入组成'!J23/'GMV表-商品大类'!J26,0)</f>
        <v>0</v>
      </c>
      <c r="K23" s="231">
        <f>'毛利-收入组成'!K23/'GMV表-商品大类'!K26</f>
        <v>0.0427862003448319</v>
      </c>
      <c r="L23" s="231">
        <f>IFERROR('毛利-收入组成'!L23/'GMV表-商品大类'!L26,0)</f>
        <v>1.31381898778707</v>
      </c>
      <c r="M23" s="231">
        <f>'毛利-收入组成'!M23/'GMV表-商品大类'!M26</f>
        <v>0.0347434399002416</v>
      </c>
      <c r="O23" s="295" t="s">
        <v>236</v>
      </c>
      <c r="P23" s="287">
        <f>'毛利-收入组成'!AZ23/'GMV表-商品大类'!P26</f>
        <v>0.0271135016751403</v>
      </c>
      <c r="Q23" s="287">
        <f>'毛利-收入组成'!BA23/'GMV表-商品大类'!Q26</f>
        <v>0.00697049442759281</v>
      </c>
      <c r="R23" s="287">
        <f>'毛利-收入组成'!BB23/'GMV表-商品大类'!R26</f>
        <v>0.036536679261916</v>
      </c>
      <c r="S23" s="287">
        <f>'毛利-收入组成'!BC23/'GMV表-商品大类'!S26</f>
        <v>0.0281017480914929</v>
      </c>
      <c r="T23" s="287">
        <f>'毛利-收入组成'!BD23/'GMV表-商品大类'!T26</f>
        <v>0.0166115170287844</v>
      </c>
      <c r="V23" s="295" t="s">
        <v>236</v>
      </c>
    </row>
    <row r="24" hidden="1" spans="1:22">
      <c r="A24" s="288">
        <v>44470</v>
      </c>
      <c r="B24" s="231">
        <f>'毛利-收入组成'!B24/'GMV表-商品大类'!B27</f>
        <v>0.025969943721336</v>
      </c>
      <c r="C24" s="231">
        <f>'毛利-收入组成'!C24/'GMV表-商品大类'!C27</f>
        <v>0.00711511356734803</v>
      </c>
      <c r="D24" s="231">
        <f>'毛利-收入组成'!D24/'GMV表-商品大类'!D27</f>
        <v>0.0199413855900743</v>
      </c>
      <c r="E24" s="231">
        <f>'毛利-收入组成'!E24/'GMV表-商品大类'!E27</f>
        <v>0.0211766549458037</v>
      </c>
      <c r="F24" s="231">
        <f>'毛利-收入组成'!F24/'GMV表-商品大类'!F27</f>
        <v>0.013650414198935</v>
      </c>
      <c r="H24" s="259">
        <v>44470</v>
      </c>
      <c r="I24" s="231">
        <f>'毛利-收入组成'!I24/'GMV表-商品大类'!I27</f>
        <v>0.0153939005265343</v>
      </c>
      <c r="J24" s="231">
        <f>IFERROR('毛利-收入组成'!J24/'GMV表-商品大类'!J27,0)</f>
        <v>0</v>
      </c>
      <c r="K24" s="231">
        <f>'毛利-收入组成'!K24/'GMV表-商品大类'!K27</f>
        <v>0.0273528499332794</v>
      </c>
      <c r="L24" s="231">
        <f>IFERROR('毛利-收入组成'!L24/'GMV表-商品大类'!L27,0)</f>
        <v>1.21218661363127</v>
      </c>
      <c r="M24" s="231">
        <f>'毛利-收入组成'!M24/'GMV表-商品大类'!M27</f>
        <v>0.0211102141220801</v>
      </c>
      <c r="O24" s="295" t="s">
        <v>237</v>
      </c>
      <c r="P24" s="287">
        <f>'毛利-收入组成'!AZ24/'GMV表-商品大类'!P27</f>
        <v>0.0270361349886689</v>
      </c>
      <c r="Q24" s="287">
        <f>'毛利-收入组成'!BA24/'GMV表-商品大类'!Q27</f>
        <v>0.00698010525533124</v>
      </c>
      <c r="R24" s="287">
        <f>'毛利-收入组成'!BB24/'GMV表-商品大类'!R27</f>
        <v>0.0349018651137833</v>
      </c>
      <c r="S24" s="287">
        <f>'毛利-收入组成'!BC24/'GMV表-商品大类'!S27</f>
        <v>0.0272036583693367</v>
      </c>
      <c r="T24" s="287">
        <f>'毛利-收入组成'!BD24/'GMV表-商品大类'!T27</f>
        <v>0.0163793669649056</v>
      </c>
      <c r="V24" s="295" t="s">
        <v>237</v>
      </c>
    </row>
    <row r="25" hidden="1" spans="1:22">
      <c r="A25" s="288">
        <v>44501</v>
      </c>
      <c r="B25" s="231">
        <f>'毛利-收入组成'!B25/'GMV表-商品大类'!B28</f>
        <v>0.0619156384822763</v>
      </c>
      <c r="C25" s="231">
        <f>'毛利-收入组成'!C25/'GMV表-商品大类'!C28</f>
        <v>0.00488272418990704</v>
      </c>
      <c r="D25" s="231">
        <f>'毛利-收入组成'!D25/'GMV表-商品大类'!D28</f>
        <v>0.0294597481157484</v>
      </c>
      <c r="E25" s="231">
        <f>'毛利-收入组成'!E25/'GMV表-商品大类'!E28</f>
        <v>0.00999534864394301</v>
      </c>
      <c r="F25" s="231">
        <f>'毛利-收入组成'!F25/'GMV表-商品大类'!F28</f>
        <v>0.0160517395072448</v>
      </c>
      <c r="H25" s="259">
        <v>44501</v>
      </c>
      <c r="I25" s="231">
        <f>'毛利-收入组成'!I25/'GMV表-商品大类'!I28</f>
        <v>0.0363257634771184</v>
      </c>
      <c r="J25" s="231">
        <f>IFERROR('毛利-收入组成'!J25/'GMV表-商品大类'!J28,0)</f>
        <v>0</v>
      </c>
      <c r="K25" s="231">
        <f>'毛利-收入组成'!K25/'GMV表-商品大类'!K28</f>
        <v>0.0739025833938641</v>
      </c>
      <c r="L25" s="231">
        <f>IFERROR('毛利-收入组成'!L25/'GMV表-商品大类'!L28,0)</f>
        <v>0.266470810292407</v>
      </c>
      <c r="M25" s="231">
        <f>'毛利-收入组成'!M25/'GMV表-商品大类'!M28</f>
        <v>0.0562378853161167</v>
      </c>
      <c r="O25" s="295" t="s">
        <v>238</v>
      </c>
      <c r="P25" s="287">
        <f>'毛利-收入组成'!AZ25/'GMV表-商品大类'!P28</f>
        <v>0.0289686615331772</v>
      </c>
      <c r="Q25" s="287">
        <f>'毛利-收入组成'!BA25/'GMV表-商品大类'!Q28</f>
        <v>0.00682075998028054</v>
      </c>
      <c r="R25" s="287">
        <f>'毛利-收入组成'!BB25/'GMV表-商品大类'!R28</f>
        <v>0.0342338704439446</v>
      </c>
      <c r="S25" s="287">
        <f>'毛利-收入组成'!BC25/'GMV表-商品大类'!S28</f>
        <v>0.0249681932752277</v>
      </c>
      <c r="T25" s="287">
        <f>'毛利-收入组成'!BD25/'GMV表-商品大类'!T28</f>
        <v>0.0163499177632248</v>
      </c>
      <c r="V25" s="295" t="s">
        <v>238</v>
      </c>
    </row>
    <row r="26" hidden="1" spans="1:22">
      <c r="A26" s="288">
        <v>44531</v>
      </c>
      <c r="B26" s="231">
        <f>'毛利-收入组成'!B26/'GMV表-商品大类'!B29</f>
        <v>-0.00364678733634372</v>
      </c>
      <c r="C26" s="231">
        <f>'毛利-收入组成'!C26/'GMV表-商品大类'!C29</f>
        <v>0.00448422260217618</v>
      </c>
      <c r="D26" s="231">
        <f>'毛利-收入组成'!D26/'GMV表-商品大类'!D29</f>
        <v>0.0548378208547321</v>
      </c>
      <c r="E26" s="231">
        <f>'毛利-收入组成'!E26/'GMV表-商品大类'!E29</f>
        <v>0.0156943447852999</v>
      </c>
      <c r="F26" s="231">
        <f>'毛利-收入组成'!F26/'GMV表-商品大类'!F29</f>
        <v>0.026056429672263</v>
      </c>
      <c r="H26" s="259">
        <v>44531</v>
      </c>
      <c r="I26" s="231">
        <f>'毛利-收入组成'!I26/'GMV表-商品大类'!I29</f>
        <v>0.0182668150233046</v>
      </c>
      <c r="J26" s="231">
        <f>IFERROR('毛利-收入组成'!J26/'GMV表-商品大类'!J29,0)</f>
        <v>0</v>
      </c>
      <c r="K26" s="231">
        <f>'毛利-收入组成'!K26/'GMV表-商品大类'!K29</f>
        <v>0.0427259398388881</v>
      </c>
      <c r="L26" s="231">
        <f>IFERROR('毛利-收入组成'!L26/'GMV表-商品大类'!L29,0)</f>
        <v>6.12546369308581</v>
      </c>
      <c r="M26" s="231">
        <f>'毛利-收入组成'!M26/'GMV表-商品大类'!M29</f>
        <v>0.0317591055045651</v>
      </c>
      <c r="O26" s="295" t="s">
        <v>239</v>
      </c>
      <c r="P26" s="287">
        <f>'毛利-收入组成'!AZ26/'GMV表-商品大类'!P29</f>
        <v>0.0256917719540245</v>
      </c>
      <c r="Q26" s="287">
        <f>'毛利-收入组成'!BA26/'GMV表-商品大类'!Q29</f>
        <v>0.00670447220995929</v>
      </c>
      <c r="R26" s="287">
        <f>'毛利-收入组成'!BB26/'GMV表-商品大类'!R29</f>
        <v>0.0367895605067192</v>
      </c>
      <c r="S26" s="287">
        <f>'毛利-收入组成'!BC26/'GMV表-商品大类'!S29</f>
        <v>0.0240239465522738</v>
      </c>
      <c r="T26" s="287">
        <f>'毛利-收入组成'!BD26/'GMV表-商品大类'!T29</f>
        <v>0.0170910016820202</v>
      </c>
      <c r="V26" s="295" t="s">
        <v>239</v>
      </c>
    </row>
    <row r="27" hidden="1" spans="1:22">
      <c r="A27" s="289">
        <v>44562</v>
      </c>
      <c r="B27" s="231">
        <f>'毛利-收入组成'!B27/'GMV表-商品大类'!B30</f>
        <v>0.0267135765203584</v>
      </c>
      <c r="C27" s="231">
        <f>'毛利-收入组成'!C27/'GMV表-商品大类'!C30</f>
        <v>0.00423235148782408</v>
      </c>
      <c r="D27" s="231">
        <f>'毛利-收入组成'!D27/'GMV表-商品大类'!D30</f>
        <v>0.0448139613805786</v>
      </c>
      <c r="E27" s="231">
        <f>'毛利-收入组成'!E27/'GMV表-商品大类'!E30</f>
        <v>0.0211085737500742</v>
      </c>
      <c r="F27" s="231">
        <f>'毛利-收入组成'!F27/'GMV表-商品大类'!F30</f>
        <v>0.0226206864012264</v>
      </c>
      <c r="H27" s="259">
        <v>44562</v>
      </c>
      <c r="I27" s="231">
        <f>'毛利-收入组成'!I27/'GMV表-商品大类'!I30</f>
        <v>-0.0116624664328804</v>
      </c>
      <c r="J27" s="231">
        <f>IFERROR('毛利-收入组成'!J27/'GMV表-商品大类'!J30,0)</f>
        <v>0</v>
      </c>
      <c r="K27" s="231">
        <f>'毛利-收入组成'!K27/'GMV表-商品大类'!K30</f>
        <v>0.0648618196626654</v>
      </c>
      <c r="L27" s="231">
        <f>IFERROR('毛利-收入组成'!L27/'GMV表-商品大类'!L30,0)</f>
        <v>2.03647385441107</v>
      </c>
      <c r="M27" s="231">
        <f>'毛利-收入组成'!M27/'GMV表-商品大类'!M30</f>
        <v>0.0215181726868893</v>
      </c>
      <c r="O27" s="295" t="s">
        <v>240</v>
      </c>
      <c r="P27" s="287">
        <f>'毛利-收入组成'!AZ27/'GMV表-商品大类'!P30</f>
        <v>0.0267135765203584</v>
      </c>
      <c r="Q27" s="287">
        <f>'毛利-收入组成'!BA27/'GMV表-商品大类'!Q30</f>
        <v>0.00423235148782408</v>
      </c>
      <c r="R27" s="287">
        <f>'毛利-收入组成'!BB27/'GMV表-商品大类'!R30</f>
        <v>0.0448139613805786</v>
      </c>
      <c r="S27" s="287">
        <f>'毛利-收入组成'!BC27/'GMV表-商品大类'!S30</f>
        <v>0.0211085737500742</v>
      </c>
      <c r="T27" s="287">
        <f>'毛利-收入组成'!BD27/'GMV表-商品大类'!T30</f>
        <v>0.0226206864012264</v>
      </c>
      <c r="V27" s="295" t="s">
        <v>240</v>
      </c>
    </row>
    <row r="28" hidden="1" spans="1:22">
      <c r="A28" s="289">
        <v>44593</v>
      </c>
      <c r="B28" s="231">
        <f>'毛利-收入组成'!B28/'GMV表-商品大类'!B31</f>
        <v>0.0157035622030685</v>
      </c>
      <c r="C28" s="231">
        <f>'毛利-收入组成'!C28/'GMV表-商品大类'!C31</f>
        <v>0.00895043863551908</v>
      </c>
      <c r="D28" s="231">
        <f>'毛利-收入组成'!D28/'GMV表-商品大类'!D31</f>
        <v>0.025662263006762</v>
      </c>
      <c r="E28" s="231">
        <f>'毛利-收入组成'!E28/'GMV表-商品大类'!E31</f>
        <v>0.017399694394404</v>
      </c>
      <c r="F28" s="231">
        <f>'毛利-收入组成'!F28/'GMV表-商品大类'!F31</f>
        <v>0.0164810505001</v>
      </c>
      <c r="H28" s="259">
        <v>44593</v>
      </c>
      <c r="I28" s="231">
        <f>'毛利-收入组成'!I28/'GMV表-商品大类'!I31</f>
        <v>0.083859974795641</v>
      </c>
      <c r="J28" s="231">
        <f>IFERROR('毛利-收入组成'!J28/'GMV表-商品大类'!J31,0)</f>
        <v>0</v>
      </c>
      <c r="K28" s="231">
        <f>'毛利-收入组成'!K28/'GMV表-商品大类'!K31</f>
        <v>0.0417488982637649</v>
      </c>
      <c r="L28" s="231">
        <f>IFERROR('毛利-收入组成'!L28/'GMV表-商品大类'!L31,0)</f>
        <v>0.677874305346823</v>
      </c>
      <c r="M28" s="231">
        <f>'毛利-收入组成'!M28/'GMV表-商品大类'!M31</f>
        <v>0.0658118671009499</v>
      </c>
      <c r="O28" s="295" t="s">
        <v>241</v>
      </c>
      <c r="P28" s="287">
        <f>'毛利-收入组成'!AZ28/'GMV表-商品大类'!P31</f>
        <v>0.0214845043239555</v>
      </c>
      <c r="Q28" s="287">
        <f>'毛利-收入组成'!BA28/'GMV表-商品大类'!Q31</f>
        <v>0.00626519510731182</v>
      </c>
      <c r="R28" s="287">
        <f>'毛利-收入组成'!BB28/'GMV表-商品大类'!R31</f>
        <v>0.0364334345435165</v>
      </c>
      <c r="S28" s="287">
        <f>'毛利-收入组成'!BC28/'GMV表-商品大类'!S31</f>
        <v>0.0194025012201622</v>
      </c>
      <c r="T28" s="287">
        <f>'毛利-收入组成'!BD28/'GMV表-商品大类'!T31</f>
        <v>0.0198907952694237</v>
      </c>
      <c r="V28" s="295" t="s">
        <v>241</v>
      </c>
    </row>
    <row r="29" hidden="1" spans="1:22">
      <c r="A29" s="289">
        <v>44621</v>
      </c>
      <c r="B29" s="231">
        <f>'毛利-收入组成'!B29/'GMV表-商品大类'!B32</f>
        <v>0.0381414400166555</v>
      </c>
      <c r="C29" s="231">
        <f>'毛利-收入组成'!C29/'GMV表-商品大类'!C32</f>
        <v>0.00516520491279466</v>
      </c>
      <c r="D29" s="231">
        <f>'毛利-收入组成'!D29/'GMV表-商品大类'!D32</f>
        <v>0.0429272737059344</v>
      </c>
      <c r="E29" s="231">
        <f>'毛利-收入组成'!E29/'GMV表-商品大类'!E32</f>
        <v>0.0138985226571849</v>
      </c>
      <c r="F29" s="231">
        <f>'毛利-收入组成'!F29/'GMV表-商品大类'!F32</f>
        <v>0.0230518471728961</v>
      </c>
      <c r="H29" s="259">
        <v>44621</v>
      </c>
      <c r="I29" s="231">
        <f>'毛利-收入组成'!I29/'GMV表-商品大类'!I32</f>
        <v>0.0113500071284854</v>
      </c>
      <c r="J29" s="231">
        <f>IFERROR('毛利-收入组成'!J29/'GMV表-商品大类'!J32,0)</f>
        <v>0</v>
      </c>
      <c r="K29" s="231">
        <f>'毛利-收入组成'!K29/'GMV表-商品大类'!K32</f>
        <v>0.0666924250740601</v>
      </c>
      <c r="L29" s="231">
        <f>IFERROR('毛利-收入组成'!L29/'GMV表-商品大类'!L32,0)</f>
        <v>0.985354603665149</v>
      </c>
      <c r="M29" s="231">
        <f>'毛利-收入组成'!M29/'GMV表-商品大类'!M32</f>
        <v>0.0516716223230949</v>
      </c>
      <c r="O29" s="295" t="s">
        <v>242</v>
      </c>
      <c r="P29" s="287">
        <f>'毛利-收入组成'!AZ29/'GMV表-商品大类'!P32</f>
        <v>0.0263175638364415</v>
      </c>
      <c r="Q29" s="287">
        <f>'毛利-收入组成'!BA29/'GMV表-商品大类'!Q32</f>
        <v>0.00585606618218347</v>
      </c>
      <c r="R29" s="287">
        <f>'毛利-收入组成'!BB29/'GMV表-商品大类'!R32</f>
        <v>0.0392576382929767</v>
      </c>
      <c r="S29" s="287">
        <f>'毛利-收入组成'!BC29/'GMV表-商品大类'!S32</f>
        <v>0.0166562938237463</v>
      </c>
      <c r="T29" s="287">
        <f>'毛利-收入组成'!BD29/'GMV表-商品大类'!T32</f>
        <v>0.0211768854871356</v>
      </c>
      <c r="V29" s="295" t="s">
        <v>242</v>
      </c>
    </row>
    <row r="30" hidden="1" spans="1:22">
      <c r="A30" s="289">
        <v>44652</v>
      </c>
      <c r="B30" s="231">
        <f>'毛利-收入组成'!B30/'GMV表-商品大类'!B33</f>
        <v>0.0340231923387213</v>
      </c>
      <c r="C30" s="231">
        <f>'毛利-收入组成'!C30/'GMV表-商品大类'!C33</f>
        <v>0.00520531094181127</v>
      </c>
      <c r="D30" s="231">
        <f>'毛利-收入组成'!D30/'GMV表-商品大类'!D33</f>
        <v>0.0362144388473175</v>
      </c>
      <c r="E30" s="231">
        <f>'毛利-收入组成'!E30/'GMV表-商品大类'!E33</f>
        <v>0.0183195643850277</v>
      </c>
      <c r="F30" s="231">
        <f>'毛利-收入组成'!F30/'GMV表-商品大类'!F33</f>
        <v>0.0204320153935587</v>
      </c>
      <c r="H30" s="259">
        <v>44652</v>
      </c>
      <c r="I30" s="231">
        <f>'毛利-收入组成'!I30/'GMV表-商品大类'!I33</f>
        <v>0.00449084572746247</v>
      </c>
      <c r="J30" s="231">
        <f>IFERROR('毛利-收入组成'!J30/'GMV表-商品大类'!J33,0)</f>
        <v>0</v>
      </c>
      <c r="K30" s="231">
        <f>'毛利-收入组成'!K30/'GMV表-商品大类'!K33</f>
        <v>0.0726273588887614</v>
      </c>
      <c r="L30" s="231">
        <f>IFERROR('毛利-收入组成'!L30/'GMV表-商品大类'!L33,0)</f>
        <v>0.0786976168028989</v>
      </c>
      <c r="M30" s="231">
        <f>'毛利-收入组成'!M30/'GMV表-商品大类'!M33</f>
        <v>0.0397637715857389</v>
      </c>
      <c r="O30" s="295" t="s">
        <v>243</v>
      </c>
      <c r="P30" s="287">
        <f>'毛利-收入组成'!AZ30/'GMV表-商品大类'!P33</f>
        <v>0.0282737576173289</v>
      </c>
      <c r="Q30" s="287">
        <f>'毛利-收入组成'!BA30/'GMV表-商品大类'!Q33</f>
        <v>0.00567231934848848</v>
      </c>
      <c r="R30" s="287">
        <f>'毛利-收入组成'!BB30/'GMV表-商品大类'!R33</f>
        <v>0.038480981084371</v>
      </c>
      <c r="S30" s="287">
        <f>'毛利-收入组成'!BC30/'GMV表-商品大类'!S33</f>
        <v>0.0171311407698863</v>
      </c>
      <c r="T30" s="287">
        <f>'毛利-收入组成'!BD30/'GMV表-商品大类'!T33</f>
        <v>0.0209749791187346</v>
      </c>
      <c r="V30" s="295" t="s">
        <v>243</v>
      </c>
    </row>
    <row r="31" hidden="1" spans="1:22">
      <c r="A31" s="289">
        <v>44682</v>
      </c>
      <c r="B31" s="231">
        <f>'毛利-收入组成'!B31/'GMV表-商品大类'!B34</f>
        <v>0.0277579212396696</v>
      </c>
      <c r="C31" s="231">
        <f>'毛利-收入组成'!C31/'GMV表-商品大类'!C34</f>
        <v>0.00491797517105981</v>
      </c>
      <c r="D31" s="231">
        <f>'毛利-收入组成'!D31/'GMV表-商品大类'!D34</f>
        <v>0.0512396323325647</v>
      </c>
      <c r="E31" s="231">
        <f>'毛利-收入组成'!E31/'GMV表-商品大类'!E34</f>
        <v>-0.002286218161713</v>
      </c>
      <c r="F31" s="231">
        <f>'毛利-收入组成'!F31/'GMV表-商品大类'!F34</f>
        <v>0.0182633788092805</v>
      </c>
      <c r="H31" s="259">
        <v>44682</v>
      </c>
      <c r="I31" s="231">
        <f>'毛利-收入组成'!I31/'GMV表-商品大类'!I34</f>
        <v>-0.00377745137435903</v>
      </c>
      <c r="J31" s="231">
        <f>IFERROR('毛利-收入组成'!J31/'GMV表-商品大类'!J34,0)</f>
        <v>0</v>
      </c>
      <c r="K31" s="231">
        <f>'毛利-收入组成'!K31/'GMV表-商品大类'!K34</f>
        <v>0.0559616216938684</v>
      </c>
      <c r="L31" s="231">
        <f>IFERROR('毛利-收入组成'!L31/'GMV表-商品大类'!L34,0)</f>
        <v>0.10319045944798</v>
      </c>
      <c r="M31" s="231">
        <f>'毛利-收入组成'!M31/'GMV表-商品大类'!M34</f>
        <v>0.014340356161206</v>
      </c>
      <c r="O31" s="295" t="s">
        <v>244</v>
      </c>
      <c r="P31" s="287">
        <f>'毛利-收入组成'!AZ31/'GMV表-商品大类'!P34</f>
        <v>0.0282007959035296</v>
      </c>
      <c r="Q31" s="287">
        <f>'毛利-收入组成'!BA31/'GMV表-商品大类'!Q34</f>
        <v>0.00548468819540112</v>
      </c>
      <c r="R31" s="287">
        <f>'毛利-收入组成'!BB31/'GMV表-商品大类'!R34</f>
        <v>0.0413125765717862</v>
      </c>
      <c r="S31" s="287">
        <f>'毛利-收入组成'!BC31/'GMV表-商品大类'!S34</f>
        <v>0.0120494617785545</v>
      </c>
      <c r="T31" s="287">
        <f>'毛利-收入组成'!BD31/'GMV表-商品大类'!T34</f>
        <v>0.0203478279333463</v>
      </c>
      <c r="V31" s="295" t="s">
        <v>244</v>
      </c>
    </row>
    <row r="32" hidden="1" spans="1:22">
      <c r="A32" s="289">
        <v>44713</v>
      </c>
      <c r="B32" s="231">
        <f>'毛利-收入组成'!B32/'GMV表-商品大类'!B35</f>
        <v>0.0430699033223161</v>
      </c>
      <c r="C32" s="231">
        <f>'毛利-收入组成'!C32/'GMV表-商品大类'!C35</f>
        <v>0.00657713700288338</v>
      </c>
      <c r="D32" s="231">
        <f>'毛利-收入组成'!D32/'GMV表-商品大类'!D35</f>
        <v>0.0417206053599967</v>
      </c>
      <c r="E32" s="231">
        <f>'毛利-收入组成'!E32/'GMV表-商品大类'!E35</f>
        <v>0.00613392782372596</v>
      </c>
      <c r="F32" s="231">
        <f>'毛利-收入组成'!F32/'GMV表-商品大类'!F35</f>
        <v>0.0215131670734359</v>
      </c>
      <c r="H32" s="259">
        <v>44713</v>
      </c>
      <c r="I32" s="231">
        <f>'毛利-收入组成'!I32/'GMV表-商品大类'!I35</f>
        <v>0.0651219646096814</v>
      </c>
      <c r="J32" s="231">
        <f>IFERROR('毛利-收入组成'!J32/'GMV表-商品大类'!J35,0)</f>
        <v>0</v>
      </c>
      <c r="K32" s="231">
        <f>'毛利-收入组成'!K32/'GMV表-商品大类'!K35</f>
        <v>0.0743930938961237</v>
      </c>
      <c r="L32" s="231">
        <f>IFERROR('毛利-收入组成'!L32/'GMV表-商品大类'!L35,0)</f>
        <v>0.0812087066881259</v>
      </c>
      <c r="M32" s="231">
        <f>'毛利-收入组成'!M32/'GMV表-商品大类'!M35</f>
        <v>0.0685425843834776</v>
      </c>
      <c r="O32" s="295" t="s">
        <v>245</v>
      </c>
      <c r="P32" s="287">
        <f>'毛利-收入组成'!AZ32/'GMV表-商品大类'!P35</f>
        <v>0.0302987553118375</v>
      </c>
      <c r="Q32" s="287">
        <f>'毛利-收入组成'!BA32/'GMV表-商品大类'!Q35</f>
        <v>0.00568643789746501</v>
      </c>
      <c r="R32" s="287">
        <f>'毛利-收入组成'!BB32/'GMV表-商品大类'!R35</f>
        <v>0.0414032681612763</v>
      </c>
      <c r="S32" s="287">
        <f>'毛利-收入组成'!BC32/'GMV表-商品大类'!S35</f>
        <v>0.010772693003404</v>
      </c>
      <c r="T32" s="287">
        <f>'毛利-收入组成'!BD32/'GMV表-商品大类'!T35</f>
        <v>0.0205793874418094</v>
      </c>
      <c r="V32" s="295" t="s">
        <v>245</v>
      </c>
    </row>
    <row r="33" hidden="1" spans="1:22">
      <c r="A33" s="289">
        <v>44743</v>
      </c>
      <c r="B33" s="231">
        <f>'毛利-收入组成'!B33/'GMV表-商品大类'!B36</f>
        <v>0.0282284876966114</v>
      </c>
      <c r="C33" s="231">
        <f>'毛利-收入组成'!C33/'GMV表-商品大类'!C36</f>
        <v>0.00798345896061206</v>
      </c>
      <c r="D33" s="231">
        <f>'毛利-收入组成'!D33/'GMV表-商品大类'!D36</f>
        <v>0.0364240428318294</v>
      </c>
      <c r="E33" s="231">
        <f>'毛利-收入组成'!E33/'GMV表-商品大类'!E36</f>
        <v>0.0157387089866331</v>
      </c>
      <c r="F33" s="231">
        <f>'毛利-收入组成'!F33/'GMV表-商品大类'!F36</f>
        <v>0.0211199379967372</v>
      </c>
      <c r="H33" s="259">
        <v>44743</v>
      </c>
      <c r="I33" s="231">
        <f>'毛利-收入组成'!I33/'GMV表-商品大类'!I36</f>
        <v>0.0322476395373629</v>
      </c>
      <c r="J33" s="231">
        <f>IFERROR('毛利-收入组成'!J33/'GMV表-商品大类'!J36,0)</f>
        <v>0</v>
      </c>
      <c r="K33" s="231">
        <f>'毛利-收入组成'!K33/'GMV表-商品大类'!K36</f>
        <v>0.0537930433712966</v>
      </c>
      <c r="L33" s="231">
        <f>IFERROR('毛利-收入组成'!L33/'GMV表-商品大类'!L36,0)</f>
        <v>0.166100583701477</v>
      </c>
      <c r="M33" s="231">
        <f>'毛利-收入组成'!M33/'GMV表-商品大类'!M36</f>
        <v>0.0376811974418511</v>
      </c>
      <c r="O33" s="295" t="s">
        <v>246</v>
      </c>
      <c r="P33" s="287">
        <f>'毛利-收入组成'!AZ33/'GMV表-商品大类'!P36</f>
        <v>0.0300025316101962</v>
      </c>
      <c r="Q33" s="287">
        <f>'毛利-收入组成'!BA33/'GMV表-商品大类'!Q36</f>
        <v>0.00599854466204347</v>
      </c>
      <c r="R33" s="287">
        <f>'毛利-收入组成'!BB33/'GMV表-商品大类'!R36</f>
        <v>0.0406700416470512</v>
      </c>
      <c r="S33" s="287">
        <f>'毛利-收入组成'!BC33/'GMV表-商品大类'!S36</f>
        <v>0.0115057729603368</v>
      </c>
      <c r="T33" s="287">
        <f>'毛利-收入组成'!BD33/'GMV表-商品大类'!T36</f>
        <v>0.0206565810896354</v>
      </c>
      <c r="V33" s="295" t="s">
        <v>246</v>
      </c>
    </row>
    <row r="34" hidden="1" spans="1:22">
      <c r="A34" s="289">
        <v>44774</v>
      </c>
      <c r="B34" s="231">
        <f>'毛利-收入组成'!B34/'GMV表-商品大类'!B37</f>
        <v>0.0545291734584572</v>
      </c>
      <c r="C34" s="231">
        <f>'毛利-收入组成'!C34/'GMV表-商品大类'!C37</f>
        <v>0.00207300048594946</v>
      </c>
      <c r="D34" s="231">
        <f>'毛利-收入组成'!D34/'GMV表-商品大类'!D37</f>
        <v>0.0533609562333291</v>
      </c>
      <c r="E34" s="231">
        <f>'毛利-收入组成'!E34/'GMV表-商品大类'!E37</f>
        <v>0.0422754803229258</v>
      </c>
      <c r="F34" s="231">
        <f>'毛利-收入组成'!F34/'GMV表-商品大类'!F37</f>
        <v>0.0357453883356083</v>
      </c>
      <c r="H34" s="259">
        <v>44774</v>
      </c>
      <c r="I34" s="231">
        <f>'毛利-收入组成'!I34/'GMV表-商品大类'!I37</f>
        <v>0.0256647039897752</v>
      </c>
      <c r="J34" s="231">
        <f>IFERROR('毛利-收入组成'!J34/'GMV表-商品大类'!J37,0)</f>
        <v>1.01072210196501</v>
      </c>
      <c r="K34" s="231">
        <f>'毛利-收入组成'!K34/'GMV表-商品大类'!K37</f>
        <v>0.0586991213239728</v>
      </c>
      <c r="L34" s="231">
        <f>IFERROR('毛利-收入组成'!L34/'GMV表-商品大类'!L37,0)</f>
        <v>0.164596127577487</v>
      </c>
      <c r="M34" s="231">
        <f>'毛利-收入组成'!M34/'GMV表-商品大类'!M37</f>
        <v>0.0334913140763582</v>
      </c>
      <c r="O34" s="295" t="s">
        <v>247</v>
      </c>
      <c r="P34" s="287">
        <f>'毛利-收入组成'!AZ34/'GMV表-商品大类'!P37</f>
        <v>0.0323498743380485</v>
      </c>
      <c r="Q34" s="287">
        <f>'毛利-收入组成'!BA34/'GMV表-商品大类'!Q37</f>
        <v>0.00555450259547403</v>
      </c>
      <c r="R34" s="287">
        <f>'毛利-收入组成'!BB34/'GMV表-商品大类'!R37</f>
        <v>0.0427222577230562</v>
      </c>
      <c r="S34" s="287">
        <f>'毛利-收入组成'!BC34/'GMV表-商品大类'!S37</f>
        <v>0.016290464675855</v>
      </c>
      <c r="T34" s="287">
        <f>'毛利-收入组成'!BD34/'GMV表-商品大类'!T37</f>
        <v>0.0227189279939649</v>
      </c>
      <c r="V34" s="295" t="s">
        <v>247</v>
      </c>
    </row>
    <row r="35" hidden="1" spans="1:22">
      <c r="A35" s="289">
        <v>44805</v>
      </c>
      <c r="B35" s="231">
        <f>'毛利-收入组成'!B35/'GMV表-商品大类'!B38</f>
        <v>0.0276046343819703</v>
      </c>
      <c r="C35" s="231">
        <f>'毛利-收入组成'!C35/'GMV表-商品大类'!C38</f>
        <v>0.00792982328669238</v>
      </c>
      <c r="D35" s="231">
        <f>'毛利-收入组成'!D35/'GMV表-商品大类'!D38</f>
        <v>0.0297744943132804</v>
      </c>
      <c r="E35" s="231">
        <f>'毛利-收入组成'!E35/'GMV表-商品大类'!E38</f>
        <v>0.0134195932886304</v>
      </c>
      <c r="F35" s="231">
        <f>'毛利-收入组成'!F35/'GMV表-商品大类'!F38</f>
        <v>0.0192608878674895</v>
      </c>
      <c r="H35" s="259">
        <v>44805</v>
      </c>
      <c r="I35" s="231">
        <f>'毛利-收入组成'!I35/'GMV表-商品大类'!I38</f>
        <v>0.0065866071628606</v>
      </c>
      <c r="J35" s="231">
        <f>IFERROR('毛利-收入组成'!J35/'GMV表-商品大类'!J38,0)</f>
        <v>1.5392802177096</v>
      </c>
      <c r="K35" s="231">
        <f>'毛利-收入组成'!K35/'GMV表-商品大类'!K38</f>
        <v>0.0480103123731632</v>
      </c>
      <c r="L35" s="231">
        <f>IFERROR('毛利-收入组成'!L35/'GMV表-商品大类'!L38,0)</f>
        <v>0.0660524403341039</v>
      </c>
      <c r="M35" s="231">
        <f>'毛利-收入组成'!M35/'GMV表-商品大类'!M38</f>
        <v>0.0220792398851209</v>
      </c>
      <c r="O35" s="295" t="s">
        <v>248</v>
      </c>
      <c r="P35" s="287">
        <f>'毛利-收入组成'!AZ35/'GMV表-商品大类'!P38</f>
        <v>0.031886162738018</v>
      </c>
      <c r="Q35" s="287">
        <f>'毛利-收入组成'!BA35/'GMV表-商品大类'!Q38</f>
        <v>0.00585407480303169</v>
      </c>
      <c r="R35" s="287">
        <f>'毛利-收入组成'!BB35/'GMV表-商品大类'!R38</f>
        <v>0.0406460843009619</v>
      </c>
      <c r="S35" s="287">
        <f>'毛利-收入组成'!BC35/'GMV表-商品大类'!S38</f>
        <v>0.0159625438795368</v>
      </c>
      <c r="T35" s="287">
        <f>'毛利-收入组成'!BD35/'GMV表-商品大类'!T38</f>
        <v>0.0222616637135932</v>
      </c>
      <c r="V35" s="295" t="s">
        <v>248</v>
      </c>
    </row>
    <row r="36" hidden="1" spans="1:22">
      <c r="A36" s="289">
        <v>44835</v>
      </c>
      <c r="B36" s="231">
        <f>'毛利-收入组成'!B36/'GMV表-商品大类'!B39</f>
        <v>0.0337713326785625</v>
      </c>
      <c r="C36" s="231">
        <f>'毛利-收入组成'!C36/'GMV表-商品大类'!C39</f>
        <v>0.00627731869213799</v>
      </c>
      <c r="D36" s="231">
        <f>'毛利-收入组成'!D36/'GMV表-商品大类'!D39</f>
        <v>0.0275723564758605</v>
      </c>
      <c r="E36" s="231">
        <f>'毛利-收入组成'!E36/'GMV表-商品大类'!E39</f>
        <v>0.0203506595331044</v>
      </c>
      <c r="F36" s="231">
        <f>'毛利-收入组成'!F36/'GMV表-商品大类'!F39</f>
        <v>0.0198537106312491</v>
      </c>
      <c r="H36" s="259">
        <v>44835</v>
      </c>
      <c r="I36" s="231">
        <f>'毛利-收入组成'!I36/'GMV表-商品大类'!I39</f>
        <v>0.0102352530425655</v>
      </c>
      <c r="J36" s="231">
        <f>IFERROR('毛利-收入组成'!J36/'GMV表-商品大类'!J39,0)</f>
        <v>1.00258552723312</v>
      </c>
      <c r="K36" s="231">
        <f>'毛利-收入组成'!K36/'GMV表-商品大类'!K39</f>
        <v>0.0647568972149484</v>
      </c>
      <c r="L36" s="231">
        <f>IFERROR('毛利-收入组成'!L36/'GMV表-商品大类'!L39,0)</f>
        <v>0.097223117397555</v>
      </c>
      <c r="M36" s="231">
        <f>'毛利-收入组成'!M36/'GMV表-商品大类'!M39</f>
        <v>0.0441016630175405</v>
      </c>
      <c r="O36" s="295" t="s">
        <v>249</v>
      </c>
      <c r="P36" s="287">
        <f>'毛利-收入组成'!AZ36/'GMV表-商品大类'!P39</f>
        <v>0.0320885890759647</v>
      </c>
      <c r="Q36" s="287">
        <f>'毛利-收入组成'!BA36/'GMV表-商品大类'!Q39</f>
        <v>0.00589678256070798</v>
      </c>
      <c r="R36" s="287">
        <f>'毛利-收入组成'!BB36/'GMV表-商品大类'!R39</f>
        <v>0.03907787539563</v>
      </c>
      <c r="S36" s="287">
        <f>'毛利-收入组成'!BC36/'GMV表-商品大类'!S39</f>
        <v>0.0165006902797048</v>
      </c>
      <c r="T36" s="287">
        <f>'毛利-收入组成'!BD36/'GMV表-商品大类'!T39</f>
        <v>0.0219900156345279</v>
      </c>
      <c r="V36" s="295" t="s">
        <v>249</v>
      </c>
    </row>
    <row r="37" hidden="1" spans="1:22">
      <c r="A37" s="289">
        <v>44866</v>
      </c>
      <c r="B37" s="231">
        <f>'毛利-收入组成'!B37/'GMV表-商品大类'!B40</f>
        <v>0.0323369782813199</v>
      </c>
      <c r="C37" s="231">
        <f>'毛利-收入组成'!C37/'GMV表-商品大类'!C40</f>
        <v>0.00539686123623598</v>
      </c>
      <c r="D37" s="231">
        <f>'毛利-收入组成'!D37/'GMV表-商品大类'!D40</f>
        <v>0.0317531861691657</v>
      </c>
      <c r="E37" s="231">
        <f>'毛利-收入组成'!E37/'GMV表-商品大类'!E40</f>
        <v>-0.00186756301684262</v>
      </c>
      <c r="F37" s="231">
        <f>'毛利-收入组成'!F37/'GMV表-商品大类'!F40</f>
        <v>0.0169218732232748</v>
      </c>
      <c r="H37" s="259">
        <v>44866</v>
      </c>
      <c r="I37" s="231">
        <f>'毛利-收入组成'!I37/'GMV表-商品大类'!I40</f>
        <v>0.0194930456454004</v>
      </c>
      <c r="J37" s="231">
        <f>IFERROR('毛利-收入组成'!J37/'GMV表-商品大类'!J40,0)</f>
        <v>0.989603344242424</v>
      </c>
      <c r="K37" s="231">
        <f>'毛利-收入组成'!K37/'GMV表-商品大类'!K40</f>
        <v>0.0787904123584031</v>
      </c>
      <c r="L37" s="231">
        <f>IFERROR('毛利-收入组成'!L37/'GMV表-商品大类'!L40,0)</f>
        <v>0.0903147391164534</v>
      </c>
      <c r="M37" s="231">
        <f>'毛利-收入组成'!M37/'GMV表-商品大类'!M40</f>
        <v>0.0702534273572834</v>
      </c>
      <c r="O37" s="295" t="s">
        <v>250</v>
      </c>
      <c r="P37" s="287">
        <f>'毛利-收入组成'!AZ37/'GMV表-商品大类'!P40</f>
        <v>0.0321197883447792</v>
      </c>
      <c r="Q37" s="287">
        <f>'毛利-收入组成'!BA37/'GMV表-商品大类'!Q40</f>
        <v>0.00584906737871026</v>
      </c>
      <c r="R37" s="287">
        <f>'毛利-收入组成'!BB37/'GMV表-商品大类'!R40</f>
        <v>0.0380491322069374</v>
      </c>
      <c r="S37" s="287">
        <f>'毛利-收入组成'!BC37/'GMV表-商品大类'!S40</f>
        <v>0.014152831528064</v>
      </c>
      <c r="T37" s="287">
        <f>'毛利-收入组成'!BD37/'GMV表-商品大类'!T40</f>
        <v>0.0213758391438677</v>
      </c>
      <c r="V37" s="295" t="s">
        <v>250</v>
      </c>
    </row>
    <row r="38" hidden="1" spans="1:22">
      <c r="A38" s="289">
        <v>44896</v>
      </c>
      <c r="B38" s="231">
        <f>'毛利-收入组成'!B38/'GMV表-商品大类'!B41</f>
        <v>0.0400490865814055</v>
      </c>
      <c r="C38" s="231">
        <f>'毛利-收入组成'!C38/'GMV表-商品大类'!C41</f>
        <v>0.00970579611751945</v>
      </c>
      <c r="D38" s="231">
        <f>'毛利-收入组成'!D38/'GMV表-商品大类'!D41</f>
        <v>0.0667512167290415</v>
      </c>
      <c r="E38" s="231">
        <f>'毛利-收入组成'!E38/'GMV表-商品大类'!E41</f>
        <v>0.0170729055318516</v>
      </c>
      <c r="F38" s="231">
        <f>'毛利-收入组成'!F38/'GMV表-商品大类'!F41</f>
        <v>0.0402536494058458</v>
      </c>
      <c r="H38" s="259">
        <v>44896</v>
      </c>
      <c r="I38" s="231">
        <f>'毛利-收入组成'!I38/'GMV表-商品大类'!I41</f>
        <v>0.0428139321044267</v>
      </c>
      <c r="J38" s="231">
        <f>IFERROR('毛利-收入组成'!J38/'GMV表-商品大类'!J41,0)</f>
        <v>0.71290224763407</v>
      </c>
      <c r="K38" s="231">
        <f>'毛利-收入组成'!K38/'GMV表-商品大类'!K41</f>
        <v>0.0694869995286365</v>
      </c>
      <c r="L38" s="231">
        <f>IFERROR('毛利-收入组成'!L38/'GMV表-商品大类'!L41,0)</f>
        <v>0.180449138311964</v>
      </c>
      <c r="M38" s="231">
        <f>'毛利-收入组成'!M38/'GMV表-商品大类'!M41</f>
        <v>0.0541759147123925</v>
      </c>
      <c r="O38" s="295" t="s">
        <v>251</v>
      </c>
      <c r="P38" s="287">
        <f>'毛利-收入组成'!AZ38/'GMV表-商品大类'!P41</f>
        <v>0.0329527468984134</v>
      </c>
      <c r="Q38" s="287">
        <f>'毛利-收入组成'!BA38/'GMV表-商品大类'!Q41</f>
        <v>0.00611777861323507</v>
      </c>
      <c r="R38" s="287">
        <f>'毛利-收入组成'!BB38/'GMV表-商品大类'!R41</f>
        <v>0.0419186800853716</v>
      </c>
      <c r="S38" s="287">
        <f>'毛利-收入组成'!BC38/'GMV表-商品大类'!S41</f>
        <v>0.0144821019871353</v>
      </c>
      <c r="T38" s="287">
        <f>'毛利-收入组成'!BD38/'GMV表-商品大类'!T41</f>
        <v>0.0233787560827186</v>
      </c>
      <c r="V38" s="295" t="s">
        <v>251</v>
      </c>
    </row>
    <row r="39" spans="1:28">
      <c r="A39" s="290">
        <v>44927</v>
      </c>
      <c r="B39" s="231">
        <f>'毛利-收入组成'!B39/'GMV表-商品大类'!B42</f>
        <v>0.035561155252905</v>
      </c>
      <c r="C39" s="231">
        <f>'毛利-收入组成'!C39/'GMV表-商品大类'!C42</f>
        <v>0.00303779392845535</v>
      </c>
      <c r="D39" s="231">
        <f>'毛利-收入组成'!D39/'GMV表-商品大类'!D42</f>
        <v>0.0462512869287598</v>
      </c>
      <c r="E39" s="231">
        <f>'毛利-收入组成'!E39/'GMV表-商品大类'!E42</f>
        <v>0.0168322150715325</v>
      </c>
      <c r="F39" s="231">
        <f>'毛利-收入组成'!F39/'GMV表-商品大类'!F42</f>
        <v>0.0277056043564497</v>
      </c>
      <c r="H39" s="259">
        <v>44927</v>
      </c>
      <c r="I39" s="231">
        <f>'毛利-收入组成'!I39/'GMV表-商品大类'!I42</f>
        <v>0.0375863337705503</v>
      </c>
      <c r="J39" s="231">
        <f>IFERROR('毛利-收入组成'!J39/'GMV表-商品大类'!J42,0)</f>
        <v>0.999999975535166</v>
      </c>
      <c r="K39" s="231">
        <f>'毛利-收入组成'!K39/'GMV表-商品大类'!K42</f>
        <v>0.0729682465285617</v>
      </c>
      <c r="L39" s="231">
        <f>IFERROR('毛利-收入组成'!L39/'GMV表-商品大类'!L42,0)</f>
        <v>0.0393442833587423</v>
      </c>
      <c r="M39" s="231">
        <f>'毛利-收入组成'!M39/'GMV表-商品大类'!M42</f>
        <v>0.0488817442605397</v>
      </c>
      <c r="O39" s="295" t="s">
        <v>252</v>
      </c>
      <c r="P39" s="287">
        <f>'毛利-收入组成'!AZ39/'GMV表-商品大类'!P42</f>
        <v>0.035561155252905</v>
      </c>
      <c r="Q39" s="287">
        <f>'毛利-收入组成'!BA39/'GMV表-商品大类'!Q42</f>
        <v>0.00303779392845535</v>
      </c>
      <c r="R39" s="287">
        <f>'毛利-收入组成'!BB39/'GMV表-商品大类'!R42</f>
        <v>0.0462512869287598</v>
      </c>
      <c r="S39" s="287">
        <f>'毛利-收入组成'!BC39/'GMV表-商品大类'!S42</f>
        <v>0.0168322150715325</v>
      </c>
      <c r="T39" s="287">
        <f>'毛利-收入组成'!BD39/'GMV表-商品大类'!T42</f>
        <v>0.0277056043564497</v>
      </c>
      <c r="V39" s="295" t="s">
        <v>252</v>
      </c>
      <c r="W39" s="296">
        <f>'毛利-收入组成'!AL39/'GMV表-商品大类'!P42</f>
        <v>0.0504698293290796</v>
      </c>
      <c r="X39" s="296">
        <f>'毛利-收入组成'!AM39/'GMV表-商品大类'!Q42</f>
        <v>0.00345661299527928</v>
      </c>
      <c r="Y39" s="296">
        <f>'毛利-收入组成'!AN39/'GMV表-商品大类'!R42</f>
        <v>0.0517440753303882</v>
      </c>
      <c r="Z39" s="296">
        <f>'毛利-收入组成'!AO39/'GMV表-商品大类'!S42</f>
        <v>0.0165758062622978</v>
      </c>
      <c r="AA39" s="296">
        <f>'毛利-收入组成'!AP39/'GMV表-商品大类'!T42</f>
        <v>0.0322724946295252</v>
      </c>
      <c r="AB39" s="21"/>
    </row>
    <row r="40" spans="1:28">
      <c r="A40" s="290">
        <v>44958</v>
      </c>
      <c r="B40" s="231">
        <f>'毛利-收入组成'!B40/'GMV表-商品大类'!B43</f>
        <v>0.0228822666285956</v>
      </c>
      <c r="C40" s="231">
        <f>'毛利-收入组成'!C40/'GMV表-商品大类'!C43</f>
        <v>0.00139441477479098</v>
      </c>
      <c r="D40" s="231">
        <f>'毛利-收入组成'!D40/'GMV表-商品大类'!D43</f>
        <v>0.0398789625230598</v>
      </c>
      <c r="E40" s="231">
        <f>'毛利-收入组成'!E40/'GMV表-商品大类'!E43</f>
        <v>0.0206613613055238</v>
      </c>
      <c r="F40" s="231">
        <f>'毛利-收入组成'!F40/'GMV表-商品大类'!F43</f>
        <v>0.021835305523839</v>
      </c>
      <c r="H40" s="259">
        <v>44958</v>
      </c>
      <c r="I40" s="231">
        <f>'毛利-收入组成'!I40/'GMV表-商品大类'!I43</f>
        <v>0.015661216460565</v>
      </c>
      <c r="J40" s="231">
        <f>IFERROR('毛利-收入组成'!J40/'GMV表-商品大类'!J43,0)</f>
        <v>0.90917492364532</v>
      </c>
      <c r="K40" s="231">
        <f>'毛利-收入组成'!K40/'GMV表-商品大类'!K43</f>
        <v>0.0611041220625077</v>
      </c>
      <c r="L40" s="231">
        <f>IFERROR('毛利-收入组成'!L40/'GMV表-商品大类'!L43,0)</f>
        <v>0.0433212075776495</v>
      </c>
      <c r="M40" s="231">
        <f>'毛利-收入组成'!M40/'GMV表-商品大类'!M43</f>
        <v>0.0447308681118977</v>
      </c>
      <c r="O40" s="295" t="s">
        <v>253</v>
      </c>
      <c r="P40" s="287">
        <f>'毛利-收入组成'!AZ40/'GMV表-商品大类'!P43</f>
        <v>0.0308789408304449</v>
      </c>
      <c r="Q40" s="287">
        <f>'毛利-收入组成'!BA40/'GMV表-商品大类'!Q43</f>
        <v>0.00210518047223853</v>
      </c>
      <c r="R40" s="287">
        <f>'毛利-收入组成'!BB40/'GMV表-商品大类'!R43</f>
        <v>0.0431947717577603</v>
      </c>
      <c r="S40" s="287">
        <f>'毛利-收入组成'!BC40/'GMV表-商品大类'!S43</f>
        <v>0.0187894264802969</v>
      </c>
      <c r="T40" s="287">
        <f>'毛利-收入组成'!BD40/'GMV表-商品大类'!T43</f>
        <v>0.0248000003884826</v>
      </c>
      <c r="V40" s="295" t="s">
        <v>253</v>
      </c>
      <c r="W40" s="296">
        <f>'毛利-收入组成'!AL40/'GMV表-商品大类'!P43</f>
        <v>0.0420484081980282</v>
      </c>
      <c r="X40" s="296">
        <f>'毛利-收入组成'!AM40/'GMV表-商品大类'!Q43</f>
        <v>0.00239537429905187</v>
      </c>
      <c r="Y40" s="296">
        <f>'毛利-收入组成'!AN40/'GMV表-商品大类'!R43</f>
        <v>0.0480468639329939</v>
      </c>
      <c r="Z40" s="296">
        <f>'毛利-收入组成'!AO40/'GMV表-商品大类'!S43</f>
        <v>0.0184451149355626</v>
      </c>
      <c r="AA40" s="296">
        <f>'毛利-收入组成'!AP40/'GMV表-商品大类'!T43</f>
        <v>0.0280217174532182</v>
      </c>
      <c r="AB40" s="21"/>
    </row>
    <row r="41" spans="1:28">
      <c r="A41" s="290">
        <v>44986</v>
      </c>
      <c r="B41" s="231">
        <f>'毛利-收入组成'!B41/'GMV表-商品大类'!B44</f>
        <v>0.0146694202883836</v>
      </c>
      <c r="C41" s="231">
        <f>'毛利-收入组成'!C41/'GMV表-商品大类'!C44</f>
        <v>0.00272966606147483</v>
      </c>
      <c r="D41" s="231">
        <f>'毛利-收入组成'!D41/'GMV表-商品大类'!D44</f>
        <v>0.0286686473186707</v>
      </c>
      <c r="E41" s="231">
        <f>'毛利-收入组成'!E41/'GMV表-商品大类'!E44</f>
        <v>0.01883164387243</v>
      </c>
      <c r="F41" s="231">
        <f>'毛利-收入组成'!F41/'GMV表-商品大类'!F44</f>
        <v>0.0170773572501943</v>
      </c>
      <c r="H41" s="259">
        <v>44986</v>
      </c>
      <c r="I41" s="231">
        <f>'毛利-收入组成'!I41/'GMV表-商品大类'!I44</f>
        <v>0.0203567977462516</v>
      </c>
      <c r="J41" s="231">
        <f>IFERROR('毛利-收入组成'!J41/'GMV表-商品大类'!J44,0)</f>
        <v>1.21599114950166</v>
      </c>
      <c r="K41" s="231">
        <f>'毛利-收入组成'!K41/'GMV表-商品大类'!K44</f>
        <v>0.0688577193495939</v>
      </c>
      <c r="L41" s="231">
        <f>IFERROR('毛利-收入组成'!L41/'GMV表-商品大类'!L44,0)</f>
        <v>0.0539252396688388</v>
      </c>
      <c r="M41" s="231">
        <f>'毛利-收入组成'!M41/'GMV表-商品大类'!M44</f>
        <v>0.051055538158536</v>
      </c>
      <c r="O41" s="295" t="s">
        <v>254</v>
      </c>
      <c r="P41" s="287">
        <f>'毛利-收入组成'!AZ41/'GMV表-商品大类'!P44</f>
        <v>0.0255846649411016</v>
      </c>
      <c r="Q41" s="287">
        <f>'毛利-收入组成'!BA41/'GMV表-商品大类'!Q44</f>
        <v>0.00233964465271907</v>
      </c>
      <c r="R41" s="287">
        <f>'毛利-收入组成'!BB41/'GMV表-商品大类'!R44</f>
        <v>0.0383647307401089</v>
      </c>
      <c r="S41" s="287">
        <f>'毛利-收入组成'!BC41/'GMV表-商品大类'!S44</f>
        <v>0.0188068621649077</v>
      </c>
      <c r="T41" s="287">
        <f>'毛利-收入组成'!BD41/'GMV表-商品大类'!T44</f>
        <v>0.0219796439616214</v>
      </c>
      <c r="V41" s="295" t="s">
        <v>254</v>
      </c>
      <c r="W41" s="296">
        <f>'毛利-收入组成'!AL41/'GMV表-商品大类'!P44</f>
        <v>0.0342730403627564</v>
      </c>
      <c r="X41" s="296">
        <f>'毛利-收入组成'!AM41/'GMV表-商品大类'!Q44</f>
        <v>0.00262218725469916</v>
      </c>
      <c r="Y41" s="296">
        <f>'毛利-收入组成'!AN41/'GMV表-商品大类'!R44</f>
        <v>0.0433845554915514</v>
      </c>
      <c r="Z41" s="296">
        <f>'毛利-收入组成'!AO41/'GMV表-商品大类'!S44</f>
        <v>0.0186316625649065</v>
      </c>
      <c r="AA41" s="296">
        <f>'毛利-收入组成'!AP41/'GMV表-商品大类'!T44</f>
        <v>0.0248054377272677</v>
      </c>
      <c r="AB41" s="21"/>
    </row>
    <row r="42" spans="1:28">
      <c r="A42" s="290">
        <v>45017</v>
      </c>
      <c r="B42" s="231">
        <f>'毛利-收入组成'!B42/'GMV表-商品大类'!B45</f>
        <v>0.0182347871286907</v>
      </c>
      <c r="C42" s="231">
        <f>'毛利-收入组成'!C42/'GMV表-商品大类'!C45</f>
        <v>0.00740859307817854</v>
      </c>
      <c r="D42" s="231">
        <f>'毛利-收入组成'!D42/'GMV表-商品大类'!D45</f>
        <v>0.0174911142460135</v>
      </c>
      <c r="E42" s="231">
        <f>'毛利-收入组成'!E42/'GMV表-商品大类'!E45</f>
        <v>0.0116850128187347</v>
      </c>
      <c r="F42" s="231">
        <f>'毛利-收入组成'!F42/'GMV表-商品大类'!F45</f>
        <v>0.0142790752367562</v>
      </c>
      <c r="H42" s="259">
        <v>45017</v>
      </c>
      <c r="I42" s="231">
        <f>'毛利-收入组成'!I42/'GMV表-商品大类'!I45</f>
        <v>0.0239298020516931</v>
      </c>
      <c r="J42" s="231">
        <f>IFERROR('毛利-收入组成'!J42/'GMV表-商品大类'!J45,0)</f>
        <v>0.812223614379085</v>
      </c>
      <c r="K42" s="231">
        <f>'毛利-收入组成'!K42/'GMV表-商品大类'!K45</f>
        <v>0.0907473898460908</v>
      </c>
      <c r="L42" s="231">
        <f>IFERROR('毛利-收入组成'!L42/'GMV表-商品大类'!L45,0)</f>
        <v>0.00524226513209083</v>
      </c>
      <c r="M42" s="231">
        <f>'毛利-收入组成'!M42/'GMV表-商品大类'!M45</f>
        <v>0.0456924619420697</v>
      </c>
      <c r="O42" s="295" t="s">
        <v>255</v>
      </c>
      <c r="P42" s="287">
        <f>'毛利-收入组成'!AZ42/'GMV表-商品大类'!P45</f>
        <v>0.023255968661754</v>
      </c>
      <c r="Q42" s="287">
        <f>'毛利-收入组成'!BA42/'GMV表-商品大类'!Q45</f>
        <v>0.0029525567488334</v>
      </c>
      <c r="R42" s="287">
        <f>'毛利-收入组成'!BB42/'GMV表-商品大类'!R45</f>
        <v>0.0338662768005104</v>
      </c>
      <c r="S42" s="287">
        <f>'毛利-收入组成'!BC42/'GMV表-商品大类'!S45</f>
        <v>0.0167736140603889</v>
      </c>
      <c r="T42" s="287">
        <f>'毛利-收入组成'!BD42/'GMV表-商品大类'!T45</f>
        <v>0.0202100233123167</v>
      </c>
      <c r="V42" s="295" t="s">
        <v>255</v>
      </c>
      <c r="W42" s="296">
        <f>'毛利-收入组成'!AL42/'GMV表-商品大类'!P45</f>
        <v>0.031280348505355</v>
      </c>
      <c r="X42" s="296">
        <f>'毛利-收入组成'!AM42/'GMV表-商品大类'!Q45</f>
        <v>0.00326140728249922</v>
      </c>
      <c r="Y42" s="296">
        <f>'毛利-收入组成'!AN42/'GMV表-商品大类'!R45</f>
        <v>0.0390347557398669</v>
      </c>
      <c r="Z42" s="296">
        <f>'毛利-收入组成'!AO42/'GMV表-商品大类'!S45</f>
        <v>0.0167321517827994</v>
      </c>
      <c r="AA42" s="296">
        <f>'毛利-收入组成'!AP42/'GMV表-商品大类'!T45</f>
        <v>0.0231334372719778</v>
      </c>
      <c r="AB42" s="21"/>
    </row>
    <row r="43" spans="1:28">
      <c r="A43" s="290">
        <v>45047</v>
      </c>
      <c r="B43" s="231">
        <f>'毛利-收入组成'!B43/'GMV表-商品大类'!B46</f>
        <v>0.0183144803100863</v>
      </c>
      <c r="C43" s="231">
        <f>'毛利-收入组成'!C43/'GMV表-商品大类'!C46</f>
        <v>0.0106825854718512</v>
      </c>
      <c r="D43" s="231">
        <f>'毛利-收入组成'!D43/'GMV表-商品大类'!D46</f>
        <v>0.0447228967850733</v>
      </c>
      <c r="E43" s="231">
        <f>'毛利-收入组成'!E43/'GMV表-商品大类'!E46</f>
        <v>0.0149992996312263</v>
      </c>
      <c r="F43" s="231">
        <f>'毛利-收入组成'!F43/'GMV表-商品大类'!F46</f>
        <v>0.0225559414714102</v>
      </c>
      <c r="H43" s="259">
        <v>45047</v>
      </c>
      <c r="I43" s="231">
        <f>'毛利-收入组成'!I43/'GMV表-商品大类'!I46</f>
        <v>0.0149591318184898</v>
      </c>
      <c r="J43" s="231">
        <f>IFERROR('毛利-收入组成'!J43/'GMV表-商品大类'!J46,0)</f>
        <v>1.02572901515152</v>
      </c>
      <c r="K43" s="231">
        <f>'毛利-收入组成'!K43/'GMV表-商品大类'!K46</f>
        <v>0.0550019286152828</v>
      </c>
      <c r="L43" s="231">
        <f>IFERROR('毛利-收入组成'!L43/'GMV表-商品大类'!L46,0)</f>
        <v>0.0495570711459888</v>
      </c>
      <c r="M43" s="231">
        <f>'毛利-收入组成'!M43/'GMV表-商品大类'!M46</f>
        <v>0.0368193610881794</v>
      </c>
      <c r="O43" s="295" t="s">
        <v>256</v>
      </c>
      <c r="P43" s="287">
        <f>'毛利-收入组成'!AZ43/'GMV表-商品大类'!P46</f>
        <v>0.0214931318663288</v>
      </c>
      <c r="Q43" s="287">
        <f>'毛利-收入组成'!BA43/'GMV表-商品大类'!Q46</f>
        <v>0.00376869291804114</v>
      </c>
      <c r="R43" s="287">
        <f>'毛利-收入组成'!BB43/'GMV表-商品大类'!R46</f>
        <v>0.0356317513837411</v>
      </c>
      <c r="S43" s="287">
        <f>'毛利-收入组成'!BC43/'GMV表-商品大类'!S46</f>
        <v>0.0163291465222753</v>
      </c>
      <c r="T43" s="287">
        <f>'毛利-收入组成'!BD43/'GMV表-商品大类'!T46</f>
        <v>0.0207106531534449</v>
      </c>
      <c r="V43" s="295" t="s">
        <v>256</v>
      </c>
      <c r="W43" s="296">
        <f>'毛利-收入组成'!AL43/'GMV表-商品大类'!P46</f>
        <v>0.0270033242297162</v>
      </c>
      <c r="X43" s="296">
        <f>'毛利-收入组成'!AM43/'GMV表-商品大类'!Q46</f>
        <v>0.00414904371450117</v>
      </c>
      <c r="Y43" s="296">
        <f>'毛利-收入组成'!AN43/'GMV表-商品大类'!R46</f>
        <v>0.0406100497773266</v>
      </c>
      <c r="Z43" s="296">
        <f>'毛利-收入组成'!AO43/'GMV表-商品大类'!S46</f>
        <v>0.0167405620335557</v>
      </c>
      <c r="AA43" s="296">
        <f>'毛利-收入组成'!AP43/'GMV表-商品大类'!T46</f>
        <v>0.0234328449231162</v>
      </c>
      <c r="AB43" s="21"/>
    </row>
    <row r="44" spans="1:28">
      <c r="A44" s="290">
        <v>45078</v>
      </c>
      <c r="B44" s="231">
        <f>'毛利-收入组成'!B44/'GMV表-商品大类'!B47</f>
        <v>0.0180409209868745</v>
      </c>
      <c r="C44" s="231">
        <f>'毛利-收入组成'!C44/'GMV表-商品大类'!C47</f>
        <v>0.0118873135708116</v>
      </c>
      <c r="D44" s="231">
        <f>'毛利-收入组成'!D44/'GMV表-商品大类'!D47</f>
        <v>0.0629502390469946</v>
      </c>
      <c r="E44" s="231">
        <f>'毛利-收入组成'!E44/'GMV表-商品大类'!E47</f>
        <v>0.0152382171269443</v>
      </c>
      <c r="F44" s="231">
        <f>'毛利-收入组成'!F44/'GMV表-商品大类'!F47</f>
        <v>0.0277204432872874</v>
      </c>
      <c r="H44" s="259">
        <v>45078</v>
      </c>
      <c r="I44" s="231">
        <f>'毛利-收入组成'!I44/'GMV表-商品大类'!I47</f>
        <v>0.0412480280382936</v>
      </c>
      <c r="J44" s="231">
        <f>IFERROR('毛利-收入组成'!J44/'GMV表-商品大类'!J47,0)</f>
        <v>1.00000001406887</v>
      </c>
      <c r="K44" s="231">
        <f>'毛利-收入组成'!K44/'GMV表-商品大类'!K47</f>
        <v>0.0703563009385649</v>
      </c>
      <c r="L44" s="231">
        <f>IFERROR('毛利-收入组成'!L44/'GMV表-商品大类'!L47,0)</f>
        <v>0.21727225804279</v>
      </c>
      <c r="M44" s="231">
        <f>'毛利-收入组成'!M44/'GMV表-商品大类'!M47</f>
        <v>0.0594747314211903</v>
      </c>
      <c r="O44" s="295" t="s">
        <v>257</v>
      </c>
      <c r="P44" s="287">
        <f>'毛利-收入组成'!AZ44/'GMV表-商品大类'!P47</f>
        <v>0.0207750886791012</v>
      </c>
      <c r="Q44" s="287">
        <f>'毛利-收入组成'!BA44/'GMV表-商品大类'!Q47</f>
        <v>0.00473826671324149</v>
      </c>
      <c r="R44" s="287">
        <f>'毛利-收入组成'!BB44/'GMV表-商品大类'!R47</f>
        <v>0.0399858546452825</v>
      </c>
      <c r="S44" s="287">
        <f>'毛利-收入组成'!BC44/'GMV表-商品大类'!S47</f>
        <v>0.0160762512592601</v>
      </c>
      <c r="T44" s="287">
        <f>'毛利-收入组成'!BD44/'GMV表-商品大类'!T47</f>
        <v>0.0220079970531079</v>
      </c>
      <c r="V44" s="295" t="s">
        <v>257</v>
      </c>
      <c r="W44" s="296">
        <f>'毛利-收入组成'!AL44/'GMV表-商品大类'!P47</f>
        <v>0.026939399635231</v>
      </c>
      <c r="X44" s="296">
        <f>'毛利-收入组成'!AM44/'GMV表-商品大类'!Q47</f>
        <v>0.00516399909720739</v>
      </c>
      <c r="Y44" s="296">
        <f>'毛利-收入组成'!AN44/'GMV表-商品大类'!R47</f>
        <v>0.0463304473933564</v>
      </c>
      <c r="Z44" s="296">
        <f>'毛利-收入组成'!AO44/'GMV表-商品大类'!S47</f>
        <v>0.0165211273179808</v>
      </c>
      <c r="AA44" s="296">
        <f>'毛利-收入组成'!AP44/'GMV表-商品大类'!T47</f>
        <v>0.0252620481633319</v>
      </c>
      <c r="AB44" s="21"/>
    </row>
    <row r="45" spans="1:28">
      <c r="A45" s="290">
        <v>45108</v>
      </c>
      <c r="B45" s="231">
        <f>'毛利-收入组成'!B45/'GMV表-商品大类'!B48</f>
        <v>0.0120047285886773</v>
      </c>
      <c r="C45" s="231">
        <f>'毛利-收入组成'!C45/'GMV表-商品大类'!C48</f>
        <v>0.0110976326796447</v>
      </c>
      <c r="D45" s="231">
        <f>'毛利-收入组成'!D45/'GMV表-商品大类'!D48</f>
        <v>0.0467578329547289</v>
      </c>
      <c r="E45" s="231">
        <f>'毛利-收入组成'!E45/'GMV表-商品大类'!E48</f>
        <v>0.0145646362448162</v>
      </c>
      <c r="F45" s="231">
        <f>'毛利-收入组成'!F45/'GMV表-商品大类'!F48</f>
        <v>0.0223612674211796</v>
      </c>
      <c r="H45" s="259">
        <v>45108</v>
      </c>
      <c r="I45" s="231">
        <f>'毛利-收入组成'!I45/'GMV表-商品大类'!I48</f>
        <v>0.0594822763392704</v>
      </c>
      <c r="J45" s="231">
        <f>IFERROR('毛利-收入组成'!J45/'GMV表-商品大类'!J48,0)</f>
        <v>0.74130374479889</v>
      </c>
      <c r="K45" s="231">
        <f>'毛利-收入组成'!K45/'GMV表-商品大类'!K48</f>
        <v>0.114724281087463</v>
      </c>
      <c r="L45" s="231">
        <f>IFERROR('毛利-收入组成'!L45/'GMV表-商品大类'!L48,0)</f>
        <v>0.341267705694259</v>
      </c>
      <c r="M45" s="231">
        <f>'毛利-收入组成'!M45/'GMV表-商品大类'!M48</f>
        <v>0.0797023846323347</v>
      </c>
      <c r="O45" s="295" t="s">
        <v>258</v>
      </c>
      <c r="P45" s="287">
        <f>'毛利-收入组成'!AZ45/'GMV表-商品大类'!P48</f>
        <v>0.0194319903697911</v>
      </c>
      <c r="Q45" s="287">
        <f>'毛利-收入组成'!BA45/'GMV表-商品大类'!Q48</f>
        <v>0.0052116902785379</v>
      </c>
      <c r="R45" s="287">
        <f>'毛利-收入组成'!BB45/'GMV表-商品大类'!R48</f>
        <v>0.0408128043666795</v>
      </c>
      <c r="S45" s="287">
        <f>'毛利-收入组成'!BC45/'GMV表-商品大类'!S48</f>
        <v>0.0158296580127222</v>
      </c>
      <c r="T45" s="287">
        <f>'毛利-收入组成'!BD45/'GMV表-商品大类'!T48</f>
        <v>0.0220552871458549</v>
      </c>
      <c r="V45" s="295" t="s">
        <v>258</v>
      </c>
      <c r="W45" s="296">
        <f>'毛利-收入组成'!AL45/'GMV表-商品大类'!P48</f>
        <v>0.0261419522584253</v>
      </c>
      <c r="X45" s="296">
        <f>'毛利-收入组成'!AM45/'GMV表-商品大类'!Q48</f>
        <v>0.00562582597623444</v>
      </c>
      <c r="Y45" s="296">
        <f>'毛利-收入组成'!AN45/'GMV表-商品大类'!R48</f>
        <v>0.0467871395070754</v>
      </c>
      <c r="Z45" s="296">
        <f>'毛利-收入组成'!AO45/'GMV表-商品大类'!S48</f>
        <v>0.016449714089253</v>
      </c>
      <c r="AA45" s="296">
        <f>'毛利-收入组成'!AP45/'GMV表-商品大类'!T48</f>
        <v>0.0253608699544236</v>
      </c>
      <c r="AB45" s="21"/>
    </row>
    <row r="46" spans="1:28">
      <c r="A46" s="290">
        <v>45139</v>
      </c>
      <c r="B46" s="231">
        <f>'毛利-收入组成'!B46/'GMV表-商品大类'!B49</f>
        <v>0.0198351944773066</v>
      </c>
      <c r="C46" s="231">
        <f>'毛利-收入组成'!C46/'GMV表-商品大类'!C49</f>
        <v>0.0192221233538192</v>
      </c>
      <c r="D46" s="231">
        <f>'毛利-收入组成'!D46/'GMV表-商品大类'!D49</f>
        <v>0.0332714869404527</v>
      </c>
      <c r="E46" s="231">
        <f>'毛利-收入组成'!E46/'GMV表-商品大类'!E49</f>
        <v>0.0226846469364323</v>
      </c>
      <c r="F46" s="231">
        <f>'毛利-收入组成'!F46/'GMV表-商品大类'!F49</f>
        <v>0.024783789130379</v>
      </c>
      <c r="H46" s="259">
        <v>45139</v>
      </c>
      <c r="I46" s="231">
        <f>'毛利-收入组成'!I46/'GMV表-商品大类'!I49</f>
        <v>0.0158495462865723</v>
      </c>
      <c r="J46" s="231">
        <f>IFERROR('毛利-收入组成'!J46/'GMV表-商品大类'!J49,0)</f>
        <v>1.00000000371363</v>
      </c>
      <c r="K46" s="231">
        <f>'毛利-收入组成'!K46/'GMV表-商品大类'!K49</f>
        <v>0.0729304508612449</v>
      </c>
      <c r="L46" s="231">
        <f>IFERROR('毛利-收入组成'!L46/'GMV表-商品大类'!L49,0)</f>
        <v>0.523240701528729</v>
      </c>
      <c r="M46" s="231">
        <f>'毛利-收入组成'!M46/'GMV表-商品大类'!M49</f>
        <v>0.0558707183640428</v>
      </c>
      <c r="O46" s="295" t="s">
        <v>259</v>
      </c>
      <c r="P46" s="287">
        <f>'毛利-收入组成'!AZ46/'GMV表-商品大类'!P49</f>
        <v>0.0194917406821103</v>
      </c>
      <c r="Q46" s="287">
        <f>'毛利-收入组成'!BA46/'GMV表-商品大类'!Q49</f>
        <v>0.00616448463014485</v>
      </c>
      <c r="R46" s="287">
        <f>'毛利-收入组成'!BB46/'GMV表-商品大类'!R49</f>
        <v>0.0398624104719671</v>
      </c>
      <c r="S46" s="287">
        <f>'毛利-收入组成'!BC46/'GMV表-商品大类'!S49</f>
        <v>0.0168768198031619</v>
      </c>
      <c r="T46" s="287">
        <f>'毛利-收入组成'!BD46/'GMV表-商品大类'!T49</f>
        <v>0.0224110897305251</v>
      </c>
      <c r="V46" s="295" t="s">
        <v>259</v>
      </c>
      <c r="W46" s="296">
        <f>'毛利-收入组成'!AL46/'GMV表-商品大类'!P49</f>
        <v>0.0256717049610668</v>
      </c>
      <c r="X46" s="296">
        <f>'毛利-收入组成'!AM46/'GMV表-商品大类'!Q49</f>
        <v>0.00657544776261954</v>
      </c>
      <c r="Y46" s="296">
        <f>'毛利-收入组成'!AN46/'GMV表-商品大类'!R49</f>
        <v>0.0460558608728814</v>
      </c>
      <c r="Z46" s="296">
        <f>'毛利-收入组成'!AO46/'GMV表-商品大类'!S49</f>
        <v>0.0177263002972089</v>
      </c>
      <c r="AA46" s="296">
        <f>'毛利-收入组成'!AP46/'GMV表-商品大类'!T49</f>
        <v>0.025778899365074</v>
      </c>
      <c r="AB46" s="21"/>
    </row>
    <row r="47" spans="1:28">
      <c r="A47" s="290">
        <v>45170</v>
      </c>
      <c r="B47" s="231">
        <f>'毛利-收入组成'!B47/'GMV表-商品大类'!B50</f>
        <v>0.0164566739393168</v>
      </c>
      <c r="C47" s="231">
        <f>'毛利-收入组成'!C47/'GMV表-商品大类'!C50</f>
        <v>0.0141941889514415</v>
      </c>
      <c r="D47" s="231">
        <f>'毛利-收入组成'!D47/'GMV表-商品大类'!D50</f>
        <v>0.0307430114290455</v>
      </c>
      <c r="E47" s="231">
        <f>'毛利-收入组成'!E47/'GMV表-商品大类'!E50</f>
        <v>0.0105692674137996</v>
      </c>
      <c r="F47" s="231">
        <f>'毛利-收入组成'!F47/'GMV表-商品大类'!F50</f>
        <v>0.0184501997319155</v>
      </c>
      <c r="H47" s="259">
        <v>45170</v>
      </c>
      <c r="I47" s="231">
        <f>'毛利-收入组成'!I47/'GMV表-商品大类'!I50</f>
        <v>0.0274161028967467</v>
      </c>
      <c r="J47" s="231">
        <f>IFERROR('毛利-收入组成'!J47/'GMV表-商品大类'!J50,0)</f>
        <v>0.233279704114656</v>
      </c>
      <c r="K47" s="231">
        <f>'毛利-收入组成'!K47/'GMV表-商品大类'!K50</f>
        <v>0.128822133014779</v>
      </c>
      <c r="L47" s="231">
        <f>IFERROR('毛利-收入组成'!L47/'GMV表-商品大类'!L50,0)</f>
        <v>0.00502715791904253</v>
      </c>
      <c r="M47" s="231">
        <f>'毛利-收入组成'!M47/'GMV表-商品大类'!M50</f>
        <v>0.071946984076709</v>
      </c>
      <c r="O47" s="295" t="s">
        <v>260</v>
      </c>
      <c r="P47" s="287">
        <f>'毛利-收入组成'!AZ47/'GMV表-商品大类'!P50</f>
        <v>0.0191589118213143</v>
      </c>
      <c r="Q47" s="287">
        <f>'毛利-收入组成'!BA47/'GMV表-商品大类'!Q50</f>
        <v>0.00657518532920015</v>
      </c>
      <c r="R47" s="287">
        <f>'毛利-收入组成'!BB47/'GMV表-商品大类'!R50</f>
        <v>0.0388878911397642</v>
      </c>
      <c r="S47" s="287">
        <f>'毛利-收入组成'!BC47/'GMV表-商品大类'!S50</f>
        <v>0.0161767565517103</v>
      </c>
      <c r="T47" s="287">
        <f>'毛利-收入组成'!BD47/'GMV表-商品大类'!T50</f>
        <v>0.0220134578324123</v>
      </c>
      <c r="V47" s="295" t="s">
        <v>260</v>
      </c>
      <c r="W47" s="296">
        <f>'毛利-收入组成'!AL47/'GMV表-商品大类'!P50</f>
        <v>0.0250678724576607</v>
      </c>
      <c r="X47" s="296">
        <f>'毛利-收入组成'!AM47/'GMV表-商品大类'!Q50</f>
        <v>0.00696878170935718</v>
      </c>
      <c r="Y47" s="296">
        <f>'毛利-收入组成'!AN47/'GMV表-商品大类'!R50</f>
        <v>0.0452722032609545</v>
      </c>
      <c r="Z47" s="296">
        <f>'毛利-收入组成'!AO47/'GMV表-商品大类'!S50</f>
        <v>0.0171818163588953</v>
      </c>
      <c r="AA47" s="296">
        <f>'毛利-收入组成'!AP47/'GMV表-商品大类'!T50</f>
        <v>0.0254642725005605</v>
      </c>
      <c r="AB47" s="21"/>
    </row>
    <row r="48" spans="1:28">
      <c r="A48" s="290">
        <v>45200</v>
      </c>
      <c r="B48" s="231">
        <f>'毛利-收入组成'!B48/'GMV表-商品大类'!B51</f>
        <v>0.0135894087158479</v>
      </c>
      <c r="C48" s="231">
        <f>'毛利-收入组成'!C48/'GMV表-商品大类'!C51</f>
        <v>0.0253540612696943</v>
      </c>
      <c r="D48" s="231">
        <f>'毛利-收入组成'!D48/'GMV表-商品大类'!D51</f>
        <v>0.0454554529327438</v>
      </c>
      <c r="E48" s="231">
        <f>'毛利-收入组成'!E48/'GMV表-商品大类'!E51</f>
        <v>0.0159000587428811</v>
      </c>
      <c r="F48" s="231">
        <f>'毛利-收入组成'!F48/'GMV表-商品大类'!F51</f>
        <v>0.028568967520598</v>
      </c>
      <c r="H48" s="259">
        <v>45200</v>
      </c>
      <c r="I48" s="231">
        <f>'毛利-收入组成'!I48/'GMV表-商品大类'!I51</f>
        <v>0.0462758821703502</v>
      </c>
      <c r="J48" s="231">
        <f>IFERROR('毛利-收入组成'!J48/'GMV表-商品大类'!J51,0)</f>
        <v>1</v>
      </c>
      <c r="K48" s="231">
        <f>'毛利-收入组成'!K48/'GMV表-商品大类'!K51</f>
        <v>0.0515522286675516</v>
      </c>
      <c r="L48" s="231">
        <f>IFERROR('毛利-收入组成'!L48/'GMV表-商品大类'!L51,0)</f>
        <v>0.110798408658189</v>
      </c>
      <c r="M48" s="231">
        <f>'毛利-收入组成'!M48/'GMV表-商品大类'!M51</f>
        <v>0.0506748632855882</v>
      </c>
      <c r="O48" s="295" t="s">
        <v>261</v>
      </c>
      <c r="P48" s="287">
        <f>'毛利-收入组成'!AZ48/'GMV表-商品大类'!P51</f>
        <v>0.0188845711533406</v>
      </c>
      <c r="Q48" s="287">
        <f>'毛利-收入组成'!BA48/'GMV表-商品大类'!Q51</f>
        <v>0.00725927254068717</v>
      </c>
      <c r="R48" s="287">
        <f>'毛利-收入组成'!BB48/'GMV表-商品大类'!R51</f>
        <v>0.0395255497587253</v>
      </c>
      <c r="S48" s="287">
        <f>'毛利-收入组成'!BC48/'GMV表-商品大类'!S51</f>
        <v>0.0161559459755665</v>
      </c>
      <c r="T48" s="287">
        <f>'毛利-收入组成'!BD48/'GMV表-商品大类'!T51</f>
        <v>0.0224807757553682</v>
      </c>
      <c r="V48" s="295" t="s">
        <v>261</v>
      </c>
      <c r="W48" s="296">
        <f>'毛利-收入组成'!AL48/'GMV表-商品大类'!P51</f>
        <v>0.025707089965885</v>
      </c>
      <c r="X48" s="296">
        <f>'毛利-收入组成'!AM48/'GMV表-商品大类'!Q51</f>
        <v>0.0075361692863168</v>
      </c>
      <c r="Y48" s="296">
        <f>'毛利-收入组成'!AN48/'GMV表-商品大类'!R51</f>
        <v>0.0458309217842048</v>
      </c>
      <c r="Z48" s="296">
        <f>'毛利-收入组成'!AO48/'GMV表-商品大类'!S51</f>
        <v>0.0174319071918591</v>
      </c>
      <c r="AA48" s="296">
        <f>'毛利-收入组成'!AP48/'GMV表-商品大类'!T51</f>
        <v>0.026187094799041</v>
      </c>
      <c r="AB48" s="21"/>
    </row>
    <row r="49" spans="1:28">
      <c r="A49" s="290">
        <v>45231</v>
      </c>
      <c r="B49" s="231">
        <f>'毛利-收入组成'!B49/'GMV表-商品大类'!B52</f>
        <v>0.0235950242169897</v>
      </c>
      <c r="C49" s="231">
        <f>'毛利-收入组成'!C49/'GMV表-商品大类'!C52</f>
        <v>0.0178909047460795</v>
      </c>
      <c r="D49" s="231">
        <f>'毛利-收入组成'!D49/'GMV表-商品大类'!D52</f>
        <v>0.0454756414971619</v>
      </c>
      <c r="E49" s="231">
        <f>'毛利-收入组成'!E49/'GMV表-商品大类'!E52</f>
        <v>0.024925637270355</v>
      </c>
      <c r="F49" s="231">
        <f>'毛利-收入组成'!F49/'GMV表-商品大类'!F52</f>
        <v>0.0335708304750062</v>
      </c>
      <c r="H49" s="259">
        <v>45231</v>
      </c>
      <c r="I49" s="231">
        <f>'毛利-收入组成'!I49/'GMV表-商品大类'!I52</f>
        <v>0.0261354955734717</v>
      </c>
      <c r="J49" s="231">
        <f>IFERROR('毛利-收入组成'!J49/'GMV表-商品大类'!J52,0)</f>
        <v>0.204022884882108</v>
      </c>
      <c r="K49" s="231">
        <f>'毛利-收入组成'!K49/'GMV表-商品大类'!K52</f>
        <v>0.0614747173096823</v>
      </c>
      <c r="L49" s="231">
        <f>IFERROR('毛利-收入组成'!L49/'GMV表-商品大类'!L52,0)</f>
        <v>0.0550400611185124</v>
      </c>
      <c r="M49" s="231">
        <f>'毛利-收入组成'!M49/'GMV表-商品大类'!M52</f>
        <v>0.0557846423208419</v>
      </c>
      <c r="O49" s="295" t="s">
        <v>262</v>
      </c>
      <c r="P49" s="287">
        <f>'毛利-收入组成'!AZ49/'GMV表-商品大类'!P52</f>
        <v>0.0192266596392414</v>
      </c>
      <c r="Q49" s="287">
        <f>'毛利-收入组成'!BA49/'GMV表-商品大类'!Q52</f>
        <v>0.00767235147656556</v>
      </c>
      <c r="R49" s="287">
        <f>'毛利-收入组成'!BB49/'GMV表-商品大类'!R52</f>
        <v>0.0401954925731129</v>
      </c>
      <c r="S49" s="287">
        <f>'毛利-收入组成'!BC49/'GMV表-商品大类'!S52</f>
        <v>0.0167340700038019</v>
      </c>
      <c r="T49" s="287">
        <f>'毛利-收入组成'!BD49/'GMV表-商品大类'!T52</f>
        <v>0.0233472460763823</v>
      </c>
      <c r="V49" s="295" t="s">
        <v>262</v>
      </c>
      <c r="W49" s="296">
        <f>'毛利-收入组成'!AL49/'GMV表-商品大类'!P52</f>
        <v>0.0259986699955415</v>
      </c>
      <c r="X49" s="296">
        <f>'毛利-收入组成'!AM49/'GMV表-商品大类'!Q52</f>
        <v>0.00811463471613162</v>
      </c>
      <c r="Y49" s="296">
        <f>'毛利-收入组成'!AN49/'GMV表-商品大类'!R52</f>
        <v>0.0481138207106929</v>
      </c>
      <c r="Z49" s="296">
        <f>'毛利-收入组成'!AO49/'GMV表-商品大类'!S52</f>
        <v>0.0179898319499211</v>
      </c>
      <c r="AA49" s="296">
        <f>'毛利-收入组成'!AP49/'GMV表-商品大类'!T52</f>
        <v>0.0276298329035987</v>
      </c>
      <c r="AB49" s="21"/>
    </row>
    <row r="50" spans="1:28">
      <c r="A50" s="290">
        <v>45261</v>
      </c>
      <c r="B50" s="231">
        <f>'毛利-收入组成'!B50/'GMV表-商品大类'!B53</f>
        <v>0.0586348945469848</v>
      </c>
      <c r="C50" s="231">
        <f>'毛利-收入组成'!C50/'GMV表-商品大类'!C53</f>
        <v>0.0285485415814757</v>
      </c>
      <c r="D50" s="231">
        <f>'毛利-收入组成'!D50/'GMV表-商品大类'!D53</f>
        <v>0.063683529740975</v>
      </c>
      <c r="E50" s="231">
        <f>'毛利-收入组成'!E50/'GMV表-商品大类'!E53</f>
        <v>0.0699422519867355</v>
      </c>
      <c r="F50" s="231">
        <f>'毛利-收入组成'!F50/'GMV表-商品大类'!F53</f>
        <v>0.063007571552337</v>
      </c>
      <c r="H50" s="259">
        <v>45261</v>
      </c>
      <c r="I50" s="231">
        <f>'毛利-收入组成'!I50/'GMV表-商品大类'!I53</f>
        <v>0.113923884242909</v>
      </c>
      <c r="J50" s="231">
        <f>IFERROR('毛利-收入组成'!J50/'GMV表-商品大类'!J53,0)</f>
        <v>-0.3686802413273</v>
      </c>
      <c r="K50" s="231">
        <f>'毛利-收入组成'!K50/'GMV表-商品大类'!K53</f>
        <v>0.0629715704719164</v>
      </c>
      <c r="L50" s="231">
        <f>IFERROR('毛利-收入组成'!L50/'GMV表-商品大类'!L53,0)</f>
        <v>0.0499797767526877</v>
      </c>
      <c r="M50" s="231">
        <f>'毛利-收入组成'!M50/'GMV表-商品大类'!M53</f>
        <v>0.0775249588796611</v>
      </c>
      <c r="O50" s="295" t="s">
        <v>263</v>
      </c>
      <c r="P50" s="287">
        <f>'毛利-收入组成'!AZ50/'GMV表-商品大类'!P53</f>
        <v>0.0210898951066317</v>
      </c>
      <c r="Q50" s="287">
        <f>'毛利-收入组成'!BA50/'GMV表-商品大类'!Q53</f>
        <v>0.00824434124124982</v>
      </c>
      <c r="R50" s="287">
        <f>'毛利-收入组成'!BB50/'GMV表-商品大类'!R53</f>
        <v>0.042140078366987</v>
      </c>
      <c r="S50" s="287">
        <f>'毛利-收入组成'!BC50/'GMV表-商品大类'!S53</f>
        <v>0.0199425168983453</v>
      </c>
      <c r="T50" s="287">
        <f>'毛利-收入组成'!BD50/'GMV表-商品大类'!T53</f>
        <v>0.0257548340554589</v>
      </c>
      <c r="V50" s="295" t="s">
        <v>263</v>
      </c>
      <c r="W50" s="296">
        <f>'毛利-收入组成'!AL50/'GMV表-商品大类'!P53</f>
        <v>0.0287988042050546</v>
      </c>
      <c r="X50" s="296">
        <f>'毛利-收入组成'!AM50/'GMV表-商品大类'!Q53</f>
        <v>0.00867983211050198</v>
      </c>
      <c r="Y50" s="296">
        <f>'毛利-收入组成'!AN50/'GMV表-商品大类'!R53</f>
        <v>0.0505774047092037</v>
      </c>
      <c r="Z50" s="296">
        <f>'毛利-收入组成'!AO50/'GMV表-商品大类'!S53</f>
        <v>0.0213299896575429</v>
      </c>
      <c r="AA50" s="296">
        <f>'毛利-收入组成'!AP50/'GMV表-商品大类'!T53</f>
        <v>0.0304646151755965</v>
      </c>
      <c r="AB50" s="21"/>
    </row>
    <row r="51" spans="1:28">
      <c r="A51" s="291">
        <v>45292</v>
      </c>
      <c r="B51" s="231">
        <f>'毛利-收入组成'!B51/'GMV表-商品大类'!B54</f>
        <v>0.0103063266147617</v>
      </c>
      <c r="C51" s="231">
        <f>'毛利-收入组成'!C51/'GMV表-商品大类'!C54</f>
        <v>0.0177753579451683</v>
      </c>
      <c r="D51" s="231">
        <f>'毛利-收入组成'!D51/'GMV表-商品大类'!D54</f>
        <v>0.0559863151897771</v>
      </c>
      <c r="E51" s="231">
        <f>'毛利-收入组成'!E51/'GMV表-商品大类'!E54</f>
        <v>0.0196673114675027</v>
      </c>
      <c r="F51" s="231">
        <f>'毛利-收入组成'!F51/'GMV表-商品大类'!F54</f>
        <v>0.026448705976689</v>
      </c>
      <c r="H51" s="292">
        <v>45292</v>
      </c>
      <c r="I51" s="231">
        <f>'毛利-收入组成'!I51/'GMV表-商品大类'!I54</f>
        <v>0.0392996664371365</v>
      </c>
      <c r="J51" s="231">
        <f>IFERROR('毛利-收入组成'!J51/'GMV表-商品大类'!J54,0)</f>
        <v>1</v>
      </c>
      <c r="K51" s="231">
        <f>'毛利-收入组成'!K51/'GMV表-商品大类'!K54</f>
        <v>0.0981417204351664</v>
      </c>
      <c r="L51" s="231">
        <f>IFERROR('毛利-收入组成'!L51/'GMV表-商品大类'!L54,0)</f>
        <v>0.0499530072460591</v>
      </c>
      <c r="M51" s="231">
        <f>'毛利-收入组成'!M51/'GMV表-商品大类'!M54</f>
        <v>0.074155633233643</v>
      </c>
      <c r="O51" s="295" t="s">
        <v>264</v>
      </c>
      <c r="P51" s="287">
        <f>'毛利-收入组成'!AZ51/'GMV表-商品大类'!P54</f>
        <v>0.0103063266147617</v>
      </c>
      <c r="Q51" s="287">
        <f>'毛利-收入组成'!BA51/'GMV表-商品大类'!Q54</f>
        <v>0.0177753579451683</v>
      </c>
      <c r="R51" s="287">
        <f>'毛利-收入组成'!BB51/'GMV表-商品大类'!R54</f>
        <v>0.0559863151897772</v>
      </c>
      <c r="S51" s="287">
        <f>'毛利-收入组成'!BC51/'GMV表-商品大类'!S54</f>
        <v>0.0196673114675027</v>
      </c>
      <c r="T51" s="287">
        <f>'毛利-收入组成'!BD51/'GMV表-商品大类'!T54</f>
        <v>0.026448705976689</v>
      </c>
      <c r="V51" s="295" t="s">
        <v>264</v>
      </c>
      <c r="W51" s="296">
        <f>'毛利-收入组成'!AL51/'GMV表-商品大类'!P54</f>
        <v>0.0165248040764758</v>
      </c>
      <c r="X51" s="296">
        <f>'毛利-收入组成'!AM51/'GMV表-商品大类'!Q54</f>
        <v>0.0213011108778632</v>
      </c>
      <c r="Y51" s="296">
        <f>'毛利-收入组成'!AN51/'GMV表-商品大类'!R54</f>
        <v>0.0761787159464477</v>
      </c>
      <c r="Z51" s="296">
        <f>'毛利-收入组成'!AO51/'GMV表-商品大类'!S54</f>
        <v>0.0183312591821651</v>
      </c>
      <c r="AA51" s="296">
        <f>'毛利-收入组成'!AP51/'GMV表-商品大类'!T54</f>
        <v>0.0332323849261689</v>
      </c>
      <c r="AB51" s="21"/>
    </row>
    <row r="52" spans="1:28">
      <c r="A52" s="291">
        <v>45323</v>
      </c>
      <c r="B52" s="231">
        <f>'毛利-收入组成'!B52/'GMV表-商品大类'!B55</f>
        <v>0.0263992863575773</v>
      </c>
      <c r="C52" s="231">
        <f>'毛利-收入组成'!C52/'GMV表-商品大类'!C55</f>
        <v>0.0185415880091344</v>
      </c>
      <c r="D52" s="231">
        <f>'毛利-收入组成'!D52/'GMV表-商品大类'!D55</f>
        <v>0.0297970353999552</v>
      </c>
      <c r="E52" s="231">
        <f>'毛利-收入组成'!E52/'GMV表-商品大类'!E55</f>
        <v>0.00843337321760957</v>
      </c>
      <c r="F52" s="231">
        <f>'毛利-收入组成'!F52/'GMV表-商品大类'!F55</f>
        <v>0.0197996170980149</v>
      </c>
      <c r="H52" s="292">
        <v>45323</v>
      </c>
      <c r="I52" s="231">
        <f>'毛利-收入组成'!I52/'GMV表-商品大类'!I55</f>
        <v>0.0534489088078312</v>
      </c>
      <c r="J52" s="231">
        <f>IFERROR('毛利-收入组成'!J52/'GMV表-商品大类'!J55,0)</f>
        <v>0</v>
      </c>
      <c r="K52" s="231">
        <f>'毛利-收入组成'!K52/'GMV表-商品大类'!K55</f>
        <v>0.0783439397757197</v>
      </c>
      <c r="L52" s="231">
        <f>IFERROR('毛利-收入组成'!L52/'GMV表-商品大类'!L55,0)</f>
        <v>0.0895571492022668</v>
      </c>
      <c r="M52" s="231">
        <f>'毛利-收入组成'!M52/'GMV表-商品大类'!M55</f>
        <v>0.0633314590593336</v>
      </c>
      <c r="O52" s="295" t="s">
        <v>265</v>
      </c>
      <c r="P52" s="287">
        <f>'毛利-收入组成'!AZ52/'GMV表-商品大类'!P55</f>
        <v>0.0178392056732965</v>
      </c>
      <c r="Q52" s="287">
        <f>'毛利-收入组成'!BA52/'GMV表-商品大类'!Q55</f>
        <v>0.0181382469204685</v>
      </c>
      <c r="R52" s="287">
        <f>'毛利-收入组成'!BB52/'GMV表-商品大类'!R55</f>
        <v>0.0433236181450157</v>
      </c>
      <c r="S52" s="287">
        <f>'毛利-收入组成'!BC52/'GMV表-商品大类'!S55</f>
        <v>0.0143042569794532</v>
      </c>
      <c r="T52" s="287">
        <f>'毛利-收入组成'!BD52/'GMV表-商品大类'!T55</f>
        <v>0.0232825089429812</v>
      </c>
      <c r="V52" s="295" t="s">
        <v>265</v>
      </c>
      <c r="W52" s="296">
        <f>'毛利-收入组成'!AL52/'GMV表-商品大类'!P55</f>
        <v>0.0362420512121234</v>
      </c>
      <c r="X52" s="296">
        <f>'毛利-收入组成'!AM52/'GMV表-商品大类'!Q55</f>
        <v>0.0209256726093383</v>
      </c>
      <c r="Y52" s="296">
        <f>'毛利-收入组成'!AN52/'GMV表-商品大类'!R55</f>
        <v>0.0598634315894608</v>
      </c>
      <c r="Z52" s="296">
        <f>'毛利-收入组成'!AO52/'GMV表-商品大类'!S55</f>
        <v>0.0139403446602277</v>
      </c>
      <c r="AA52" s="296">
        <f>'毛利-收入组成'!AP52/'GMV表-商品大类'!T55</f>
        <v>0.0328427883104699</v>
      </c>
      <c r="AB52" s="21"/>
    </row>
    <row r="53" spans="1:28">
      <c r="A53" s="291">
        <v>45352</v>
      </c>
      <c r="B53" s="231">
        <f>'毛利-收入组成'!B53/'GMV表-商品大类'!B56</f>
        <v>0.0182786449275625</v>
      </c>
      <c r="C53" s="231">
        <f>'毛利-收入组成'!C53/'GMV表-商品大类'!C56</f>
        <v>0.0104479331466462</v>
      </c>
      <c r="D53" s="231">
        <f>'毛利-收入组成'!D53/'GMV表-商品大类'!D56</f>
        <v>0.0548530373528425</v>
      </c>
      <c r="E53" s="231">
        <f>'毛利-收入组成'!E53/'GMV表-商品大类'!E56</f>
        <v>0.0235794100314381</v>
      </c>
      <c r="F53" s="231">
        <f>'毛利-收入组成'!F53/'GMV表-商品大类'!F56</f>
        <v>0.0329596537064344</v>
      </c>
      <c r="H53" s="292">
        <v>45352</v>
      </c>
      <c r="I53" s="231">
        <f>'毛利-收入组成'!I53/'GMV表-商品大类'!I56</f>
        <v>0.0654257044128436</v>
      </c>
      <c r="J53" s="231">
        <f>IFERROR('毛利-收入组成'!J53/'GMV表-商品大类'!J56,0)</f>
        <v>0</v>
      </c>
      <c r="K53" s="231">
        <f>'毛利-收入组成'!K53/'GMV表-商品大类'!K56</f>
        <v>0.0832957662707259</v>
      </c>
      <c r="L53" s="231">
        <f>IFERROR('毛利-收入组成'!L53/'GMV表-商品大类'!L56,0)</f>
        <v>0.106692530172995</v>
      </c>
      <c r="M53" s="231">
        <f>'毛利-收入组成'!M53/'GMV表-商品大类'!M56</f>
        <v>0.0759408974498155</v>
      </c>
      <c r="O53" s="295" t="s">
        <v>266</v>
      </c>
      <c r="P53" s="287">
        <f>'毛利-收入组成'!AZ53/'GMV表-商品大类'!P56</f>
        <v>0.0179071720412433</v>
      </c>
      <c r="Q53" s="287">
        <f>'毛利-收入组成'!BA53/'GMV表-商品大类'!Q56</f>
        <v>0.015370485595463</v>
      </c>
      <c r="R53" s="287">
        <f>'毛利-收入组成'!BB53/'GMV表-商品大类'!R56</f>
        <v>0.0474749190861161</v>
      </c>
      <c r="S53" s="287">
        <f>'毛利-收入组成'!BC53/'GMV表-商品大类'!S56</f>
        <v>0.0172264024375781</v>
      </c>
      <c r="T53" s="287">
        <f>'毛利-收入组成'!BD53/'GMV表-商品大类'!T56</f>
        <v>0.0261329833099856</v>
      </c>
      <c r="V53" s="295" t="s">
        <v>266</v>
      </c>
      <c r="W53" s="296">
        <f>'毛利-收入组成'!AL53/'GMV表-商品大类'!P56</f>
        <v>0.0378376086582573</v>
      </c>
      <c r="X53" s="296">
        <f>'毛利-收入组成'!AM53/'GMV表-商品大类'!Q56</f>
        <v>0.0192003047486328</v>
      </c>
      <c r="Y53" s="296">
        <f>'毛利-收入组成'!AN53/'GMV表-商品大类'!R56</f>
        <v>0.0620837441124525</v>
      </c>
      <c r="Z53" s="296">
        <f>'毛利-收入组成'!AO53/'GMV表-商品大类'!S56</f>
        <v>0.0217095166019941</v>
      </c>
      <c r="AA53" s="296">
        <f>'毛利-收入组成'!AP53/'GMV表-商品大类'!T56</f>
        <v>0.0371159844606609</v>
      </c>
      <c r="AB53" s="21"/>
    </row>
    <row r="54" spans="1:28">
      <c r="A54" s="291">
        <v>45383</v>
      </c>
      <c r="B54" s="231">
        <f>'毛利-收入组成'!B54/'GMV表-商品大类'!B57</f>
        <v>0.0147618642857651</v>
      </c>
      <c r="C54" s="231">
        <f>'毛利-收入组成'!C54/'GMV表-商品大类'!C57</f>
        <v>0.00507241825802231</v>
      </c>
      <c r="D54" s="231">
        <f>'毛利-收入组成'!D54/'GMV表-商品大类'!D57</f>
        <v>0.00655535062467773</v>
      </c>
      <c r="E54" s="231">
        <f>'毛利-收入组成'!E54/'GMV表-商品大类'!E57</f>
        <v>0.0237923327388499</v>
      </c>
      <c r="F54" s="231">
        <f>'毛利-收入组成'!F54/'GMV表-商品大类'!F57</f>
        <v>0.0132515704092645</v>
      </c>
      <c r="H54" s="292">
        <v>45383</v>
      </c>
      <c r="I54" s="231">
        <f>'毛利-收入组成'!I54/'GMV表-商品大类'!I57</f>
        <v>0.0565157787949739</v>
      </c>
      <c r="J54" s="231">
        <f>IFERROR('毛利-收入组成'!J54/'GMV表-商品大类'!J57,0)</f>
        <v>0</v>
      </c>
      <c r="K54" s="231">
        <f>'毛利-收入组成'!K54/'GMV表-商品大类'!K57</f>
        <v>0.0969703287895912</v>
      </c>
      <c r="L54" s="231">
        <f>IFERROR('毛利-收入组成'!L54/'GMV表-商品大类'!L57,0)</f>
        <v>-0.0153657062002944</v>
      </c>
      <c r="M54" s="231">
        <f>'毛利-收入组成'!M54/'GMV表-商品大类'!M57</f>
        <v>0.0691694245116505</v>
      </c>
      <c r="O54" s="295" t="s">
        <v>267</v>
      </c>
      <c r="P54" s="287">
        <f>'毛利-收入组成'!AZ54/'GMV表-商品大类'!P57</f>
        <v>0.0175473973478044</v>
      </c>
      <c r="Q54" s="287">
        <f>'毛利-收入组成'!BA54/'GMV表-商品大类'!Q57</f>
        <v>0.0137881031584607</v>
      </c>
      <c r="R54" s="287">
        <f>'毛利-收入组成'!BB54/'GMV表-商品大类'!R57</f>
        <v>0.0366903477178827</v>
      </c>
      <c r="S54" s="287">
        <f>'毛利-收入组成'!BC54/'GMV表-商品大类'!S57</f>
        <v>0.0182428568881626</v>
      </c>
      <c r="T54" s="287">
        <f>'毛利-收入组成'!BD54/'GMV表-商品大类'!T57</f>
        <v>0.0237937700866636</v>
      </c>
      <c r="V54" s="295" t="s">
        <v>267</v>
      </c>
      <c r="W54" s="296">
        <f>'毛利-收入组成'!AL54/'GMV表-商品大类'!P57</f>
        <v>0.0400599107368434</v>
      </c>
      <c r="X54" s="296">
        <f>'毛利-收入组成'!AM54/'GMV表-商品大类'!Q57</f>
        <v>0.0133170314760957</v>
      </c>
      <c r="Y54" s="296">
        <f>'毛利-收入组成'!AN54/'GMV表-商品大类'!R57</f>
        <v>0.0514338083037086</v>
      </c>
      <c r="Z54" s="296">
        <f>'毛利-收入组成'!AO54/'GMV表-商品大类'!S57</f>
        <v>0.0225745258585115</v>
      </c>
      <c r="AA54" s="296">
        <f>'毛利-收入组成'!AP54/'GMV表-商品大类'!T57</f>
        <v>0.0350621250223164</v>
      </c>
      <c r="AB54" s="21"/>
    </row>
    <row r="55" spans="1:28">
      <c r="A55" s="291">
        <v>45413</v>
      </c>
      <c r="B55" s="231">
        <f>'毛利-收入组成'!B55/'GMV表-商品大类'!B58</f>
        <v>0.0335411564833696</v>
      </c>
      <c r="C55" s="231">
        <f>'毛利-收入组成'!C55/'GMV表-商品大类'!C58</f>
        <v>0.00378624838962948</v>
      </c>
      <c r="D55" s="231">
        <f>'毛利-收入组成'!D55/'GMV表-商品大类'!D58</f>
        <v>0.0190750148616894</v>
      </c>
      <c r="E55" s="231">
        <f>'毛利-收入组成'!E55/'GMV表-商品大类'!E58</f>
        <v>0.00878082117297387</v>
      </c>
      <c r="F55" s="231">
        <f>'毛利-收入组成'!F55/'GMV表-商品大类'!F58</f>
        <v>0.0171033925436988</v>
      </c>
      <c r="H55" s="292">
        <v>45413</v>
      </c>
      <c r="I55" s="231">
        <f>'毛利-收入组成'!I55/'GMV表-商品大类'!I58</f>
        <v>0.0338218047325304</v>
      </c>
      <c r="J55" s="231">
        <f>IFERROR('毛利-收入组成'!J55/'GMV表-商品大类'!J58,0)</f>
        <v>0</v>
      </c>
      <c r="K55" s="231">
        <f>'毛利-收入组成'!K55/'GMV表-商品大类'!K58</f>
        <v>0.118501964630761</v>
      </c>
      <c r="L55" s="231">
        <f>IFERROR('毛利-收入组成'!L55/'GMV表-商品大类'!L58,0)</f>
        <v>0.0419481717070967</v>
      </c>
      <c r="M55" s="231">
        <f>'毛利-收入组成'!M55/'GMV表-商品大类'!M58</f>
        <v>0.080081496977826</v>
      </c>
      <c r="O55" s="295" t="s">
        <v>268</v>
      </c>
      <c r="P55" s="287">
        <f>'毛利-收入组成'!AZ55/'GMV表-商品大类'!P58</f>
        <v>0.0201899457578179</v>
      </c>
      <c r="Q55" s="287">
        <f>'毛利-收入组成'!BA55/'GMV表-商品大类'!Q58</f>
        <v>0.012759946705537</v>
      </c>
      <c r="R55" s="287">
        <f>'毛利-收入组成'!BB55/'GMV表-商品大类'!R58</f>
        <v>0.0323118284143219</v>
      </c>
      <c r="S55" s="287">
        <f>'毛利-收入组成'!BC55/'GMV表-商品大类'!S58</f>
        <v>0.0163643893467057</v>
      </c>
      <c r="T55" s="287">
        <f>'毛利-收入组成'!BD55/'GMV表-商品大类'!T58</f>
        <v>0.0224365579592373</v>
      </c>
      <c r="V55" s="295" t="s">
        <v>268</v>
      </c>
      <c r="W55" s="296">
        <f>'毛利-收入组成'!AL55/'GMV表-商品大类'!P58</f>
        <v>0.0414313647153782</v>
      </c>
      <c r="X55" s="296">
        <f>'毛利-收入组成'!AM55/'GMV表-商品大类'!Q58</f>
        <v>0.0115090782522879</v>
      </c>
      <c r="Y55" s="296">
        <f>'毛利-收入组成'!AN55/'GMV表-商品大类'!R58</f>
        <v>0.0502022787961083</v>
      </c>
      <c r="Z55" s="296">
        <f>'毛利-收入组成'!AO55/'GMV表-商品大类'!S58</f>
        <v>0.0201786971125247</v>
      </c>
      <c r="AA55" s="296">
        <f>'毛利-收入组成'!AP55/'GMV表-商品大类'!T58</f>
        <v>0.0343567617901547</v>
      </c>
      <c r="AB55" s="21"/>
    </row>
    <row r="56" spans="1:28">
      <c r="A56" s="291">
        <v>45444</v>
      </c>
      <c r="B56" s="231">
        <f>'毛利-收入组成'!B56/'GMV表-商品大类'!B59</f>
        <v>0.0104931404384548</v>
      </c>
      <c r="C56" s="231">
        <f>'毛利-收入组成'!C56/'GMV表-商品大类'!C59</f>
        <v>0.0113307824457086</v>
      </c>
      <c r="D56" s="231">
        <f>'毛利-收入组成'!D56/'GMV表-商品大类'!D59</f>
        <v>0.0134432091893734</v>
      </c>
      <c r="E56" s="231">
        <f>'毛利-收入组成'!E56/'GMV表-商品大类'!E59</f>
        <v>0.0168100663963608</v>
      </c>
      <c r="F56" s="231">
        <f>'毛利-收入组成'!F56/'GMV表-商品大类'!F59</f>
        <v>0.014036941340558</v>
      </c>
      <c r="H56" s="292">
        <v>45444</v>
      </c>
      <c r="I56" s="231">
        <f>'毛利-收入组成'!I56/'GMV表-商品大类'!I59</f>
        <v>0.0335642089456965</v>
      </c>
      <c r="J56" s="231">
        <f>IFERROR('毛利-收入组成'!J56/'GMV表-商品大类'!J59,0)</f>
        <v>0</v>
      </c>
      <c r="K56" s="231">
        <f>'毛利-收入组成'!K56/'GMV表-商品大类'!K59</f>
        <v>0.033644863256185</v>
      </c>
      <c r="L56" s="231">
        <f>IFERROR('毛利-收入组成'!L56/'GMV表-商品大类'!L59,0)</f>
        <v>0.0501629619521637</v>
      </c>
      <c r="M56" s="231">
        <f>'毛利-收入组成'!M56/'GMV表-商品大类'!M59</f>
        <v>0.0342196313970923</v>
      </c>
      <c r="O56" s="295" t="s">
        <v>269</v>
      </c>
      <c r="P56" s="287">
        <f>'毛利-收入组成'!AZ56/'GMV表-商品大类'!P59</f>
        <v>0.018318443879968</v>
      </c>
      <c r="Q56" s="287">
        <f>'毛利-收入组成'!BA56/'GMV表-商品大类'!Q59</f>
        <v>0.0126753966923156</v>
      </c>
      <c r="R56" s="287">
        <f>'毛利-收入组成'!BB56/'GMV表-商品大类'!R59</f>
        <v>0.0280776366282125</v>
      </c>
      <c r="S56" s="287">
        <f>'毛利-收入组成'!BC56/'GMV表-商品大类'!S59</f>
        <v>0.0164472367943192</v>
      </c>
      <c r="T56" s="287">
        <f>'毛利-收入组成'!BD56/'GMV表-商品大类'!T59</f>
        <v>0.0208056001947424</v>
      </c>
      <c r="V56" s="295" t="s">
        <v>269</v>
      </c>
      <c r="W56" s="296">
        <f>'毛利-收入组成'!AL56/'GMV表-商品大类'!P59</f>
        <v>0.0398596722472708</v>
      </c>
      <c r="X56" s="296">
        <f>'毛利-收入组成'!AM56/'GMV表-商品大类'!Q59</f>
        <v>0.0119685084382096</v>
      </c>
      <c r="Y56" s="296">
        <f>'毛利-收入组成'!AN56/'GMV表-商品大类'!R59</f>
        <v>0.0437486870456842</v>
      </c>
      <c r="Z56" s="296">
        <f>'毛利-收入组成'!AO56/'GMV表-商品大类'!S59</f>
        <v>0.0202698800866559</v>
      </c>
      <c r="AA56" s="296">
        <f>'毛利-收入组成'!AP56/'GMV表-商品大类'!T59</f>
        <v>0.0322534590518699</v>
      </c>
      <c r="AB56" s="21"/>
    </row>
    <row r="57" spans="1:28">
      <c r="A57" s="291">
        <v>45474</v>
      </c>
      <c r="B57" s="231">
        <f>'毛利-收入组成'!B57/'GMV表-商品大类'!B60</f>
        <v>0.0174687651000563</v>
      </c>
      <c r="C57" s="231">
        <f>'毛利-收入组成'!C57/'GMV表-商品大类'!C60</f>
        <v>0.00765845266245582</v>
      </c>
      <c r="D57" s="231">
        <f>'毛利-收入组成'!D57/'GMV表-商品大类'!D60</f>
        <v>0.0420341504254118</v>
      </c>
      <c r="E57" s="231">
        <f>'毛利-收入组成'!E57/'GMV表-商品大类'!E60</f>
        <v>0.029861988052847</v>
      </c>
      <c r="F57" s="231">
        <f>'毛利-收入组成'!F57/'GMV表-商品大类'!F60</f>
        <v>0.0298433536811908</v>
      </c>
      <c r="H57" s="292">
        <v>45474</v>
      </c>
      <c r="I57" s="231">
        <f>'毛利-收入组成'!I57/'GMV表-商品大类'!I60</f>
        <v>0.0240770559213102</v>
      </c>
      <c r="J57" s="231">
        <f>IFERROR('毛利-收入组成'!J57/'GMV表-商品大类'!J60,0)</f>
        <v>0</v>
      </c>
      <c r="K57" s="231">
        <f>'毛利-收入组成'!K57/'GMV表-商品大类'!K60</f>
        <v>0.0765507542194792</v>
      </c>
      <c r="L57" s="231">
        <f>IFERROR('毛利-收入组成'!L57/'GMV表-商品大类'!L60,0)</f>
        <v>0.0826958569792134</v>
      </c>
      <c r="M57" s="231">
        <f>'毛利-收入组成'!M57/'GMV表-商品大类'!M60</f>
        <v>0.047230512016628</v>
      </c>
      <c r="O57" s="295" t="s">
        <v>270</v>
      </c>
      <c r="P57" s="287">
        <f>'毛利-收入组成'!AZ57/'GMV表-商品大类'!P60</f>
        <v>0.0181512074443011</v>
      </c>
      <c r="Q57" s="287">
        <f>'毛利-收入组成'!BA57/'GMV表-商品大类'!Q60</f>
        <v>0.0123813018927188</v>
      </c>
      <c r="R57" s="287">
        <f>'毛利-收入组成'!BB57/'GMV表-商品大类'!R60</f>
        <v>0.0299819779632951</v>
      </c>
      <c r="S57" s="287">
        <f>'毛利-收入组成'!BC57/'GMV表-商品大类'!S60</f>
        <v>0.0187698929385408</v>
      </c>
      <c r="T57" s="287">
        <f>'毛利-收入组成'!BD57/'GMV表-商品大类'!T60</f>
        <v>0.0222486352560588</v>
      </c>
      <c r="V57" s="295" t="s">
        <v>270</v>
      </c>
      <c r="W57" s="296">
        <f>'毛利-收入组成'!AL57/'GMV表-商品大类'!P60</f>
        <v>0.0363077857848688</v>
      </c>
      <c r="X57" s="296">
        <f>'毛利-收入组成'!AM57/'GMV表-商品大类'!Q60</f>
        <v>0.0107528635174669</v>
      </c>
      <c r="Y57" s="296">
        <f>'毛利-收入组成'!AN57/'GMV表-商品大类'!R60</f>
        <v>0.0443673463934079</v>
      </c>
      <c r="Z57" s="296">
        <f>'毛利-收入组成'!AO57/'GMV表-商品大类'!S60</f>
        <v>0.0232911677974885</v>
      </c>
      <c r="AA57" s="296">
        <f>'毛利-收入组成'!AP57/'GMV表-商品大类'!T60</f>
        <v>0.0328283753988914</v>
      </c>
      <c r="AB57" s="21"/>
    </row>
    <row r="58" spans="1:28">
      <c r="A58" s="291">
        <v>45505</v>
      </c>
      <c r="B58" s="231">
        <f>'毛利-收入组成'!B58/'GMV表-商品大类'!B61</f>
        <v>0.0281155286207626</v>
      </c>
      <c r="C58" s="231">
        <f>'毛利-收入组成'!C58/'GMV表-商品大类'!C61</f>
        <v>0.00670886555569273</v>
      </c>
      <c r="D58" s="231">
        <f>'毛利-收入组成'!D58/'GMV表-商品大类'!D61</f>
        <v>0.01725040845546</v>
      </c>
      <c r="E58" s="231">
        <f>'毛利-收入组成'!E58/'GMV表-商品大类'!E61</f>
        <v>0.0198640518541174</v>
      </c>
      <c r="F58" s="231">
        <f>'毛利-收入组成'!F58/'GMV表-商品大类'!F61</f>
        <v>0.0196463841196826</v>
      </c>
      <c r="H58" s="292">
        <v>45505</v>
      </c>
      <c r="I58" s="231">
        <f>'毛利-收入组成'!I58/'GMV表-商品大类'!I61</f>
        <v>0.0297132335951604</v>
      </c>
      <c r="J58" s="231">
        <f>IFERROR('毛利-收入组成'!J58/'GMV表-商品大类'!J61,0)</f>
        <v>0</v>
      </c>
      <c r="K58" s="231">
        <f>'毛利-收入组成'!K58/'GMV表-商品大类'!K61</f>
        <v>0.0585900020299913</v>
      </c>
      <c r="L58" s="231">
        <f>IFERROR('毛利-收入组成'!L58/'GMV表-商品大类'!L61,0)</f>
        <v>0.0937296901617194</v>
      </c>
      <c r="M58" s="231">
        <f>'毛利-收入组成'!M58/'GMV表-商品大类'!M61</f>
        <v>0.0408500769833171</v>
      </c>
      <c r="O58" s="295" t="s">
        <v>271</v>
      </c>
      <c r="P58" s="287">
        <f>'毛利-收入组成'!AZ58/'GMV表-商品大类'!P61</f>
        <v>0.0191040881083069</v>
      </c>
      <c r="Q58" s="287">
        <f>'毛利-收入组成'!BA58/'GMV表-商品大类'!Q61</f>
        <v>0.0118648833115332</v>
      </c>
      <c r="R58" s="287">
        <f>'毛利-收入组成'!BB58/'GMV表-商品大类'!R61</f>
        <v>0.0281621470719086</v>
      </c>
      <c r="S58" s="287">
        <f>'毛利-收入组成'!BC58/'GMV表-商品大类'!S61</f>
        <v>0.0189176775420087</v>
      </c>
      <c r="T58" s="287">
        <f>'毛利-收入组成'!BD58/'GMV表-商品大类'!T61</f>
        <v>0.0219164136993887</v>
      </c>
      <c r="V58" s="295" t="s">
        <v>271</v>
      </c>
      <c r="W58" s="296">
        <f>'毛利-收入组成'!AL58/'GMV表-商品大类'!P61</f>
        <v>0.0371313710560264</v>
      </c>
      <c r="X58" s="296">
        <f>'毛利-收入组成'!AM58/'GMV表-商品大类'!Q61</f>
        <v>0.0101341337944858</v>
      </c>
      <c r="Y58" s="296">
        <f>'毛利-收入组成'!AN58/'GMV表-商品大类'!R61</f>
        <v>0.044509313005847</v>
      </c>
      <c r="Z58" s="296">
        <f>'毛利-收入组成'!AO58/'GMV表-商品大类'!S61</f>
        <v>0.0234062704793936</v>
      </c>
      <c r="AA58" s="296">
        <f>'毛利-收入组成'!AP58/'GMV表-商品大类'!T61</f>
        <v>0.0331221385024184</v>
      </c>
      <c r="AB58" s="21"/>
    </row>
    <row r="59" spans="1:28">
      <c r="A59" s="291">
        <v>45536</v>
      </c>
      <c r="B59" s="231">
        <f>'毛利-收入组成'!B59/'GMV表-商品大类'!B62</f>
        <v>0.0374875822484492</v>
      </c>
      <c r="C59" s="231">
        <f>'毛利-收入组成'!C59/'GMV表-商品大类'!C62</f>
        <v>0.0402272486609601</v>
      </c>
      <c r="D59" s="231">
        <f>'毛利-收入组成'!D59/'GMV表-商品大类'!D62</f>
        <v>0.0132715096795047</v>
      </c>
      <c r="E59" s="231">
        <f>'毛利-收入组成'!E59/'GMV表-商品大类'!E62</f>
        <v>0.025085766161387</v>
      </c>
      <c r="F59" s="231">
        <f>'毛利-收入组成'!F59/'GMV表-商品大类'!F62</f>
        <v>0.0221351928264798</v>
      </c>
      <c r="H59" s="292">
        <v>45536</v>
      </c>
      <c r="I59" s="231">
        <f>'毛利-收入组成'!I59/'GMV表-商品大类'!I62</f>
        <v>0.0421750017904161</v>
      </c>
      <c r="J59" s="231">
        <f>IFERROR('毛利-收入组成'!J59/'GMV表-商品大类'!J62,0)</f>
        <v>0</v>
      </c>
      <c r="K59" s="231">
        <f>'毛利-收入组成'!K59/'GMV表-商品大类'!K62</f>
        <v>0.0623489419985138</v>
      </c>
      <c r="L59" s="231">
        <f>IFERROR('毛利-收入组成'!L59/'GMV表-商品大类'!L62,0)</f>
        <v>0.0249764556286599</v>
      </c>
      <c r="M59" s="231">
        <f>'毛利-收入组成'!M59/'GMV表-商品大类'!M62</f>
        <v>0.0420231954700633</v>
      </c>
      <c r="O59" s="295" t="s">
        <v>272</v>
      </c>
      <c r="P59" s="287">
        <f>'毛利-收入组成'!AZ59/'GMV表-商品大类'!P62</f>
        <v>0.0202093797860093</v>
      </c>
      <c r="Q59" s="287">
        <f>'毛利-收入组成'!BA59/'GMV表-商品大类'!Q62</f>
        <v>0.013115073985504</v>
      </c>
      <c r="R59" s="287">
        <f>'毛利-收入组成'!BB59/'GMV表-商品大类'!R62</f>
        <v>0.0266956994999152</v>
      </c>
      <c r="S59" s="287">
        <f>'毛利-收入组成'!BC59/'GMV表-商品大类'!S62</f>
        <v>0.0194263417015517</v>
      </c>
      <c r="T59" s="287">
        <f>'毛利-收入组成'!BD59/'GMV表-商品大类'!T62</f>
        <v>0.0219343620275426</v>
      </c>
      <c r="V59" s="295" t="s">
        <v>272</v>
      </c>
      <c r="W59" s="296">
        <f>'毛利-收入组成'!AL59/'GMV表-商品大类'!P62</f>
        <v>0.0379294357675929</v>
      </c>
      <c r="X59" s="296">
        <f>'毛利-收入组成'!AM59/'GMV表-商品大类'!Q62</f>
        <v>0.014557291075343</v>
      </c>
      <c r="Y59" s="296">
        <f>'毛利-收入组成'!AN59/'GMV表-商品大类'!R62</f>
        <v>0.0423616512135179</v>
      </c>
      <c r="Z59" s="296">
        <f>'毛利-收入组成'!AO59/'GMV表-商品大类'!S62</f>
        <v>0.0241247782759904</v>
      </c>
      <c r="AA59" s="296">
        <f>'毛利-收入组成'!AP59/'GMV表-商品大类'!T62</f>
        <v>0.033081756300237</v>
      </c>
      <c r="AB59" s="21"/>
    </row>
    <row r="60" spans="1:28">
      <c r="A60" s="291">
        <v>45566</v>
      </c>
      <c r="B60" s="231">
        <f>'毛利-收入组成'!B60/'GMV表-商品大类'!B63</f>
        <v>0.055687198361906</v>
      </c>
      <c r="C60" s="231">
        <f>'毛利-收入组成'!C60/'GMV表-商品大类'!C63</f>
        <v>-0.00540744091311061</v>
      </c>
      <c r="D60" s="231">
        <f>'毛利-收入组成'!D60/'GMV表-商品大类'!D63</f>
        <v>0.006268844503232</v>
      </c>
      <c r="E60" s="231">
        <f>'毛利-收入组成'!E60/'GMV表-商品大类'!E63</f>
        <v>0.0260773971279864</v>
      </c>
      <c r="F60" s="231">
        <f>'毛利-收入组成'!F60/'GMV表-商品大类'!F63</f>
        <v>0.0221011532314841</v>
      </c>
      <c r="H60" s="292">
        <v>45566</v>
      </c>
      <c r="I60" s="231">
        <f>'毛利-收入组成'!I60/'GMV表-商品大类'!I63</f>
        <v>0.0386457824057541</v>
      </c>
      <c r="J60" s="231">
        <f>IFERROR('毛利-收入组成'!J60/'GMV表-商品大类'!J63,0)</f>
        <v>0</v>
      </c>
      <c r="K60" s="231">
        <f>'毛利-收入组成'!K60/'GMV表-商品大类'!K63</f>
        <v>0.0420331845572614</v>
      </c>
      <c r="L60" s="231">
        <f>IFERROR('毛利-收入组成'!L60/'GMV表-商品大类'!L63,0)</f>
        <v>0.196915088017956</v>
      </c>
      <c r="M60" s="231">
        <f>'毛利-收入组成'!M60/'GMV表-商品大类'!M63</f>
        <v>0.0462512773533971</v>
      </c>
      <c r="O60" s="295" t="s">
        <v>273</v>
      </c>
      <c r="P60" s="287">
        <f>'毛利-收入组成'!AZ60/'GMV表-商品大类'!P63</f>
        <v>0.0224386616090406</v>
      </c>
      <c r="Q60" s="287">
        <f>'毛利-收入组成'!BA60/'GMV表-商品大类'!Q63</f>
        <v>0.0125346609466528</v>
      </c>
      <c r="R60" s="287">
        <f>'毛利-收入组成'!BB60/'GMV表-商品大类'!R63</f>
        <v>0.0248406294413457</v>
      </c>
      <c r="S60" s="287">
        <f>'毛利-收入组成'!BC60/'GMV表-商品大类'!S63</f>
        <v>0.0200556148072141</v>
      </c>
      <c r="T60" s="287">
        <f>'毛利-收入组成'!BD60/'GMV表-商品大类'!T63</f>
        <v>0.0219484149461006</v>
      </c>
      <c r="V60" s="295" t="s">
        <v>273</v>
      </c>
      <c r="W60" s="296">
        <f>'毛利-收入组成'!AL60/'GMV表-商品大类'!P63</f>
        <v>0.0396991697915674</v>
      </c>
      <c r="X60" s="296">
        <f>'毛利-收入组成'!AM60/'GMV表-商品大类'!Q63</f>
        <v>0.0150484191600491</v>
      </c>
      <c r="Y60" s="296">
        <f>'毛利-收入组成'!AN60/'GMV表-商品大类'!R63</f>
        <v>0.0410042392190243</v>
      </c>
      <c r="Z60" s="296">
        <f>'毛利-收入组成'!AO60/'GMV表-商品大类'!S63</f>
        <v>0.0246745282613966</v>
      </c>
      <c r="AA60" s="296">
        <f>'毛利-收入组成'!AP60/'GMV表-商品大类'!T63</f>
        <v>0.0331794354344661</v>
      </c>
      <c r="AB60" s="21"/>
    </row>
    <row r="61" spans="1:28">
      <c r="A61" s="291">
        <v>45597</v>
      </c>
      <c r="B61" s="231">
        <f>'毛利-收入组成'!B61/'GMV表-商品大类'!B64</f>
        <v>0.0337290228725057</v>
      </c>
      <c r="C61" s="231">
        <f>'毛利-收入组成'!C61/'GMV表-商品大类'!C64</f>
        <v>0.0309552660865406</v>
      </c>
      <c r="D61" s="231">
        <f>'毛利-收入组成'!D61/'GMV表-商品大类'!D64</f>
        <v>0.00688168876211031</v>
      </c>
      <c r="E61" s="231">
        <f>'毛利-收入组成'!E61/'GMV表-商品大类'!E64</f>
        <v>0.0174959048701592</v>
      </c>
      <c r="F61" s="231">
        <f>'毛利-收入组成'!F61/'GMV表-商品大类'!F64</f>
        <v>0.0154727398514346</v>
      </c>
      <c r="H61" s="292">
        <v>45597</v>
      </c>
      <c r="I61" s="231">
        <f>'毛利-收入组成'!I61/'GMV表-商品大类'!I64</f>
        <v>0.044425143865325</v>
      </c>
      <c r="J61" s="231">
        <f>IFERROR('毛利-收入组成'!J61/'GMV表-商品大类'!J64,0)</f>
        <v>0</v>
      </c>
      <c r="K61" s="231">
        <f>'毛利-收入组成'!K61/'GMV表-商品大类'!K64</f>
        <v>0.0666435096731948</v>
      </c>
      <c r="L61" s="231">
        <f>IFERROR('毛利-收入组成'!L61/'GMV表-商品大类'!L64,0)</f>
        <v>0.137881147069971</v>
      </c>
      <c r="M61" s="231">
        <f>'毛利-收入组成'!M61/'GMV表-商品大类'!M64</f>
        <v>0.0619928708910036</v>
      </c>
      <c r="O61" s="295" t="s">
        <v>274</v>
      </c>
      <c r="P61" s="287">
        <f>'毛利-收入组成'!AZ61/'GMV表-商品大类'!P64</f>
        <v>0.023106781010896</v>
      </c>
      <c r="Q61" s="287">
        <f>'毛利-收入组成'!BA61/'GMV表-商品大类'!Q64</f>
        <v>0.0129491988554845</v>
      </c>
      <c r="R61" s="287">
        <f>'毛利-收入组成'!BB61/'GMV表-商品大类'!R64</f>
        <v>0.0231915400853161</v>
      </c>
      <c r="S61" s="287">
        <f>'毛利-收入组成'!BC61/'GMV表-商品大类'!S64</f>
        <v>0.0198312194778465</v>
      </c>
      <c r="T61" s="287">
        <f>'毛利-收入组成'!BD61/'GMV表-商品大类'!T64</f>
        <v>0.0214232547662852</v>
      </c>
      <c r="V61" s="295" t="s">
        <v>274</v>
      </c>
      <c r="W61" s="296">
        <f>'毛利-收入组成'!AL61/'GMV表-商品大类'!P64</f>
        <v>0.0409917913595403</v>
      </c>
      <c r="X61" s="296">
        <f>'毛利-收入组成'!AM61/'GMV表-商品大类'!Q64</f>
        <v>0.0175133332972521</v>
      </c>
      <c r="Y61" s="296">
        <f>'毛利-收入组成'!AN61/'GMV表-商品大类'!R64</f>
        <v>0.0403708642887313</v>
      </c>
      <c r="Z61" s="296">
        <f>'毛利-收入组成'!AO61/'GMV表-商品大类'!S64</f>
        <v>0.0244659229086894</v>
      </c>
      <c r="AA61" s="296">
        <f>'毛利-收入组成'!AP61/'GMV表-商品大类'!T64</f>
        <v>0.0332367259729953</v>
      </c>
      <c r="AB61" s="21"/>
    </row>
    <row r="62" spans="1:28">
      <c r="A62" s="291">
        <v>45627</v>
      </c>
      <c r="B62" s="231">
        <f>'毛利-收入组成'!B62/'GMV表-商品大类'!B65</f>
        <v>0.0772575544991068</v>
      </c>
      <c r="C62" s="231">
        <f>'毛利-收入组成'!C62/'GMV表-商品大类'!C65</f>
        <v>0.00398633888765952</v>
      </c>
      <c r="D62" s="231">
        <f>'毛利-收入组成'!D62/'GMV表-商品大类'!D65</f>
        <v>-0.00175971480145209</v>
      </c>
      <c r="E62" s="231">
        <f>'毛利-收入组成'!E62/'GMV表-商品大类'!E65</f>
        <v>0.0535456008933113</v>
      </c>
      <c r="F62" s="231">
        <f>'毛利-收入组成'!F62/'GMV表-商品大类'!F65</f>
        <v>0.0308451524168974</v>
      </c>
      <c r="H62" s="292">
        <v>45627</v>
      </c>
      <c r="I62" s="231">
        <f>'毛利-收入组成'!I62/'GMV表-商品大类'!I65</f>
        <v>0.175739249753111</v>
      </c>
      <c r="J62" s="231">
        <f>IFERROR('毛利-收入组成'!J62/'GMV表-商品大类'!J65,0)</f>
        <v>0</v>
      </c>
      <c r="K62" s="231">
        <f>'毛利-收入组成'!K62/'GMV表-商品大类'!K65</f>
        <v>0.0515497790958797</v>
      </c>
      <c r="L62" s="231">
        <f>IFERROR('毛利-收入组成'!L62/'GMV表-商品大类'!L65,0)</f>
        <v>0.174119361455383</v>
      </c>
      <c r="M62" s="231">
        <f>'毛利-收入组成'!M62/'GMV表-商品大类'!M65</f>
        <v>0.123703751951374</v>
      </c>
      <c r="O62" s="295" t="s">
        <v>275</v>
      </c>
      <c r="P62" s="287">
        <f>'毛利-收入组成'!AZ62/'GMV表-商品大类'!P65</f>
        <v>0.0249884065448967</v>
      </c>
      <c r="Q62" s="287">
        <f>'毛利-收入组成'!BA62/'GMV表-商品大类'!Q65</f>
        <v>0.0127741009390054</v>
      </c>
      <c r="R62" s="287">
        <f>'毛利-收入组成'!BB62/'GMV表-商品大类'!R65</f>
        <v>0.0224452749667441</v>
      </c>
      <c r="S62" s="287">
        <f>'毛利-收入组成'!BC62/'GMV表-商品大类'!S65</f>
        <v>0.0226733573591613</v>
      </c>
      <c r="T62" s="287">
        <f>'毛利-收入组成'!BD62/'GMV表-商品大类'!T65</f>
        <v>0.0226344450837779</v>
      </c>
      <c r="V62" s="295" t="s">
        <v>275</v>
      </c>
      <c r="W62" s="296">
        <f>'毛利-收入组成'!AL62/'GMV表-商品大类'!P65</f>
        <v>0.0463926754394308</v>
      </c>
      <c r="X62" s="296">
        <f>'毛利-收入组成'!AM62/'GMV表-商品大类'!Q65</f>
        <v>0.0172009164018954</v>
      </c>
      <c r="Y62" s="296">
        <f>'毛利-收入组成'!AN62/'GMV表-商品大类'!R65</f>
        <v>0.037256778377546</v>
      </c>
      <c r="Z62" s="296">
        <f>'毛利-收入组成'!AO62/'GMV表-商品大类'!S65</f>
        <v>0.0272456852745711</v>
      </c>
      <c r="AA62" s="296">
        <f>'毛利-收入组成'!AP62/'GMV表-商品大类'!T65</f>
        <v>0.0341397512698011</v>
      </c>
      <c r="AB62" s="21"/>
    </row>
    <row r="63" spans="1:28">
      <c r="A63" s="293">
        <v>45658</v>
      </c>
      <c r="B63" s="231">
        <f>'毛利-收入组成'!B63/'GMV表-商品大类'!B66</f>
        <v>0.0437539989462828</v>
      </c>
      <c r="C63" s="231">
        <f>'毛利-收入组成'!C63/'GMV表-商品大类'!C66</f>
        <v>0.00514658962689348</v>
      </c>
      <c r="D63" s="231">
        <f>'毛利-收入组成'!D63/'GMV表-商品大类'!D66</f>
        <v>0.0169736963285629</v>
      </c>
      <c r="E63" s="231">
        <f>'毛利-收入组成'!E63/'GMV表-商品大类'!E66</f>
        <v>0.0135660864675336</v>
      </c>
      <c r="F63" s="231">
        <f>'毛利-收入组成'!F63/'GMV表-商品大类'!F66</f>
        <v>0.0196323843093001</v>
      </c>
      <c r="H63" s="292">
        <v>45658</v>
      </c>
      <c r="I63" s="231">
        <f>'毛利-收入组成'!I63/'GMV表-商品大类'!I66</f>
        <v>0.0295958882998086</v>
      </c>
      <c r="J63" s="231" t="e">
        <f>'毛利-收入组成'!J63/'GMV表-商品大类'!J66</f>
        <v>#DIV/0!</v>
      </c>
      <c r="K63" s="231">
        <f>'毛利-收入组成'!K63/'GMV表-商品大类'!K66</f>
        <v>0.0360607953440434</v>
      </c>
      <c r="L63" s="231">
        <f>'毛利-收入组成'!L63/'GMV表-商品大类'!L66</f>
        <v>0.0281509481820408</v>
      </c>
      <c r="M63" s="231">
        <f>'毛利-收入组成'!M63/'GMV表-商品大类'!M66</f>
        <v>0.0315018652059905</v>
      </c>
      <c r="O63" s="295" t="s">
        <v>276</v>
      </c>
      <c r="P63" s="287">
        <f>'毛利-收入组成'!AZ63/'GMV表-商品大类'!P66</f>
        <v>0.0437539989462828</v>
      </c>
      <c r="Q63" s="287">
        <f>'毛利-收入组成'!BA63/'GMV表-商品大类'!Q66</f>
        <v>0.00514658962689348</v>
      </c>
      <c r="R63" s="287">
        <f>'毛利-收入组成'!BB63/'GMV表-商品大类'!R66</f>
        <v>0.0169736963285629</v>
      </c>
      <c r="S63" s="287">
        <f>'毛利-收入组成'!BC63/'GMV表-商品大类'!S66</f>
        <v>0.0135660864675336</v>
      </c>
      <c r="T63" s="287">
        <f>'毛利-收入组成'!BD63/'GMV表-商品大类'!T66</f>
        <v>0.0196323843093001</v>
      </c>
      <c r="V63" s="295" t="s">
        <v>276</v>
      </c>
      <c r="W63" s="296">
        <f>'毛利-收入组成'!AL63/'GMV表-商品大类'!P66</f>
        <v>0.0536568212028174</v>
      </c>
      <c r="X63" s="296">
        <f>'毛利-收入组成'!AM63/'GMV表-商品大类'!Q66</f>
        <v>0.0275584074308936</v>
      </c>
      <c r="Y63" s="296">
        <f>'毛利-收入组成'!AN63/'GMV表-商品大类'!R66</f>
        <v>0.0308016742959673</v>
      </c>
      <c r="Z63" s="296">
        <f>'毛利-收入组成'!AO63/'GMV表-商品大类'!S66</f>
        <v>0.0212645455125934</v>
      </c>
      <c r="AA63" s="296">
        <f>'毛利-收入组成'!AP63/'GMV表-商品大类'!T66</f>
        <v>0.0296935014811999</v>
      </c>
      <c r="AB63" s="21"/>
    </row>
    <row r="64" spans="1:28">
      <c r="A64" s="293">
        <v>45689</v>
      </c>
      <c r="B64" s="231">
        <f>'毛利-收入组成'!B64/'GMV表-商品大类'!B67</f>
        <v>0.0334176770233472</v>
      </c>
      <c r="C64" s="231">
        <f>'毛利-收入组成'!C64/'GMV表-商品大类'!C67</f>
        <v>0.0065674588415628</v>
      </c>
      <c r="D64" s="231">
        <f>'毛利-收入组成'!D64/'GMV表-商品大类'!D67</f>
        <v>0.0191491830762208</v>
      </c>
      <c r="E64" s="231">
        <f>'毛利-收入组成'!E64/'GMV表-商品大类'!E67</f>
        <v>0.0437048139729559</v>
      </c>
      <c r="F64" s="231">
        <f>'毛利-收入组成'!F64/'GMV表-商品大类'!F67</f>
        <v>0.0334092188690001</v>
      </c>
      <c r="H64" s="292">
        <v>45689</v>
      </c>
      <c r="I64" s="231">
        <f>'毛利-收入组成'!I64/'GMV表-商品大类'!I67</f>
        <v>0.0261958354020645</v>
      </c>
      <c r="J64" s="231" t="e">
        <f>'毛利-收入组成'!J64/'GMV表-商品大类'!J67</f>
        <v>#DIV/0!</v>
      </c>
      <c r="K64" s="231">
        <f>'毛利-收入组成'!K64/'GMV表-商品大类'!K67</f>
        <v>0.0466570295774744</v>
      </c>
      <c r="L64" s="231">
        <f>'毛利-收入组成'!L64/'GMV表-商品大类'!L67</f>
        <v>0.0321034150297543</v>
      </c>
      <c r="M64" s="231">
        <f>'毛利-收入组成'!M64/'GMV表-商品大类'!M67</f>
        <v>0.0333549095802924</v>
      </c>
      <c r="O64" s="295" t="s">
        <v>277</v>
      </c>
      <c r="P64" s="287">
        <f>'毛利-收入组成'!AZ64/'GMV表-商品大类'!P67</f>
        <v>0.0401902261889742</v>
      </c>
      <c r="Q64" s="287">
        <f>'毛利-收入组成'!BA64/'GMV表-商品大类'!Q67</f>
        <v>0.00594849050326219</v>
      </c>
      <c r="R64" s="287">
        <f>'毛利-收入组成'!BB64/'GMV表-商品大类'!R67</f>
        <v>0.0180138757501391</v>
      </c>
      <c r="S64" s="287">
        <f>'毛利-收入组成'!BC64/'GMV表-商品大类'!S67</f>
        <v>0.0268967827862307</v>
      </c>
      <c r="T64" s="287">
        <f>'毛利-收入组成'!BD64/'GMV表-商品大类'!T67</f>
        <v>0.0257121638954811</v>
      </c>
      <c r="V64" s="295" t="s">
        <v>277</v>
      </c>
      <c r="W64" s="296">
        <f>'毛利-收入组成'!AL64/'GMV表-商品大类'!P67</f>
        <v>0.0595888439923192</v>
      </c>
      <c r="X64" s="296">
        <f>'毛利-收入组成'!AM64/'GMV表-商品大类'!Q67</f>
        <v>0.0213565740765409</v>
      </c>
      <c r="Y64" s="296">
        <f>'毛利-收入组成'!AN64/'GMV表-商品大类'!R67</f>
        <v>0.0337293488770019</v>
      </c>
      <c r="Z64" s="296">
        <f>'毛利-收入组成'!AO64/'GMV表-商品大类'!S67</f>
        <v>0.0366786594871122</v>
      </c>
      <c r="AA64" s="296">
        <f>'毛利-收入组成'!AP64/'GMV表-商品大类'!T67</f>
        <v>0.0388506850412957</v>
      </c>
      <c r="AB64" s="21"/>
    </row>
    <row r="65" spans="1:28">
      <c r="A65" s="293">
        <v>45717</v>
      </c>
      <c r="B65" s="231">
        <f>'毛利-收入组成'!B65/'GMV表-商品大类'!B68</f>
        <v>0.027063229323515</v>
      </c>
      <c r="C65" s="231">
        <f>'毛利-收入组成'!C65/'GMV表-商品大类'!C68</f>
        <v>0.0300957747650007</v>
      </c>
      <c r="D65" s="231">
        <f>'毛利-收入组成'!D65/'GMV表-商品大类'!D68</f>
        <v>0.0272671920036184</v>
      </c>
      <c r="E65" s="231">
        <f>'毛利-收入组成'!E65/'GMV表-商品大类'!E68</f>
        <v>0.0225501924045652</v>
      </c>
      <c r="F65" s="231">
        <f>'毛利-收入组成'!F65/'GMV表-商品大类'!F68</f>
        <v>0.0243615342693516</v>
      </c>
      <c r="H65" s="292">
        <v>45717</v>
      </c>
      <c r="I65" s="231">
        <f>'毛利-收入组成'!I65/'GMV表-商品大类'!I68</f>
        <v>0.0209118020639358</v>
      </c>
      <c r="J65" s="231" t="e">
        <f>'毛利-收入组成'!J65/'GMV表-商品大类'!J68</f>
        <v>#DIV/0!</v>
      </c>
      <c r="K65" s="231">
        <f>'毛利-收入组成'!K65/'GMV表-商品大类'!K68</f>
        <v>0.0789843323151297</v>
      </c>
      <c r="L65" s="231">
        <f>'毛利-收入组成'!L65/'GMV表-商品大类'!L68</f>
        <v>0.0108986873078801</v>
      </c>
      <c r="M65" s="231">
        <f>'毛利-收入组成'!M65/'GMV表-商品大类'!M68</f>
        <v>0.0278979706753688</v>
      </c>
      <c r="O65" s="295" t="s">
        <v>278</v>
      </c>
      <c r="P65" s="287">
        <f>'毛利-收入组成'!AZ65/'GMV表-商品大类'!P68</f>
        <v>0.0368651166805117</v>
      </c>
      <c r="Q65" s="287">
        <f>'毛利-收入组成'!BA65/'GMV表-商品大类'!Q68</f>
        <v>0.0101650375045562</v>
      </c>
      <c r="R65" s="287">
        <f>'毛利-收入组成'!BB65/'GMV表-商品大类'!R68</f>
        <v>0.0210331343613535</v>
      </c>
      <c r="S65" s="287">
        <f>'毛利-收入组成'!BC65/'GMV表-商品大类'!S68</f>
        <v>0.0252241998105544</v>
      </c>
      <c r="T65" s="287">
        <f>'毛利-收入组成'!BD65/'GMV表-商品大类'!T68</f>
        <v>0.0252429370480985</v>
      </c>
      <c r="V65" s="295" t="s">
        <v>278</v>
      </c>
      <c r="W65" s="296">
        <f>'毛利-收入组成'!AL65/'GMV表-商品大类'!P68</f>
        <v>0.0546745251210734</v>
      </c>
      <c r="X65" s="296">
        <f>'毛利-收入组成'!AM65/'GMV表-商品大类'!Q68</f>
        <v>0.0351301233596665</v>
      </c>
      <c r="Y65" s="296">
        <f>'毛利-收入组成'!AN65/'GMV表-商品大类'!R68</f>
        <v>0.0379991382695971</v>
      </c>
      <c r="Z65" s="296">
        <f>'毛利-收入组成'!AO65/'GMV表-商品大类'!S68</f>
        <v>0.0330165000883367</v>
      </c>
      <c r="AA65" s="296">
        <f>'毛利-收入组成'!AP65/'GMV表-商品大类'!T68</f>
        <v>0.0373238266785237</v>
      </c>
      <c r="AB65" s="21"/>
    </row>
    <row r="66" spans="1:28">
      <c r="A66" s="293">
        <v>45748</v>
      </c>
      <c r="B66" s="231">
        <f>'毛利-收入组成'!B66/'GMV表-商品大类'!B69</f>
        <v>0.0195223094307012</v>
      </c>
      <c r="C66" s="231">
        <f>'毛利-收入组成'!C66/'GMV表-商品大类'!C69</f>
        <v>0.05122064514358</v>
      </c>
      <c r="D66" s="231">
        <f>'毛利-收入组成'!D66/'GMV表-商品大类'!D69</f>
        <v>0.0285398958855064</v>
      </c>
      <c r="E66" s="231">
        <f>'毛利-收入组成'!E66/'GMV表-商品大类'!E69</f>
        <v>0.0177784827969427</v>
      </c>
      <c r="F66" s="231">
        <f>'毛利-收入组成'!F66/'GMV表-商品大类'!F69</f>
        <v>0.0212630204561323</v>
      </c>
      <c r="H66" s="292">
        <v>45748</v>
      </c>
      <c r="I66" s="231">
        <f>'毛利-收入组成'!I66/'GMV表-商品大类'!I69</f>
        <v>0.0137599993424429</v>
      </c>
      <c r="J66" s="231" t="e">
        <f>'毛利-收入组成'!J66/'GMV表-商品大类'!J69</f>
        <v>#DIV/0!</v>
      </c>
      <c r="K66" s="231">
        <f>'毛利-收入组成'!K66/'GMV表-商品大类'!K69</f>
        <v>0.0574472990554309</v>
      </c>
      <c r="L66" s="231">
        <f>'毛利-收入组成'!L66/'GMV表-商品大类'!L69</f>
        <v>0.0114956541281183</v>
      </c>
      <c r="M66" s="231">
        <f>'毛利-收入组成'!M66/'GMV表-商品大类'!M69</f>
        <v>0.0194354687218769</v>
      </c>
      <c r="O66" s="295" t="s">
        <v>279</v>
      </c>
      <c r="P66" s="287">
        <f>'毛利-收入组成'!AZ66/'GMV表-商品大类'!P69</f>
        <v>0.0328690701332972</v>
      </c>
      <c r="Q66" s="287">
        <f>'毛利-收入组成'!BA66/'GMV表-商品大类'!Q69</f>
        <v>0.0148251423431135</v>
      </c>
      <c r="R66" s="287">
        <f>'毛利-收入组成'!BB66/'GMV表-商品大类'!R69</f>
        <v>0.0227604953771969</v>
      </c>
      <c r="S66" s="287">
        <f>'毛利-收入组成'!BC66/'GMV表-商品大类'!S69</f>
        <v>0.0233701215824032</v>
      </c>
      <c r="T66" s="287">
        <f>'毛利-收入组成'!BD66/'GMV表-商品大类'!T69</f>
        <v>0.0242900389450983</v>
      </c>
      <c r="V66" s="295" t="s">
        <v>279</v>
      </c>
      <c r="W66" s="296">
        <f>'毛利-收入组成'!AL66/'GMV表-商品大类'!P69</f>
        <v>0.0487023962582396</v>
      </c>
      <c r="X66" s="296">
        <f>'毛利-收入组成'!AM66/'GMV表-商品大类'!Q69</f>
        <v>0.0430217853093734</v>
      </c>
      <c r="Y66" s="296">
        <f>'毛利-收入组成'!AN66/'GMV表-商品大类'!R69</f>
        <v>0.0388178902262999</v>
      </c>
      <c r="Z66" s="296">
        <f>'毛利-收入组成'!AO66/'GMV表-商品大类'!S69</f>
        <v>0.0305672745919184</v>
      </c>
      <c r="AA66" s="296">
        <f>'毛利-收入组成'!AP66/'GMV表-商品大类'!T69</f>
        <v>0.0354704764156937</v>
      </c>
      <c r="AB66" s="21"/>
    </row>
    <row r="67" spans="1:27">
      <c r="A67" s="293">
        <v>45778</v>
      </c>
      <c r="B67" s="231">
        <f>'毛利-收入组成'!B67/'GMV表-商品大类'!B70</f>
        <v>0.0232866476802671</v>
      </c>
      <c r="C67" s="231">
        <f>'毛利-收入组成'!C67/'GMV表-商品大类'!C70</f>
        <v>0.0581681292692943</v>
      </c>
      <c r="D67" s="231">
        <f>'毛利-收入组成'!D67/'GMV表-商品大类'!D70</f>
        <v>0.0313540004096132</v>
      </c>
      <c r="E67" s="231">
        <f>'毛利-收入组成'!E67/'GMV表-商品大类'!E70</f>
        <v>0.0179542246849477</v>
      </c>
      <c r="F67" s="231">
        <f>'毛利-收入组成'!F67/'GMV表-商品大类'!F70</f>
        <v>0.0232225847087963</v>
      </c>
      <c r="H67" s="292">
        <v>45778</v>
      </c>
      <c r="I67" s="231">
        <f>'毛利-收入组成'!I67/'GMV表-商品大类'!I70</f>
        <v>0.0153101011706249</v>
      </c>
      <c r="J67" s="231" t="e">
        <f>'毛利-收入组成'!J67/'GMV表-商品大类'!J70</f>
        <v>#DIV/0!</v>
      </c>
      <c r="K67" s="231">
        <f>'毛利-收入组成'!K67/'GMV表-商品大类'!K70</f>
        <v>0.0421756086811093</v>
      </c>
      <c r="L67" s="231">
        <f>'毛利-收入组成'!L67/'GMV表-商品大类'!L70</f>
        <v>0.00812826093283183</v>
      </c>
      <c r="M67" s="231">
        <f>'毛利-收入组成'!M67/'GMV表-商品大类'!M70</f>
        <v>0.0202139673868824</v>
      </c>
      <c r="O67" s="295" t="s">
        <v>280</v>
      </c>
      <c r="P67" s="287">
        <f>'毛利-收入组成'!AZ67/'GMV表-商品大类'!P70</f>
        <v>0.0299816383805688</v>
      </c>
      <c r="Q67" s="287">
        <f>'毛利-收入组成'!BA67/'GMV表-商品大类'!Q70</f>
        <v>0.0192510065251934</v>
      </c>
      <c r="R67" s="287">
        <f>'毛利-收入组成'!BB67/'GMV表-商品大类'!R70</f>
        <v>0.0243669464418167</v>
      </c>
      <c r="S67" s="287">
        <f>'毛利-收入组成'!BC67/'GMV表-商品大类'!S70</f>
        <v>0.0224492419935699</v>
      </c>
      <c r="T67" s="287">
        <f>'毛利-收入组成'!BD67/'GMV表-商品大类'!T70</f>
        <v>0.0240834863693471</v>
      </c>
      <c r="V67" s="295" t="s">
        <v>280</v>
      </c>
      <c r="W67" s="296">
        <f>'毛利-收入组成'!AL67/'GMV表-商品大类'!P70</f>
        <v>0.0436130592294351</v>
      </c>
      <c r="X67" s="296">
        <f>'毛利-收入组成'!AM67/'GMV表-商品大类'!Q70</f>
        <v>0.0481614674010529</v>
      </c>
      <c r="Y67" s="296">
        <f>'毛利-收入组成'!AN67/'GMV表-商品大类'!R70</f>
        <v>0.0431183215444075</v>
      </c>
      <c r="Z67" s="296">
        <f>'毛利-收入组成'!AO67/'GMV表-商品大类'!S70</f>
        <v>0.0295476535882712</v>
      </c>
      <c r="AA67" s="296">
        <f>'毛利-收入组成'!AP67/'GMV表-商品大类'!T70</f>
        <v>0.0358152885270226</v>
      </c>
    </row>
    <row r="68" spans="1:27">
      <c r="A68" s="293">
        <v>45809</v>
      </c>
      <c r="B68" s="231">
        <f>'毛利-收入组成'!B68/'GMV表-商品大类'!B71</f>
        <v>0.0300218088733479</v>
      </c>
      <c r="C68" s="231">
        <f>'毛利-收入组成'!C68/'GMV表-商品大类'!C71</f>
        <v>0.0495226029570442</v>
      </c>
      <c r="D68" s="231">
        <f>'毛利-收入组成'!D68/'GMV表-商品大类'!D71</f>
        <v>0.034313110680367</v>
      </c>
      <c r="E68" s="231">
        <f>'毛利-收入组成'!E68/'GMV表-商品大类'!E71</f>
        <v>0.0344243273583723</v>
      </c>
      <c r="F68" s="231">
        <f>'毛利-收入组成'!F68/'GMV表-商品大类'!F71</f>
        <v>0.033806092806197</v>
      </c>
      <c r="H68" s="292">
        <v>45809</v>
      </c>
      <c r="I68" s="231">
        <f>'毛利-收入组成'!I68/'GMV表-商品大类'!I71</f>
        <v>0.0112148493176702</v>
      </c>
      <c r="J68" s="231" t="e">
        <f>'毛利-收入组成'!J68/'GMV表-商品大类'!J71</f>
        <v>#DIV/0!</v>
      </c>
      <c r="K68" s="231">
        <f>'毛利-收入组成'!K68/'GMV表-商品大类'!K71</f>
        <v>0.0920847325464592</v>
      </c>
      <c r="L68" s="231">
        <f>'毛利-收入组成'!L68/'GMV表-商品大类'!L71</f>
        <v>0.0107619548525965</v>
      </c>
      <c r="M68" s="231">
        <f>'毛利-收入组成'!M68/'GMV表-商品大类'!M71</f>
        <v>0.0380643765652608</v>
      </c>
      <c r="O68" s="295" t="s">
        <v>281</v>
      </c>
      <c r="P68" s="287">
        <f>'毛利-收入组成'!AZ68/'GMV表-商品大类'!P71</f>
        <v>0.0299880462445051</v>
      </c>
      <c r="Q68" s="287">
        <f>'毛利-收入组成'!BA68/'GMV表-商品大类'!Q71</f>
        <v>0.0216833583126972</v>
      </c>
      <c r="R68" s="287">
        <f>'毛利-收入组成'!BB68/'GMV表-商品大类'!R71</f>
        <v>0.0255489576853614</v>
      </c>
      <c r="S68" s="287">
        <f>'毛利-收入组成'!BC68/'GMV表-商品大类'!S71</f>
        <v>0.024506566209108</v>
      </c>
      <c r="T68" s="287">
        <f>'毛利-收入组成'!BD68/'GMV表-商品大类'!T71</f>
        <v>0.0255813420968288</v>
      </c>
      <c r="V68" s="295" t="s">
        <v>281</v>
      </c>
      <c r="W68" s="296">
        <f>'毛利-收入组成'!AL68/'GMV表-商品大类'!P71</f>
        <v>0.0431742373910043</v>
      </c>
      <c r="X68" s="296">
        <f>'毛利-收入组成'!AM68/'GMV表-商品大类'!Q71</f>
        <v>0.0531757343434703</v>
      </c>
      <c r="Y68" s="296">
        <f>'毛利-收入组成'!AN68/'GMV表-商品大类'!R71</f>
        <v>0.050755762689936</v>
      </c>
      <c r="Z68" s="296">
        <f>'毛利-收入组成'!AO68/'GMV表-商品大类'!S71</f>
        <v>0.0318716739132857</v>
      </c>
      <c r="AA68" s="296">
        <f>'毛利-收入组成'!AP68/'GMV表-商品大类'!T71</f>
        <v>0.0391059778565727</v>
      </c>
    </row>
    <row r="69" spans="1:22">
      <c r="A69" s="293">
        <v>45839</v>
      </c>
      <c r="B69" s="231">
        <f>'毛利-收入组成'!B69/'GMV表-商品大类'!B72</f>
        <v>0.0302448642334122</v>
      </c>
      <c r="C69" s="231">
        <f>'毛利-收入组成'!C69/'GMV表-商品大类'!C72</f>
        <v>0.051839398453579</v>
      </c>
      <c r="D69" s="231">
        <f>'毛利-收入组成'!D69/'GMV表-商品大类'!D72</f>
        <v>0.0334832088747023</v>
      </c>
      <c r="E69" s="231">
        <f>'毛利-收入组成'!E69/'GMV表-商品大类'!E72</f>
        <v>0.021247580960474</v>
      </c>
      <c r="F69" s="231">
        <f>'毛利-收入组成'!F69/'GMV表-商品大类'!F72</f>
        <v>0.0240987095215548</v>
      </c>
      <c r="H69" s="292">
        <v>45839</v>
      </c>
      <c r="I69" s="231">
        <f>'毛利-收入组成'!I69/'GMV表-商品大类'!I72</f>
        <v>0.00983489365354442</v>
      </c>
      <c r="J69" s="231" t="e">
        <f>'毛利-收入组成'!J69/'GMV表-商品大类'!J72</f>
        <v>#DIV/0!</v>
      </c>
      <c r="K69" s="231">
        <f>'毛利-收入组成'!K69/'GMV表-商品大类'!K72</f>
        <v>0.0733516038133682</v>
      </c>
      <c r="L69" s="231">
        <f>'毛利-收入组成'!L69/'GMV表-商品大类'!L72</f>
        <v>0.0359907368502481</v>
      </c>
      <c r="M69" s="231">
        <f>'毛利-收入组成'!M69/'GMV表-商品大类'!M72</f>
        <v>0.0374540878792739</v>
      </c>
      <c r="O69" s="295" t="s">
        <v>282</v>
      </c>
      <c r="P69" s="287">
        <f>'毛利-收入组成'!AZ69/'GMV表-商品大类'!P72</f>
        <v>0.0300236828638632</v>
      </c>
      <c r="Q69" s="287">
        <f>'毛利-收入组成'!BA69/'GMV表-商品大类'!Q72</f>
        <v>0.0239812967393792</v>
      </c>
      <c r="R69" s="287">
        <f>'毛利-收入组成'!BB69/'GMV表-商品大类'!R72</f>
        <v>0.0260788866334036</v>
      </c>
      <c r="S69" s="287">
        <f>'毛利-收入组成'!BC69/'GMV表-商品大类'!S72</f>
        <v>0.0239080109614421</v>
      </c>
      <c r="T69" s="287">
        <f>'毛利-收入组成'!BD69/'GMV表-商品大类'!T72</f>
        <v>0.0253652451897486</v>
      </c>
      <c r="V69" s="295" t="s">
        <v>282</v>
      </c>
    </row>
    <row r="70" spans="1:22">
      <c r="A70" s="293">
        <v>45870</v>
      </c>
      <c r="B70" s="231" t="e">
        <f>'毛利-收入组成'!B70/'GMV表-商品大类'!B73</f>
        <v>#DIV/0!</v>
      </c>
      <c r="C70" s="231" t="e">
        <f>'毛利-收入组成'!C70/'GMV表-商品大类'!C73</f>
        <v>#DIV/0!</v>
      </c>
      <c r="D70" s="231" t="e">
        <f>'毛利-收入组成'!D70/'GMV表-商品大类'!D73</f>
        <v>#DIV/0!</v>
      </c>
      <c r="E70" s="231" t="e">
        <f>'毛利-收入组成'!E70/'GMV表-商品大类'!E73</f>
        <v>#DIV/0!</v>
      </c>
      <c r="F70" s="231" t="e">
        <f>'毛利-收入组成'!F70/'GMV表-商品大类'!F73</f>
        <v>#DIV/0!</v>
      </c>
      <c r="H70" s="292">
        <v>45870</v>
      </c>
      <c r="I70" s="231" t="e">
        <f>'毛利-收入组成'!I70/'GMV表-商品大类'!I73</f>
        <v>#DIV/0!</v>
      </c>
      <c r="J70" s="231" t="e">
        <f>'毛利-收入组成'!J70/'GMV表-商品大类'!J73</f>
        <v>#DIV/0!</v>
      </c>
      <c r="K70" s="231" t="e">
        <f>'毛利-收入组成'!K70/'GMV表-商品大类'!K73</f>
        <v>#DIV/0!</v>
      </c>
      <c r="L70" s="231" t="e">
        <f>'毛利-收入组成'!L70/'GMV表-商品大类'!L73</f>
        <v>#DIV/0!</v>
      </c>
      <c r="M70" s="231" t="e">
        <f>'毛利-收入组成'!M70/'GMV表-商品大类'!M73</f>
        <v>#DIV/0!</v>
      </c>
      <c r="O70" s="295" t="s">
        <v>283</v>
      </c>
      <c r="V70" s="295" t="s">
        <v>283</v>
      </c>
    </row>
    <row r="71" spans="1:22">
      <c r="A71" s="293">
        <v>45901</v>
      </c>
      <c r="B71" s="231" t="e">
        <f>'毛利-收入组成'!B71/'GMV表-商品大类'!B74</f>
        <v>#DIV/0!</v>
      </c>
      <c r="C71" s="231" t="e">
        <f>'毛利-收入组成'!C71/'GMV表-商品大类'!C74</f>
        <v>#DIV/0!</v>
      </c>
      <c r="D71" s="231" t="e">
        <f>'毛利-收入组成'!D71/'GMV表-商品大类'!D74</f>
        <v>#DIV/0!</v>
      </c>
      <c r="E71" s="231" t="e">
        <f>'毛利-收入组成'!E71/'GMV表-商品大类'!E74</f>
        <v>#DIV/0!</v>
      </c>
      <c r="F71" s="231" t="e">
        <f>'毛利-收入组成'!F71/'GMV表-商品大类'!F74</f>
        <v>#DIV/0!</v>
      </c>
      <c r="H71" s="292">
        <v>45901</v>
      </c>
      <c r="I71" s="231" t="e">
        <f>'毛利-收入组成'!I71/'GMV表-商品大类'!I74</f>
        <v>#DIV/0!</v>
      </c>
      <c r="J71" s="231" t="e">
        <f>'毛利-收入组成'!J71/'GMV表-商品大类'!J74</f>
        <v>#DIV/0!</v>
      </c>
      <c r="K71" s="231" t="e">
        <f>'毛利-收入组成'!K71/'GMV表-商品大类'!K74</f>
        <v>#DIV/0!</v>
      </c>
      <c r="L71" s="231" t="e">
        <f>'毛利-收入组成'!L71/'GMV表-商品大类'!L74</f>
        <v>#DIV/0!</v>
      </c>
      <c r="M71" s="231" t="e">
        <f>'毛利-收入组成'!M71/'GMV表-商品大类'!M74</f>
        <v>#DIV/0!</v>
      </c>
      <c r="O71" s="295" t="s">
        <v>284</v>
      </c>
      <c r="V71" s="295" t="s">
        <v>284</v>
      </c>
    </row>
    <row r="72" spans="1:22">
      <c r="A72" s="293">
        <v>45931</v>
      </c>
      <c r="B72" s="231" t="e">
        <f>'毛利-收入组成'!B72/'GMV表-商品大类'!B75</f>
        <v>#DIV/0!</v>
      </c>
      <c r="C72" s="231" t="e">
        <f>'毛利-收入组成'!C72/'GMV表-商品大类'!C75</f>
        <v>#DIV/0!</v>
      </c>
      <c r="D72" s="231" t="e">
        <f>'毛利-收入组成'!D72/'GMV表-商品大类'!D75</f>
        <v>#DIV/0!</v>
      </c>
      <c r="E72" s="231" t="e">
        <f>'毛利-收入组成'!E72/'GMV表-商品大类'!E75</f>
        <v>#DIV/0!</v>
      </c>
      <c r="F72" s="231" t="e">
        <f>'毛利-收入组成'!F72/'GMV表-商品大类'!F75</f>
        <v>#DIV/0!</v>
      </c>
      <c r="H72" s="292">
        <v>45931</v>
      </c>
      <c r="I72" s="231" t="e">
        <f>'毛利-收入组成'!I72/'GMV表-商品大类'!I75</f>
        <v>#DIV/0!</v>
      </c>
      <c r="J72" s="231" t="e">
        <f>'毛利-收入组成'!J72/'GMV表-商品大类'!J75</f>
        <v>#DIV/0!</v>
      </c>
      <c r="K72" s="231" t="e">
        <f>'毛利-收入组成'!K72/'GMV表-商品大类'!K75</f>
        <v>#DIV/0!</v>
      </c>
      <c r="L72" s="231" t="e">
        <f>'毛利-收入组成'!L72/'GMV表-商品大类'!L75</f>
        <v>#DIV/0!</v>
      </c>
      <c r="M72" s="231" t="e">
        <f>'毛利-收入组成'!M72/'GMV表-商品大类'!M75</f>
        <v>#DIV/0!</v>
      </c>
      <c r="N72" s="297"/>
      <c r="O72" s="295" t="s">
        <v>285</v>
      </c>
      <c r="V72" s="295" t="s">
        <v>285</v>
      </c>
    </row>
    <row r="73" spans="1:22">
      <c r="A73" s="293">
        <v>45962</v>
      </c>
      <c r="B73" s="231" t="e">
        <f>'毛利-收入组成'!B73/'GMV表-商品大类'!B76</f>
        <v>#DIV/0!</v>
      </c>
      <c r="C73" s="231" t="e">
        <f>'毛利-收入组成'!C73/'GMV表-商品大类'!C76</f>
        <v>#DIV/0!</v>
      </c>
      <c r="D73" s="231" t="e">
        <f>'毛利-收入组成'!D73/'GMV表-商品大类'!D76</f>
        <v>#DIV/0!</v>
      </c>
      <c r="E73" s="231" t="e">
        <f>'毛利-收入组成'!E73/'GMV表-商品大类'!E76</f>
        <v>#DIV/0!</v>
      </c>
      <c r="F73" s="231" t="e">
        <f>'毛利-收入组成'!F73/'GMV表-商品大类'!F76</f>
        <v>#DIV/0!</v>
      </c>
      <c r="H73" s="292">
        <v>45962</v>
      </c>
      <c r="I73" s="231" t="e">
        <f>'毛利-收入组成'!I73/'GMV表-商品大类'!I76</f>
        <v>#DIV/0!</v>
      </c>
      <c r="J73" s="231" t="e">
        <f>'毛利-收入组成'!J73/'GMV表-商品大类'!J76</f>
        <v>#DIV/0!</v>
      </c>
      <c r="K73" s="231" t="e">
        <f>'毛利-收入组成'!K73/'GMV表-商品大类'!K76</f>
        <v>#DIV/0!</v>
      </c>
      <c r="L73" s="231" t="e">
        <f>'毛利-收入组成'!L73/'GMV表-商品大类'!L76</f>
        <v>#DIV/0!</v>
      </c>
      <c r="M73" s="231" t="e">
        <f>'毛利-收入组成'!M73/'GMV表-商品大类'!M76</f>
        <v>#DIV/0!</v>
      </c>
      <c r="O73" s="295" t="s">
        <v>286</v>
      </c>
      <c r="V73" s="295" t="s">
        <v>286</v>
      </c>
    </row>
    <row r="74" spans="1:22">
      <c r="A74" s="293">
        <v>45992</v>
      </c>
      <c r="B74" s="231" t="e">
        <f>'毛利-收入组成'!B74/'GMV表-商品大类'!B77</f>
        <v>#DIV/0!</v>
      </c>
      <c r="C74" s="231" t="e">
        <f>'毛利-收入组成'!C74/'GMV表-商品大类'!C77</f>
        <v>#DIV/0!</v>
      </c>
      <c r="D74" s="231" t="e">
        <f>'毛利-收入组成'!D74/'GMV表-商品大类'!D77</f>
        <v>#DIV/0!</v>
      </c>
      <c r="E74" s="231" t="e">
        <f>'毛利-收入组成'!E74/'GMV表-商品大类'!E77</f>
        <v>#DIV/0!</v>
      </c>
      <c r="F74" s="231" t="e">
        <f>'毛利-收入组成'!F74/'GMV表-商品大类'!F77</f>
        <v>#DIV/0!</v>
      </c>
      <c r="H74" s="292">
        <v>45992</v>
      </c>
      <c r="I74" s="231" t="e">
        <f>'毛利-收入组成'!I74/'GMV表-商品大类'!I77</f>
        <v>#DIV/0!</v>
      </c>
      <c r="J74" s="231" t="e">
        <f>'毛利-收入组成'!J74/'GMV表-商品大类'!J77</f>
        <v>#DIV/0!</v>
      </c>
      <c r="K74" s="231" t="e">
        <f>'毛利-收入组成'!K74/'GMV表-商品大类'!K77</f>
        <v>#DIV/0!</v>
      </c>
      <c r="L74" s="231" t="e">
        <f>'毛利-收入组成'!L74/'GMV表-商品大类'!L77</f>
        <v>#DIV/0!</v>
      </c>
      <c r="M74" s="231" t="e">
        <f>'毛利-收入组成'!M74/'GMV表-商品大类'!M77</f>
        <v>#DIV/0!</v>
      </c>
      <c r="O74" s="295" t="s">
        <v>287</v>
      </c>
      <c r="V74" s="295" t="s">
        <v>287</v>
      </c>
    </row>
    <row r="75" spans="10:14">
      <c r="J75" s="298"/>
      <c r="N75" s="297"/>
    </row>
    <row r="76" s="21" customFormat="1" ht="18" customHeight="1" spans="2:27">
      <c r="B76" s="296"/>
      <c r="C76" s="296"/>
      <c r="D76" s="296"/>
      <c r="E76" s="296"/>
      <c r="F76" s="296"/>
      <c r="I76" s="296"/>
      <c r="J76" s="296"/>
      <c r="K76" s="296"/>
      <c r="L76" s="296"/>
      <c r="M76" s="296"/>
      <c r="O76" s="295" t="s">
        <v>412</v>
      </c>
      <c r="P76" s="287">
        <f>P69-P57</f>
        <v>0.0118724754195621</v>
      </c>
      <c r="Q76" s="287">
        <f>Q69-Q57</f>
        <v>0.0115999948466604</v>
      </c>
      <c r="R76" s="287">
        <f>R69-R57</f>
        <v>-0.0039030913298915</v>
      </c>
      <c r="S76" s="287">
        <f>S69-S57</f>
        <v>0.00513811802290133</v>
      </c>
      <c r="T76" s="287">
        <f>T69-T57</f>
        <v>0.00311660993368979</v>
      </c>
      <c r="U76" s="287"/>
      <c r="V76" s="295" t="s">
        <v>412</v>
      </c>
      <c r="W76" s="300">
        <f>W67-W55</f>
        <v>0.00218169451405691</v>
      </c>
      <c r="X76" s="300">
        <f>X67-X55</f>
        <v>0.036652389148765</v>
      </c>
      <c r="Y76" s="300">
        <f>Y67-Y55</f>
        <v>-0.00708395725170087</v>
      </c>
      <c r="Z76" s="300">
        <f>Z67-Z55</f>
        <v>0.00936895647574651</v>
      </c>
      <c r="AA76" s="300">
        <f>AA67-AA55</f>
        <v>0.00145852673686793</v>
      </c>
    </row>
    <row r="77" s="21" customFormat="1" ht="14" customHeight="1" spans="2:21">
      <c r="B77" s="296"/>
      <c r="C77" s="296"/>
      <c r="D77" s="296"/>
      <c r="E77" s="296"/>
      <c r="F77" s="296"/>
      <c r="I77" s="296"/>
      <c r="J77" s="296"/>
      <c r="K77" s="296"/>
      <c r="L77" s="296"/>
      <c r="M77" s="296"/>
      <c r="O77" s="295"/>
      <c r="U77" s="295"/>
    </row>
    <row r="78" s="21" customFormat="1" ht="14" customHeight="1" spans="2:21">
      <c r="B78" s="296"/>
      <c r="C78" s="296"/>
      <c r="D78" s="296"/>
      <c r="E78" s="296"/>
      <c r="F78" s="296"/>
      <c r="I78" s="296"/>
      <c r="J78" s="296"/>
      <c r="K78" s="296"/>
      <c r="L78" s="296"/>
      <c r="M78" s="296"/>
      <c r="O78" s="295"/>
      <c r="U78" s="295"/>
    </row>
    <row r="79" spans="16:17">
      <c r="P79" s="299"/>
      <c r="Q79" s="301"/>
    </row>
    <row r="86" spans="10:14">
      <c r="J86" s="298"/>
      <c r="N86" s="297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78"/>
  <sheetViews>
    <sheetView workbookViewId="0">
      <pane ySplit="3" topLeftCell="A4" activePane="bottomLeft" state="frozen"/>
      <selection/>
      <selection pane="bottomLeft" activeCell="E37" sqref="E37"/>
    </sheetView>
  </sheetViews>
  <sheetFormatPr defaultColWidth="8.89166666666667" defaultRowHeight="13.5"/>
  <cols>
    <col min="1" max="1" width="8" style="1" customWidth="1"/>
    <col min="2" max="2" width="12.6333333333333" style="130" customWidth="1"/>
    <col min="3" max="3" width="11.6333333333333" style="130" customWidth="1"/>
    <col min="4" max="4" width="11.8833333333333" style="130" customWidth="1"/>
    <col min="5" max="5" width="13.125" style="130" customWidth="1"/>
    <col min="6" max="6" width="10" style="130" customWidth="1"/>
    <col min="7" max="7" width="12.3833333333333" style="130" customWidth="1"/>
    <col min="8" max="8" width="9.88333333333333" customWidth="1"/>
    <col min="9" max="9" width="8" customWidth="1"/>
    <col min="10" max="10" width="9" style="256" customWidth="1"/>
    <col min="11" max="11" width="8.89166666666667" style="1" customWidth="1"/>
    <col min="12" max="12" width="15.875" style="130" customWidth="1"/>
    <col min="13" max="13" width="15.375" style="257" customWidth="1"/>
    <col min="14" max="27" width="11.5" style="257" customWidth="1"/>
    <col min="28" max="28" width="9.75833333333333" customWidth="1"/>
    <col min="29" max="29" width="9.75833333333333" style="6" customWidth="1"/>
    <col min="30" max="31" width="11.6333333333333" style="256" customWidth="1"/>
    <col min="32" max="32" width="9.75833333333333" style="256" customWidth="1"/>
    <col min="33" max="33" width="5.725" style="256" customWidth="1"/>
    <col min="34" max="34" width="11.3666666666667" style="6" hidden="1" customWidth="1"/>
    <col min="35" max="36" width="8.89166666666667" hidden="1" customWidth="1"/>
    <col min="37" max="37" width="10.8833333333333" hidden="1" customWidth="1"/>
    <col min="38" max="40" width="8.875" hidden="1" customWidth="1"/>
    <col min="41" max="41" width="8.89166666666667" hidden="1" customWidth="1"/>
    <col min="42" max="42" width="13.75"/>
    <col min="43" max="43" width="9.375"/>
  </cols>
  <sheetData>
    <row r="1" spans="1:34">
      <c r="A1" s="258" t="s">
        <v>413</v>
      </c>
      <c r="K1" s="1" t="s">
        <v>414</v>
      </c>
      <c r="P1" s="266" t="s">
        <v>415</v>
      </c>
      <c r="Y1" s="270" t="s">
        <v>416</v>
      </c>
      <c r="Z1"/>
      <c r="AA1"/>
      <c r="AC1"/>
      <c r="AD1"/>
      <c r="AE1"/>
      <c r="AF1"/>
      <c r="AG1"/>
      <c r="AH1" s="270">
        <v>2022</v>
      </c>
    </row>
    <row r="2" spans="1:41">
      <c r="A2" s="1" t="s">
        <v>417</v>
      </c>
      <c r="H2" s="1"/>
      <c r="I2" s="1"/>
      <c r="K2" s="1" t="s">
        <v>148</v>
      </c>
      <c r="L2" s="130" t="s">
        <v>302</v>
      </c>
      <c r="M2" s="257" t="s">
        <v>418</v>
      </c>
      <c r="N2" s="257" t="s">
        <v>304</v>
      </c>
      <c r="P2" s="1" t="s">
        <v>417</v>
      </c>
      <c r="Y2" s="1" t="s">
        <v>417</v>
      </c>
      <c r="Z2" s="130"/>
      <c r="AA2" s="130"/>
      <c r="AB2" s="130"/>
      <c r="AC2" s="130"/>
      <c r="AD2" s="130"/>
      <c r="AE2" s="130"/>
      <c r="AF2" s="1"/>
      <c r="AG2" s="1"/>
      <c r="AH2" s="1" t="s">
        <v>417</v>
      </c>
      <c r="AI2" s="130"/>
      <c r="AJ2" s="130"/>
      <c r="AK2" s="130"/>
      <c r="AL2" s="130"/>
      <c r="AM2" s="130"/>
      <c r="AN2" s="130"/>
      <c r="AO2" s="1"/>
    </row>
    <row r="3" spans="1:41">
      <c r="A3" s="1" t="s">
        <v>84</v>
      </c>
      <c r="B3" s="130" t="s">
        <v>307</v>
      </c>
      <c r="C3" s="130" t="s">
        <v>308</v>
      </c>
      <c r="D3" s="130" t="s">
        <v>309</v>
      </c>
      <c r="E3" s="130" t="s">
        <v>310</v>
      </c>
      <c r="F3" s="130" t="s">
        <v>311</v>
      </c>
      <c r="G3" s="130" t="s">
        <v>312</v>
      </c>
      <c r="H3" s="1" t="s">
        <v>15</v>
      </c>
      <c r="I3" s="1" t="s">
        <v>313</v>
      </c>
      <c r="L3" s="130" t="s">
        <v>306</v>
      </c>
      <c r="M3" s="219">
        <v>584619.909243569</v>
      </c>
      <c r="N3" s="257">
        <f t="shared" ref="N3:N15" si="0">M3/10000</f>
        <v>58.4619909243569</v>
      </c>
      <c r="P3" s="257" t="s">
        <v>84</v>
      </c>
      <c r="Q3" s="257" t="s">
        <v>307</v>
      </c>
      <c r="R3" s="257" t="s">
        <v>308</v>
      </c>
      <c r="S3" s="257" t="s">
        <v>309</v>
      </c>
      <c r="T3" s="257" t="s">
        <v>310</v>
      </c>
      <c r="U3" s="257" t="s">
        <v>311</v>
      </c>
      <c r="V3" s="257" t="s">
        <v>312</v>
      </c>
      <c r="W3" s="257" t="s">
        <v>15</v>
      </c>
      <c r="Y3" s="1" t="s">
        <v>84</v>
      </c>
      <c r="Z3" s="130" t="s">
        <v>307</v>
      </c>
      <c r="AA3" s="130" t="s">
        <v>308</v>
      </c>
      <c r="AB3" s="130" t="s">
        <v>309</v>
      </c>
      <c r="AC3" s="130" t="s">
        <v>310</v>
      </c>
      <c r="AD3" s="130" t="s">
        <v>311</v>
      </c>
      <c r="AE3" s="130" t="s">
        <v>312</v>
      </c>
      <c r="AF3" s="1" t="s">
        <v>15</v>
      </c>
      <c r="AG3" s="1"/>
      <c r="AH3" s="1" t="s">
        <v>84</v>
      </c>
      <c r="AI3" s="130" t="s">
        <v>307</v>
      </c>
      <c r="AJ3" s="130" t="s">
        <v>308</v>
      </c>
      <c r="AK3" s="130" t="s">
        <v>309</v>
      </c>
      <c r="AL3" s="130" t="s">
        <v>310</v>
      </c>
      <c r="AM3" s="130" t="s">
        <v>311</v>
      </c>
      <c r="AN3" s="130" t="s">
        <v>312</v>
      </c>
      <c r="AO3" s="1" t="s">
        <v>15</v>
      </c>
    </row>
    <row r="4" spans="1:41">
      <c r="A4" s="259">
        <v>45658</v>
      </c>
      <c r="B4" s="257">
        <f>VLOOKUP(B$3,$L$3:$N$16,3,0)-8.788175</f>
        <v>-32.2677748365416</v>
      </c>
      <c r="C4" s="257">
        <f>VLOOKUP(C$3,$L$3:$N$16,3,0)</f>
        <v>124.681783162994</v>
      </c>
      <c r="D4" s="257">
        <f>VLOOKUP(D$3,$L$3:$N$16,3,0)</f>
        <v>85.6053877600063</v>
      </c>
      <c r="E4" s="257">
        <f>VLOOKUP(E$3,$L$3:$N$16,3,0)</f>
        <v>9.13721827</v>
      </c>
      <c r="F4" s="257">
        <f>VLOOKUP(F$3,$L$3:$N$16,3,0)</f>
        <v>51.969359999999</v>
      </c>
      <c r="G4" s="257">
        <f>'毛利-收入组成'!D63-SUM(B4:F4)</f>
        <v>106.393733543843</v>
      </c>
      <c r="H4" s="257">
        <f t="shared" ref="H4:H15" si="1">SUM(B4:G4)</f>
        <v>345.519707900301</v>
      </c>
      <c r="I4" s="219">
        <f>H4-'毛利-收入组成'!D63</f>
        <v>0</v>
      </c>
      <c r="L4" s="130" t="s">
        <v>314</v>
      </c>
      <c r="M4" s="219">
        <v>249606.163774748</v>
      </c>
      <c r="N4" s="257">
        <f t="shared" si="0"/>
        <v>24.9606163774748</v>
      </c>
      <c r="P4" s="267">
        <v>45292</v>
      </c>
      <c r="Q4" s="257">
        <v>863.598841000027</v>
      </c>
      <c r="R4" s="257">
        <v>122.775934</v>
      </c>
      <c r="S4" s="257">
        <v>133.356555</v>
      </c>
      <c r="T4" s="257">
        <v>20.574319</v>
      </c>
      <c r="U4" s="257">
        <v>-24.280318</v>
      </c>
      <c r="V4" s="257">
        <v>117.806910040003</v>
      </c>
      <c r="W4" s="257">
        <v>1233.83224104003</v>
      </c>
      <c r="Y4" s="259">
        <v>44949</v>
      </c>
      <c r="Z4" s="257">
        <v>1779.91653</v>
      </c>
      <c r="AA4" s="257">
        <v>154.793277</v>
      </c>
      <c r="AB4" s="257">
        <v>231.917162000002</v>
      </c>
      <c r="AC4" s="257">
        <v>9.148758</v>
      </c>
      <c r="AD4" s="257">
        <v>21.704351</v>
      </c>
      <c r="AE4" s="257">
        <v>61.5199219999986</v>
      </c>
      <c r="AF4" s="257">
        <f t="shared" ref="AF4:AF15" si="2">SUM(Z4:AE4)</f>
        <v>2259</v>
      </c>
      <c r="AG4" s="257"/>
      <c r="AH4" s="259">
        <v>44562</v>
      </c>
      <c r="AI4" s="257">
        <v>898.626427</v>
      </c>
      <c r="AJ4" s="257">
        <v>228.288682</v>
      </c>
      <c r="AK4" s="257">
        <v>352.806832999999</v>
      </c>
      <c r="AL4" s="257">
        <v>9.35613599999999</v>
      </c>
      <c r="AM4" s="257">
        <v>19.397232</v>
      </c>
      <c r="AN4" s="257">
        <v>-55.066905539999</v>
      </c>
      <c r="AO4" s="257">
        <v>1453.40840446</v>
      </c>
    </row>
    <row r="5" spans="1:41">
      <c r="A5" s="259">
        <v>45689</v>
      </c>
      <c r="B5" s="257">
        <f>VLOOKUP(B$3,$L$19:$N$33,3,0)-5.868618</f>
        <v>131.348089499343</v>
      </c>
      <c r="C5" s="257">
        <f>VLOOKUP(C$3,$L$19:$N$33,3,0)</f>
        <v>85.8335834383571</v>
      </c>
      <c r="D5" s="257">
        <f>VLOOKUP(D$3,$L$19:$N$33,3,0)</f>
        <v>78.8118458466651</v>
      </c>
      <c r="E5" s="257">
        <f>VLOOKUP(E$3,$L$19:$N$33,3,0)</f>
        <v>10.04705356</v>
      </c>
      <c r="F5" s="257">
        <f>VLOOKUP(F$3,$L$19:$N$33,3,0)</f>
        <v>41.9049545000011</v>
      </c>
      <c r="G5" s="257">
        <f>'毛利-收入组成'!D64-SUM(B5:F5)</f>
        <v>9.19691559563273</v>
      </c>
      <c r="H5" s="257">
        <f t="shared" si="1"/>
        <v>357.142442439999</v>
      </c>
      <c r="I5" s="219">
        <f>H5-'毛利-收入组成'!D64</f>
        <v>0</v>
      </c>
      <c r="L5" s="130" t="s">
        <v>315</v>
      </c>
      <c r="M5" s="219">
        <v>2381412.22394675</v>
      </c>
      <c r="N5" s="257">
        <f t="shared" si="0"/>
        <v>238.141222394675</v>
      </c>
      <c r="P5" s="267">
        <v>45323</v>
      </c>
      <c r="Q5" s="257">
        <v>775.503577999946</v>
      </c>
      <c r="R5" s="257">
        <v>35.60289</v>
      </c>
      <c r="S5" s="257">
        <v>24.7189639999994</v>
      </c>
      <c r="T5" s="257">
        <v>12.142061</v>
      </c>
      <c r="U5" s="257">
        <v>-16.414229</v>
      </c>
      <c r="V5" s="257">
        <v>-216.82184632</v>
      </c>
      <c r="W5" s="257">
        <v>614.731417679945</v>
      </c>
      <c r="Y5" s="259">
        <v>44980</v>
      </c>
      <c r="Z5" s="257">
        <v>1388.517512</v>
      </c>
      <c r="AA5" s="257">
        <v>71.702111</v>
      </c>
      <c r="AB5" s="257">
        <v>210.013598000001</v>
      </c>
      <c r="AC5" s="257">
        <v>3.779684</v>
      </c>
      <c r="AD5" s="257">
        <v>27.946924</v>
      </c>
      <c r="AE5" s="257">
        <v>94.040170999999</v>
      </c>
      <c r="AF5" s="257">
        <f t="shared" si="2"/>
        <v>1796</v>
      </c>
      <c r="AG5" s="257"/>
      <c r="AH5" s="259">
        <v>44593</v>
      </c>
      <c r="AI5" s="257">
        <v>375.678362</v>
      </c>
      <c r="AJ5" s="257">
        <v>150.769008</v>
      </c>
      <c r="AK5" s="257">
        <v>152.765245</v>
      </c>
      <c r="AL5" s="257">
        <v>3.308008</v>
      </c>
      <c r="AM5" s="257">
        <v>14.058777</v>
      </c>
      <c r="AN5" s="257">
        <v>-49.0229073400999</v>
      </c>
      <c r="AO5" s="257">
        <v>647.5564926599</v>
      </c>
    </row>
    <row r="6" spans="1:41">
      <c r="A6" s="259">
        <v>45717</v>
      </c>
      <c r="B6" s="257">
        <f>VLOOKUP(B$3,$L$36:$N$49,3,0)-1.629471</f>
        <v>162.928962221386</v>
      </c>
      <c r="C6" s="257">
        <f>VLOOKUP(C$3,$L$36:$N$49,3,0)</f>
        <v>47.1009835694828</v>
      </c>
      <c r="D6" s="257">
        <f>VLOOKUP(D$3,$L$36:$N$49,3,0)</f>
        <v>83.4903574800094</v>
      </c>
      <c r="E6" s="257">
        <f>VLOOKUP(E$3,$L$36:$N$49,3,0)</f>
        <v>27.5453493407159</v>
      </c>
      <c r="F6" s="257">
        <f>VLOOKUP(F$3,$L$36:$N$49,3,0)</f>
        <v>40.9757524999999</v>
      </c>
      <c r="G6" s="257">
        <f>'毛利-收入组成'!D65-SUM(B6:F6)</f>
        <v>153.079664448404</v>
      </c>
      <c r="H6" s="257">
        <f t="shared" si="1"/>
        <v>515.121069559998</v>
      </c>
      <c r="I6" s="219">
        <f>H6-'毛利-收入组成'!D65</f>
        <v>0</v>
      </c>
      <c r="L6" s="130" t="s">
        <v>316</v>
      </c>
      <c r="M6" s="219">
        <v>8876.98690788</v>
      </c>
      <c r="N6" s="257">
        <f t="shared" si="0"/>
        <v>0.887698690788</v>
      </c>
      <c r="P6" s="267">
        <v>45352</v>
      </c>
      <c r="Q6" s="257">
        <v>965.866709000044</v>
      </c>
      <c r="R6" s="257">
        <v>136.067852</v>
      </c>
      <c r="S6" s="257">
        <v>34.1722160000001</v>
      </c>
      <c r="T6" s="257">
        <v>8.855438</v>
      </c>
      <c r="U6" s="257">
        <v>-6.12689400000004</v>
      </c>
      <c r="V6" s="257">
        <v>178.053095770005</v>
      </c>
      <c r="W6" s="257">
        <v>1316.88841677005</v>
      </c>
      <c r="Y6" s="259">
        <v>45008</v>
      </c>
      <c r="Z6" s="257">
        <v>950.906092</v>
      </c>
      <c r="AA6" s="257">
        <v>33.478513</v>
      </c>
      <c r="AB6" s="257">
        <v>185.212583</v>
      </c>
      <c r="AC6" s="257">
        <v>3.965521</v>
      </c>
      <c r="AD6" s="257">
        <v>64.83297</v>
      </c>
      <c r="AE6" s="257">
        <v>101.604321</v>
      </c>
      <c r="AF6" s="257">
        <f t="shared" si="2"/>
        <v>1340</v>
      </c>
      <c r="AG6" s="257"/>
      <c r="AH6" s="259">
        <v>44621</v>
      </c>
      <c r="AI6" s="257">
        <v>1106.194414</v>
      </c>
      <c r="AJ6" s="257">
        <v>351.842032</v>
      </c>
      <c r="AK6" s="257">
        <v>289.740404</v>
      </c>
      <c r="AL6" s="257">
        <v>10.069223</v>
      </c>
      <c r="AM6" s="257">
        <v>66.2792839999999</v>
      </c>
      <c r="AN6" s="257">
        <v>81.0067541602</v>
      </c>
      <c r="AO6" s="257">
        <v>1905.1321111602</v>
      </c>
    </row>
    <row r="7" spans="1:41">
      <c r="A7" s="259">
        <v>45748</v>
      </c>
      <c r="B7" s="257">
        <f>VLOOKUP(B$3,$L$53:$N$67,3,0)-19061.99/10000</f>
        <v>271.822881794258</v>
      </c>
      <c r="C7" s="257">
        <f>VLOOKUP(C$3,$L$53:$N$67,3,0)</f>
        <v>53.32295</v>
      </c>
      <c r="D7" s="257">
        <f>VLOOKUP(D$3,$L$53:$N$67,3,0)</f>
        <v>36.6204332500097</v>
      </c>
      <c r="E7" s="257">
        <f>VLOOKUP(E$3,$L$53:$N$67,3,0)</f>
        <v>0.401518</v>
      </c>
      <c r="F7" s="257">
        <f>VLOOKUP(F$3,$L$53:$N$67,3,0)</f>
        <v>67.454852</v>
      </c>
      <c r="G7" s="257">
        <f>'毛利-收入组成'!D66-SUM(B7:F7)</f>
        <v>64.2542450557303</v>
      </c>
      <c r="H7" s="257">
        <f t="shared" si="1"/>
        <v>493.876880099998</v>
      </c>
      <c r="I7" s="219">
        <f>H7-'毛利-收入组成'!D66</f>
        <v>0</v>
      </c>
      <c r="J7" s="13"/>
      <c r="L7" s="130" t="s">
        <v>317</v>
      </c>
      <c r="M7" s="219">
        <v>2473</v>
      </c>
      <c r="N7" s="257">
        <f t="shared" si="0"/>
        <v>0.2473</v>
      </c>
      <c r="P7" s="267">
        <v>45383</v>
      </c>
      <c r="Q7" s="257">
        <v>251.150833000054</v>
      </c>
      <c r="R7" s="257">
        <v>33.381828</v>
      </c>
      <c r="S7" s="257">
        <v>29.3963359999993</v>
      </c>
      <c r="T7" s="257">
        <v>5.840232</v>
      </c>
      <c r="U7" s="257">
        <v>-3.975418</v>
      </c>
      <c r="V7" s="257">
        <v>-159.371329939999</v>
      </c>
      <c r="W7" s="257">
        <v>156.422481060054</v>
      </c>
      <c r="Y7" s="259">
        <v>45039</v>
      </c>
      <c r="Z7" s="257">
        <v>548.64448</v>
      </c>
      <c r="AA7" s="257">
        <v>-7.742725</v>
      </c>
      <c r="AB7" s="257">
        <v>201.885311999999</v>
      </c>
      <c r="AC7" s="257">
        <v>34.224189</v>
      </c>
      <c r="AD7" s="257">
        <v>37.912499</v>
      </c>
      <c r="AE7" s="257">
        <v>-138.923754999999</v>
      </c>
      <c r="AF7" s="257">
        <f t="shared" si="2"/>
        <v>676</v>
      </c>
      <c r="AG7" s="257"/>
      <c r="AH7" s="259">
        <v>44652</v>
      </c>
      <c r="AI7" s="257">
        <v>522.036221</v>
      </c>
      <c r="AJ7" s="257">
        <v>478.099146</v>
      </c>
      <c r="AK7" s="257">
        <v>237.572436999999</v>
      </c>
      <c r="AL7" s="257">
        <v>20.03022</v>
      </c>
      <c r="AM7" s="257">
        <v>15.727151</v>
      </c>
      <c r="AN7" s="257">
        <v>-7.137000159899</v>
      </c>
      <c r="AO7" s="257">
        <v>1266.3281748401</v>
      </c>
    </row>
    <row r="8" spans="1:41">
      <c r="A8" s="259">
        <v>45778</v>
      </c>
      <c r="B8" s="257">
        <f>VLOOKUP(B$3,$L$70:$N$84,3,0)-2.098887</f>
        <v>266.034308396766</v>
      </c>
      <c r="C8" s="257">
        <f>VLOOKUP(C$3,$L$70:$N$84,3,0)</f>
        <v>50.2600838206984</v>
      </c>
      <c r="D8" s="257">
        <f>VLOOKUP(D$3,$L$70:$N$84,3,0)</f>
        <v>25.6051834433329</v>
      </c>
      <c r="E8" s="257">
        <f>VLOOKUP(E$3,$L$70:$N$84,3,0)</f>
        <v>46.729678800001</v>
      </c>
      <c r="F8" s="257">
        <f>VLOOKUP(F$3,$L$70:$N$84,3,0)</f>
        <v>59.1314488208365</v>
      </c>
      <c r="G8" s="257">
        <f>'毛利-收入组成'!D67-SUM(B8:F8)</f>
        <v>94.3677225383672</v>
      </c>
      <c r="H8" s="257">
        <f t="shared" si="1"/>
        <v>542.128425820002</v>
      </c>
      <c r="I8" s="219">
        <f>H8-'毛利-收入组成'!D67</f>
        <v>0</v>
      </c>
      <c r="J8" s="13"/>
      <c r="L8" s="130" t="s">
        <v>318</v>
      </c>
      <c r="M8" s="219">
        <v>269636.86799998</v>
      </c>
      <c r="N8" s="257">
        <f t="shared" si="0"/>
        <v>26.963686799998</v>
      </c>
      <c r="P8" s="267">
        <v>45413</v>
      </c>
      <c r="Q8" s="257">
        <v>354.472820000001</v>
      </c>
      <c r="R8" s="257">
        <v>12.57103</v>
      </c>
      <c r="S8" s="257">
        <v>63.0340378000004</v>
      </c>
      <c r="T8" s="257">
        <v>26.229131</v>
      </c>
      <c r="U8" s="257">
        <v>9.76849299999999</v>
      </c>
      <c r="V8" s="257">
        <v>105.1927582</v>
      </c>
      <c r="W8" s="257">
        <v>571.268270000001</v>
      </c>
      <c r="Y8" s="259">
        <v>45069</v>
      </c>
      <c r="Z8" s="257">
        <v>1302.603039</v>
      </c>
      <c r="AA8" s="257">
        <v>124.026741</v>
      </c>
      <c r="AB8" s="257">
        <v>148.961138</v>
      </c>
      <c r="AC8" s="257">
        <v>4.322638</v>
      </c>
      <c r="AD8" s="257">
        <v>29.90199</v>
      </c>
      <c r="AE8" s="260">
        <v>-52.815546</v>
      </c>
      <c r="AF8" s="257">
        <f t="shared" si="2"/>
        <v>1557</v>
      </c>
      <c r="AG8" s="257"/>
      <c r="AH8" s="259">
        <v>44682</v>
      </c>
      <c r="AI8" s="257">
        <v>1428.60565776</v>
      </c>
      <c r="AJ8" s="257">
        <v>235.366807</v>
      </c>
      <c r="AK8" s="257">
        <v>301.569331</v>
      </c>
      <c r="AL8" s="257">
        <v>8.663825</v>
      </c>
      <c r="AM8" s="257">
        <v>17.074243</v>
      </c>
      <c r="AN8" s="260">
        <v>11.25758748</v>
      </c>
      <c r="AO8" s="257">
        <v>2002.53745124</v>
      </c>
    </row>
    <row r="9" spans="1:41">
      <c r="A9" s="259">
        <v>45809</v>
      </c>
      <c r="B9" s="257">
        <f>VLOOKUP(B$3,$L$88:$N$102,3,0)-2.696904</f>
        <v>224.636992140333</v>
      </c>
      <c r="C9" s="257">
        <f>VLOOKUP(C$3,$L$88:$N$102,3,0)</f>
        <v>59.7608408443401</v>
      </c>
      <c r="D9" s="257">
        <f>VLOOKUP(D$3,$L$88:$N$102,3,0)</f>
        <v>95.01155826</v>
      </c>
      <c r="E9" s="257">
        <f>VLOOKUP(E$3,$L$88:$N$102,3,0)</f>
        <v>11.98220176276</v>
      </c>
      <c r="F9" s="257">
        <f>VLOOKUP(F$3,$L$88:$N$102,3,0)</f>
        <v>157.127120877577</v>
      </c>
      <c r="G9" s="257">
        <f>'毛利-收入组成'!D68-SUM(B9:F9)</f>
        <v>-120.479258105007</v>
      </c>
      <c r="H9" s="257">
        <f t="shared" si="1"/>
        <v>428.039455780003</v>
      </c>
      <c r="I9" s="219">
        <f>H9-'毛利-收入组成'!D68</f>
        <v>0</v>
      </c>
      <c r="J9" s="13"/>
      <c r="L9" s="130" t="s">
        <v>312</v>
      </c>
      <c r="M9" s="219">
        <v>5079.13</v>
      </c>
      <c r="N9" s="257">
        <f t="shared" si="0"/>
        <v>0.507913</v>
      </c>
      <c r="P9" s="267">
        <v>45444</v>
      </c>
      <c r="Q9" s="257">
        <v>149.972241731199</v>
      </c>
      <c r="R9" s="257">
        <v>92.7181210033329</v>
      </c>
      <c r="S9" s="257">
        <v>71.6481739000024</v>
      </c>
      <c r="T9" s="257">
        <v>37.70882087</v>
      </c>
      <c r="U9" s="257">
        <v>-8.83048999999999</v>
      </c>
      <c r="V9" s="257">
        <v>125.420105655466</v>
      </c>
      <c r="W9" s="257">
        <v>468.63697316</v>
      </c>
      <c r="Y9" s="259">
        <v>45100</v>
      </c>
      <c r="Z9" s="257">
        <v>2169.7378836</v>
      </c>
      <c r="AA9" s="257">
        <v>178.837016</v>
      </c>
      <c r="AB9" s="257">
        <v>148.181476</v>
      </c>
      <c r="AC9" s="257">
        <v>5.477087</v>
      </c>
      <c r="AD9" s="257">
        <v>17.609325</v>
      </c>
      <c r="AE9" s="260">
        <v>34.1572123999999</v>
      </c>
      <c r="AF9" s="257">
        <f t="shared" si="2"/>
        <v>2554</v>
      </c>
      <c r="AG9" s="257"/>
      <c r="AH9" s="259">
        <v>44713</v>
      </c>
      <c r="AI9" s="257">
        <v>1383.48967498</v>
      </c>
      <c r="AJ9" s="257">
        <v>300.343708</v>
      </c>
      <c r="AK9" s="257">
        <v>383.499409</v>
      </c>
      <c r="AL9" s="257">
        <v>23.121598</v>
      </c>
      <c r="AM9" s="257">
        <v>16.591943</v>
      </c>
      <c r="AN9" s="260">
        <v>-7.40637998000011</v>
      </c>
      <c r="AO9" s="257">
        <v>2099.639953</v>
      </c>
    </row>
    <row r="10" spans="1:41">
      <c r="A10" s="259">
        <v>45839</v>
      </c>
      <c r="B10" s="257">
        <f>VLOOKUP(B$3,$L$106:$N$120,3,0)-4.518992</f>
        <v>178.89543067479</v>
      </c>
      <c r="C10" s="257">
        <f>VLOOKUP(C$3,$L$106:$N$120,3,0)</f>
        <v>37.4585543301243</v>
      </c>
      <c r="D10" s="257">
        <f>VLOOKUP(D$3,$L$106:$N$120,3,0)</f>
        <v>8.70458084000108</v>
      </c>
      <c r="E10" s="257">
        <f>VLOOKUP(E$3,$L$106:$N$120,3,0)</f>
        <v>-38.1518925899988</v>
      </c>
      <c r="F10" s="257">
        <f>VLOOKUP(F$3,$L$106:$N$120,3,0)</f>
        <v>16.992110132474</v>
      </c>
      <c r="G10" s="257">
        <f>'毛利-收入组成'!D69-SUM(B10:F10)</f>
        <v>47.6470543726164</v>
      </c>
      <c r="H10" s="257">
        <f t="shared" si="1"/>
        <v>251.545837760007</v>
      </c>
      <c r="I10" s="219">
        <f>H10-'毛利-收入组成'!D69</f>
        <v>0</v>
      </c>
      <c r="J10" s="13"/>
      <c r="L10" s="130" t="s">
        <v>309</v>
      </c>
      <c r="M10" s="219">
        <v>856053.877600063</v>
      </c>
      <c r="N10" s="257">
        <f t="shared" si="0"/>
        <v>85.6053877600063</v>
      </c>
      <c r="P10" s="267">
        <v>45474</v>
      </c>
      <c r="Q10" s="257">
        <v>653.967844287479</v>
      </c>
      <c r="R10" s="257">
        <v>15.7114769133339</v>
      </c>
      <c r="S10" s="257">
        <v>32.2981582700003</v>
      </c>
      <c r="T10" s="257">
        <v>9.03697142</v>
      </c>
      <c r="U10" s="257">
        <v>20.639444480001</v>
      </c>
      <c r="V10" s="257">
        <v>300.120908809186</v>
      </c>
      <c r="W10" s="257">
        <v>1031.77480418</v>
      </c>
      <c r="Y10" s="259">
        <v>45130</v>
      </c>
      <c r="Z10" s="257">
        <v>1189.8460584</v>
      </c>
      <c r="AA10" s="257">
        <v>81.6037307900001</v>
      </c>
      <c r="AB10" s="257">
        <v>183.830388809999</v>
      </c>
      <c r="AC10" s="257">
        <v>2.632796</v>
      </c>
      <c r="AD10" s="257">
        <v>30.025928</v>
      </c>
      <c r="AE10" s="260">
        <v>168.061098000001</v>
      </c>
      <c r="AF10" s="257">
        <f t="shared" si="2"/>
        <v>1656</v>
      </c>
      <c r="AG10" s="257"/>
      <c r="AH10" s="259">
        <v>44743</v>
      </c>
      <c r="AI10" s="257">
        <v>935.6095559</v>
      </c>
      <c r="AJ10" s="257">
        <v>235.455628</v>
      </c>
      <c r="AK10" s="257">
        <v>213.931443</v>
      </c>
      <c r="AL10" s="257">
        <v>0.593368000000001</v>
      </c>
      <c r="AM10" s="257">
        <v>35.733424</v>
      </c>
      <c r="AN10" s="260">
        <v>2.85519278000015</v>
      </c>
      <c r="AO10" s="257">
        <v>1424.17861168</v>
      </c>
    </row>
    <row r="11" spans="1:41">
      <c r="A11" s="259">
        <v>45870</v>
      </c>
      <c r="B11" s="257">
        <f>VLOOKUP(B$3,$L$124:$N$139,3,0)</f>
        <v>0</v>
      </c>
      <c r="C11" s="257">
        <f>VLOOKUP(C$3,$L$124:$N$139,3,0)</f>
        <v>0</v>
      </c>
      <c r="D11" s="257">
        <f>VLOOKUP(D$3,$L$124:$N$139,3,0)</f>
        <v>0</v>
      </c>
      <c r="E11" s="257">
        <f>VLOOKUP(E$3,$L$124:$N$139,3,0)</f>
        <v>0</v>
      </c>
      <c r="F11" s="257">
        <f>VLOOKUP(F$3,$L$124:$N$139,3,0)</f>
        <v>0</v>
      </c>
      <c r="G11" s="257">
        <f>'毛利-收入组成'!D70-SUM(B11:F11)</f>
        <v>0</v>
      </c>
      <c r="H11" s="257">
        <f t="shared" si="1"/>
        <v>0</v>
      </c>
      <c r="I11" s="219">
        <f>H11-'毛利-收入组成'!D70</f>
        <v>0</v>
      </c>
      <c r="J11" s="13"/>
      <c r="L11" s="130" t="s">
        <v>311</v>
      </c>
      <c r="M11" s="219">
        <v>519693.59999999</v>
      </c>
      <c r="N11" s="257">
        <f t="shared" si="0"/>
        <v>51.969359999999</v>
      </c>
      <c r="P11" s="267">
        <v>45505</v>
      </c>
      <c r="Q11" s="257">
        <v>224.122071024917</v>
      </c>
      <c r="R11" s="257">
        <v>124.301522385014</v>
      </c>
      <c r="S11" s="257">
        <v>57.9888023333322</v>
      </c>
      <c r="T11" s="257">
        <v>8.01916582</v>
      </c>
      <c r="U11" s="257">
        <v>-0.311856200000011</v>
      </c>
      <c r="V11" s="257">
        <v>103.429040636737</v>
      </c>
      <c r="W11" s="257">
        <v>517.548746</v>
      </c>
      <c r="Y11" s="259">
        <v>45161</v>
      </c>
      <c r="Z11" s="257">
        <v>938.958714</v>
      </c>
      <c r="AA11" s="257">
        <v>83.0638879999999</v>
      </c>
      <c r="AB11" s="257">
        <v>175.106368</v>
      </c>
      <c r="AC11" s="257">
        <v>27.620936</v>
      </c>
      <c r="AD11" s="257">
        <v>10.951942</v>
      </c>
      <c r="AE11" s="260">
        <v>156.298152</v>
      </c>
      <c r="AF11" s="257">
        <f t="shared" si="2"/>
        <v>1392</v>
      </c>
      <c r="AG11" s="257"/>
      <c r="AH11" s="259">
        <v>44774</v>
      </c>
      <c r="AI11" s="257">
        <v>2133.3825452</v>
      </c>
      <c r="AJ11" s="257">
        <v>298.554386</v>
      </c>
      <c r="AK11" s="257">
        <v>265.918431000001</v>
      </c>
      <c r="AL11" s="257">
        <v>18.81541</v>
      </c>
      <c r="AM11" s="257">
        <v>19.033014</v>
      </c>
      <c r="AN11" s="260">
        <v>-2.58745204000115</v>
      </c>
      <c r="AO11" s="257">
        <v>2733.11633416</v>
      </c>
    </row>
    <row r="12" spans="1:41">
      <c r="A12" s="259">
        <v>45901</v>
      </c>
      <c r="B12" s="257">
        <f>VLOOKUP(B$3,$L$142:$N$157,3,0)</f>
        <v>0</v>
      </c>
      <c r="C12" s="257">
        <f>VLOOKUP(C$3,$L$142:$N$157,3,0)</f>
        <v>0</v>
      </c>
      <c r="D12" s="257">
        <f>VLOOKUP(D$3,$L$142:$N$157,3,0)</f>
        <v>0</v>
      </c>
      <c r="E12" s="257">
        <f>VLOOKUP(E$3,$L$142:$N$157,3,0)</f>
        <v>0</v>
      </c>
      <c r="F12" s="257">
        <f>VLOOKUP(F$3,$L$142:$N$157,3,0)</f>
        <v>0</v>
      </c>
      <c r="G12" s="257">
        <f>'毛利-收入组成'!D71-SUM(B12:F12)</f>
        <v>0</v>
      </c>
      <c r="H12" s="257">
        <f t="shared" si="1"/>
        <v>0</v>
      </c>
      <c r="I12" s="219">
        <f>H12-'毛利-收入组成'!D71</f>
        <v>0</v>
      </c>
      <c r="J12" s="13"/>
      <c r="L12" s="130" t="s">
        <v>308</v>
      </c>
      <c r="M12" s="219">
        <v>1246817.83162994</v>
      </c>
      <c r="N12" s="257">
        <f t="shared" si="0"/>
        <v>124.681783162994</v>
      </c>
      <c r="P12" s="267">
        <v>45536</v>
      </c>
      <c r="Q12" s="257">
        <v>144.098644214863</v>
      </c>
      <c r="R12" s="257">
        <v>91.6143847484329</v>
      </c>
      <c r="S12" s="257">
        <v>71.2879000633424</v>
      </c>
      <c r="T12" s="257">
        <v>14.46206122</v>
      </c>
      <c r="U12" s="257">
        <v>4.73744980999901</v>
      </c>
      <c r="V12" s="257">
        <v>-21.9007045366383</v>
      </c>
      <c r="W12" s="257">
        <v>304.299735519999</v>
      </c>
      <c r="Y12" s="259">
        <v>45192</v>
      </c>
      <c r="Z12" s="257">
        <v>1074.956236</v>
      </c>
      <c r="AA12" s="257">
        <v>150.781841</v>
      </c>
      <c r="AB12" s="257">
        <v>169.978829999999</v>
      </c>
      <c r="AC12" s="257">
        <v>8.95197</v>
      </c>
      <c r="AD12" s="257">
        <v>9.27780800000002</v>
      </c>
      <c r="AE12" s="260">
        <v>-192.946684999999</v>
      </c>
      <c r="AF12" s="257">
        <f t="shared" si="2"/>
        <v>1221</v>
      </c>
      <c r="AG12" s="257"/>
      <c r="AH12" s="259">
        <v>44805</v>
      </c>
      <c r="AI12" s="257">
        <v>1035.920068</v>
      </c>
      <c r="AJ12" s="257">
        <v>339.88099</v>
      </c>
      <c r="AK12" s="257">
        <v>363.076116999998</v>
      </c>
      <c r="AL12" s="257">
        <v>13.046563</v>
      </c>
      <c r="AM12" s="257">
        <v>45.6350949999999</v>
      </c>
      <c r="AN12" s="260">
        <v>3.46436322000181</v>
      </c>
      <c r="AO12" s="257">
        <v>1801.02319622</v>
      </c>
    </row>
    <row r="13" spans="1:41">
      <c r="A13" s="259">
        <v>45931</v>
      </c>
      <c r="B13" s="257">
        <f>VLOOKUP(B$3,$L$160:$N$174,3,0)</f>
        <v>0</v>
      </c>
      <c r="C13" s="257">
        <f>VLOOKUP(C$3,$L$160:$N$174,3,0)</f>
        <v>0</v>
      </c>
      <c r="D13" s="257">
        <f>VLOOKUP(D$3,$L$160:$N$174,3,0)</f>
        <v>0</v>
      </c>
      <c r="E13" s="257">
        <f>VLOOKUP(E$3,$L$160:$N$174,3,0)</f>
        <v>0</v>
      </c>
      <c r="F13" s="257">
        <f>VLOOKUP(F$3,$L$160:$N$174,3,0)</f>
        <v>0</v>
      </c>
      <c r="G13" s="257">
        <f>'毛利-收入组成'!D72-SUM(B13:F13)</f>
        <v>0</v>
      </c>
      <c r="H13" s="257">
        <f t="shared" si="1"/>
        <v>0</v>
      </c>
      <c r="I13" s="219">
        <f>H13-'毛利-收入组成'!D72</f>
        <v>0</v>
      </c>
      <c r="J13" s="13"/>
      <c r="L13" s="130" t="s">
        <v>307</v>
      </c>
      <c r="M13" s="219">
        <v>-234795.998365416</v>
      </c>
      <c r="N13" s="257">
        <f t="shared" si="0"/>
        <v>-23.4795998365416</v>
      </c>
      <c r="P13" s="267">
        <v>45566</v>
      </c>
      <c r="Q13" s="257">
        <v>-87.0739762047821</v>
      </c>
      <c r="R13" s="257">
        <v>38.976886261276</v>
      </c>
      <c r="S13" s="257">
        <v>17.7530088899978</v>
      </c>
      <c r="T13" s="257">
        <v>60.622509880001</v>
      </c>
      <c r="U13" s="257">
        <v>36.0815662699989</v>
      </c>
      <c r="V13" s="257">
        <v>79.4281335635084</v>
      </c>
      <c r="W13" s="257">
        <v>145.78812866</v>
      </c>
      <c r="Y13" s="259">
        <v>45222</v>
      </c>
      <c r="Z13" s="257">
        <v>1305.922322</v>
      </c>
      <c r="AA13" s="257">
        <v>84.613338</v>
      </c>
      <c r="AB13" s="257">
        <v>146.566763</v>
      </c>
      <c r="AC13" s="257">
        <v>84.596539</v>
      </c>
      <c r="AD13" s="257">
        <v>6.036234</v>
      </c>
      <c r="AE13" s="260">
        <v>188.264804</v>
      </c>
      <c r="AF13" s="257">
        <f t="shared" si="2"/>
        <v>1816</v>
      </c>
      <c r="AG13" s="257"/>
      <c r="AH13" s="259">
        <v>44835</v>
      </c>
      <c r="AI13" s="257">
        <v>692.414385</v>
      </c>
      <c r="AJ13" s="257">
        <v>352.844042</v>
      </c>
      <c r="AK13" s="257">
        <v>326.239635</v>
      </c>
      <c r="AL13" s="257">
        <v>5.990361</v>
      </c>
      <c r="AM13" s="257">
        <v>28.379072</v>
      </c>
      <c r="AN13" s="260">
        <v>11.81060202</v>
      </c>
      <c r="AO13" s="257">
        <v>1417.67809702</v>
      </c>
    </row>
    <row r="14" spans="1:41">
      <c r="A14" s="259">
        <v>45962</v>
      </c>
      <c r="B14" s="257">
        <f>VLOOKUP(B$3,$L$178:$N$192,3,0)</f>
        <v>0</v>
      </c>
      <c r="C14" s="257">
        <f>VLOOKUP(C$3,$L$178:$N$192,3,0)</f>
        <v>0</v>
      </c>
      <c r="D14" s="257">
        <f>VLOOKUP(D$3,$L$178:$N$192,3,0)</f>
        <v>0</v>
      </c>
      <c r="E14" s="257">
        <f>VLOOKUP(E$3,$L$178:$N$192,3,0)</f>
        <v>0</v>
      </c>
      <c r="F14" s="257">
        <f>VLOOKUP(F$3,$L$178:$N$192,3,0)</f>
        <v>0</v>
      </c>
      <c r="G14" s="257">
        <f>'毛利-收入组成'!D73-SUM(B14:F14)</f>
        <v>0</v>
      </c>
      <c r="H14" s="257">
        <f t="shared" si="1"/>
        <v>0</v>
      </c>
      <c r="I14" s="219">
        <f>H14-'毛利-收入组成'!D73</f>
        <v>0</v>
      </c>
      <c r="J14" s="13"/>
      <c r="L14" s="130" t="s">
        <v>310</v>
      </c>
      <c r="M14" s="219">
        <v>91372.1827</v>
      </c>
      <c r="N14" s="257">
        <f t="shared" si="0"/>
        <v>9.13721827</v>
      </c>
      <c r="P14" s="267">
        <v>45597</v>
      </c>
      <c r="Q14" s="257">
        <v>-84.4429895637384</v>
      </c>
      <c r="R14" s="257">
        <v>-44.9672010228491</v>
      </c>
      <c r="S14" s="257">
        <v>7.29180698666709</v>
      </c>
      <c r="T14" s="257">
        <v>30.691759250001</v>
      </c>
      <c r="U14" s="257">
        <v>75.976361969999</v>
      </c>
      <c r="V14" s="257">
        <v>193.632770349913</v>
      </c>
      <c r="W14" s="257">
        <v>178.182507969993</v>
      </c>
      <c r="Y14" s="259">
        <v>45253</v>
      </c>
      <c r="Z14" s="271">
        <v>1952.80234700005</v>
      </c>
      <c r="AA14" s="257">
        <v>171.725262</v>
      </c>
      <c r="AB14" s="257">
        <v>168.950715</v>
      </c>
      <c r="AC14" s="257">
        <v>42.34075</v>
      </c>
      <c r="AD14" s="257">
        <v>-16.736957</v>
      </c>
      <c r="AE14" s="260">
        <v>30.9030070000022</v>
      </c>
      <c r="AF14" s="257">
        <f t="shared" si="2"/>
        <v>2349.98512400005</v>
      </c>
      <c r="AG14" s="257"/>
      <c r="AH14" s="259">
        <v>44866</v>
      </c>
      <c r="AI14" s="257">
        <v>1072.982774</v>
      </c>
      <c r="AJ14" s="257">
        <v>457.14086</v>
      </c>
      <c r="AK14" s="257">
        <v>640.894881000001</v>
      </c>
      <c r="AL14" s="257">
        <v>30.073658</v>
      </c>
      <c r="AM14" s="257">
        <v>22.883387</v>
      </c>
      <c r="AN14" s="260">
        <v>0.013025339998876</v>
      </c>
      <c r="AO14" s="257">
        <v>2223.98858534</v>
      </c>
    </row>
    <row r="15" spans="1:41">
      <c r="A15" s="259">
        <v>45992</v>
      </c>
      <c r="B15" s="257">
        <f>VLOOKUP(B$3,$L$196:$N$210,3,0)</f>
        <v>0</v>
      </c>
      <c r="C15" s="257">
        <f>VLOOKUP(C$3,$L$196:$N$210,3,0)</f>
        <v>0</v>
      </c>
      <c r="D15" s="257">
        <f>VLOOKUP(D$3,$L$196:$N$210,3,0)</f>
        <v>0</v>
      </c>
      <c r="E15" s="257">
        <f>VLOOKUP(E$3,$L$196:$N$210,3,0)</f>
        <v>0</v>
      </c>
      <c r="F15" s="257">
        <f>VLOOKUP(F$3,$L$196:$N$210,3,0)</f>
        <v>0</v>
      </c>
      <c r="G15" s="257">
        <f>'毛利-收入组成'!D74-SUM(B15:F15)</f>
        <v>0</v>
      </c>
      <c r="H15" s="257">
        <f t="shared" si="1"/>
        <v>0</v>
      </c>
      <c r="I15" s="219">
        <f>H15-'毛利-收入组成'!D74</f>
        <v>0</v>
      </c>
      <c r="L15" s="130" t="e">
        <v>#N/A</v>
      </c>
      <c r="M15" s="219">
        <v>5341357.36033427</v>
      </c>
      <c r="N15" s="257">
        <f t="shared" si="0"/>
        <v>534.135736033427</v>
      </c>
      <c r="P15" s="267">
        <v>45627</v>
      </c>
      <c r="Q15" s="257">
        <v>-179.556666097912</v>
      </c>
      <c r="R15" s="257">
        <v>253.323589351761</v>
      </c>
      <c r="S15" s="257">
        <v>62.8561944033337</v>
      </c>
      <c r="T15" s="257">
        <v>20.67469113</v>
      </c>
      <c r="U15" s="257">
        <v>42.6616787199539</v>
      </c>
      <c r="V15" s="257">
        <v>182.460215092863</v>
      </c>
      <c r="W15" s="257">
        <v>382.4197026</v>
      </c>
      <c r="Y15" s="259">
        <v>45291</v>
      </c>
      <c r="Z15" s="271">
        <v>2398.57486500007</v>
      </c>
      <c r="AA15" s="257">
        <v>209.537445</v>
      </c>
      <c r="AB15" s="257">
        <v>141.840993999999</v>
      </c>
      <c r="AC15" s="257">
        <v>26.409246</v>
      </c>
      <c r="AD15" s="257">
        <v>21.408224</v>
      </c>
      <c r="AE15" s="260">
        <v>-172.158659999996</v>
      </c>
      <c r="AF15" s="257">
        <f t="shared" si="2"/>
        <v>2625.61211400007</v>
      </c>
      <c r="AG15" s="257"/>
      <c r="AH15" s="259">
        <v>44896</v>
      </c>
      <c r="AI15" s="257">
        <v>3968.444318</v>
      </c>
      <c r="AJ15" s="257">
        <v>414.699762</v>
      </c>
      <c r="AK15" s="257">
        <v>572.218704</v>
      </c>
      <c r="AL15" s="257">
        <v>16.194029</v>
      </c>
      <c r="AM15" s="257">
        <v>57.379505</v>
      </c>
      <c r="AN15" s="260">
        <v>158.177773599999</v>
      </c>
      <c r="AO15" s="257">
        <v>5187.1140916</v>
      </c>
    </row>
    <row r="16" spans="1:41">
      <c r="A16" s="1" t="s">
        <v>15</v>
      </c>
      <c r="B16" s="257">
        <f t="shared" ref="B16:H16" si="3">SUM(B4:B15)</f>
        <v>1203.39888989033</v>
      </c>
      <c r="C16" s="257">
        <f t="shared" si="3"/>
        <v>458.418779165997</v>
      </c>
      <c r="D16" s="257">
        <f t="shared" si="3"/>
        <v>413.849346880025</v>
      </c>
      <c r="E16" s="257">
        <f t="shared" si="3"/>
        <v>67.6911271434781</v>
      </c>
      <c r="F16" s="257">
        <f t="shared" si="3"/>
        <v>435.555598830888</v>
      </c>
      <c r="G16" s="257">
        <f t="shared" si="3"/>
        <v>354.460077449587</v>
      </c>
      <c r="H16" s="257">
        <f t="shared" si="3"/>
        <v>2933.37381936031</v>
      </c>
      <c r="I16" s="219">
        <f>H16-'毛利-收入组成'!D82</f>
        <v>0</v>
      </c>
      <c r="L16" s="130" t="s">
        <v>319</v>
      </c>
      <c r="M16" s="219">
        <f>SUM(M3:M15)</f>
        <v>11322203.1357718</v>
      </c>
      <c r="N16" s="257">
        <f>SUM(N3:N15)</f>
        <v>1132.22031357718</v>
      </c>
      <c r="P16" s="267" t="s">
        <v>15</v>
      </c>
      <c r="Q16" s="257">
        <f t="shared" ref="Q16:W16" si="4">SUM(Q4:Q10)</f>
        <v>4014.53286701875</v>
      </c>
      <c r="R16" s="257">
        <f t="shared" si="4"/>
        <v>448.829131916667</v>
      </c>
      <c r="S16" s="257">
        <f t="shared" si="4"/>
        <v>388.624440970002</v>
      </c>
      <c r="T16" s="257">
        <f t="shared" si="4"/>
        <v>120.38697329</v>
      </c>
      <c r="U16" s="257">
        <f t="shared" si="4"/>
        <v>-29.219411519999</v>
      </c>
      <c r="V16" s="257">
        <f t="shared" si="4"/>
        <v>450.400602214661</v>
      </c>
      <c r="W16" s="257">
        <f t="shared" si="4"/>
        <v>5393.55460389008</v>
      </c>
      <c r="Y16" s="272" t="s">
        <v>15</v>
      </c>
      <c r="Z16" s="257">
        <f t="shared" ref="Z16:AF16" si="5">SUM(Z4:Z10)</f>
        <v>9330.171595</v>
      </c>
      <c r="AA16" s="257">
        <f t="shared" si="5"/>
        <v>636.69866379</v>
      </c>
      <c r="AB16" s="257">
        <f t="shared" si="5"/>
        <v>1310.00165781</v>
      </c>
      <c r="AC16" s="257">
        <f t="shared" si="5"/>
        <v>63.550673</v>
      </c>
      <c r="AD16" s="257">
        <f t="shared" si="5"/>
        <v>229.933987</v>
      </c>
      <c r="AE16" s="257">
        <f t="shared" si="5"/>
        <v>267.6434234</v>
      </c>
      <c r="AF16" s="257">
        <f t="shared" si="5"/>
        <v>11838</v>
      </c>
      <c r="AG16" s="257"/>
      <c r="AH16" s="272" t="s">
        <v>15</v>
      </c>
      <c r="AI16" s="257">
        <f t="shared" ref="AI16:AN16" si="6">SUM(AI4:AI15)</f>
        <v>15553.38440284</v>
      </c>
      <c r="AJ16" s="257">
        <f t="shared" si="6"/>
        <v>3843.285051</v>
      </c>
      <c r="AK16" s="257">
        <f t="shared" si="6"/>
        <v>4100.23287</v>
      </c>
      <c r="AL16" s="257">
        <f t="shared" si="6"/>
        <v>159.262399</v>
      </c>
      <c r="AM16" s="257">
        <f t="shared" si="6"/>
        <v>358.172127</v>
      </c>
      <c r="AN16" s="257">
        <f t="shared" si="6"/>
        <v>147.364653540201</v>
      </c>
      <c r="AO16" s="257">
        <f>SUM(AI16:AN16)</f>
        <v>24161.7015033802</v>
      </c>
    </row>
    <row r="17" spans="1:40">
      <c r="A17" s="1" t="s">
        <v>88</v>
      </c>
      <c r="B17" s="148">
        <f t="shared" ref="B17:G17" si="7">B16/$H$16</f>
        <v>0.410243959343975</v>
      </c>
      <c r="C17" s="148">
        <f t="shared" si="7"/>
        <v>0.156276972317823</v>
      </c>
      <c r="D17" s="148">
        <f t="shared" si="7"/>
        <v>0.141083057382122</v>
      </c>
      <c r="E17" s="148">
        <f t="shared" si="7"/>
        <v>0.023076202118092</v>
      </c>
      <c r="F17" s="148">
        <f t="shared" si="7"/>
        <v>0.148482813869891</v>
      </c>
      <c r="G17" s="148">
        <f t="shared" si="7"/>
        <v>0.120836994968096</v>
      </c>
      <c r="P17" s="267" t="s">
        <v>88</v>
      </c>
      <c r="Q17" s="148">
        <f t="shared" ref="Q17:V17" si="8">Q16/$W$16</f>
        <v>0.744320427223131</v>
      </c>
      <c r="R17" s="148">
        <f t="shared" si="8"/>
        <v>0.0832158316507912</v>
      </c>
      <c r="S17" s="148">
        <f t="shared" si="8"/>
        <v>0.0720534915303737</v>
      </c>
      <c r="T17" s="148">
        <f t="shared" si="8"/>
        <v>0.0223205255404611</v>
      </c>
      <c r="U17" s="148">
        <f t="shared" si="8"/>
        <v>-0.00541746837955894</v>
      </c>
      <c r="V17" s="148">
        <f t="shared" si="8"/>
        <v>0.083507192434802</v>
      </c>
      <c r="W17" s="257">
        <f>W16-'毛利-收入组成'!D81</f>
        <v>0</v>
      </c>
      <c r="Y17" s="1" t="s">
        <v>88</v>
      </c>
      <c r="Z17" s="148">
        <f t="shared" ref="Z17:AE17" si="9">Z16/$AF$16</f>
        <v>0.788154383764149</v>
      </c>
      <c r="AA17" s="148">
        <f t="shared" si="9"/>
        <v>0.0537843101697922</v>
      </c>
      <c r="AB17" s="148">
        <f t="shared" si="9"/>
        <v>0.110660724599595</v>
      </c>
      <c r="AC17" s="148">
        <f t="shared" si="9"/>
        <v>0.00536836230782227</v>
      </c>
      <c r="AD17" s="148">
        <f t="shared" si="9"/>
        <v>0.0194233812299375</v>
      </c>
      <c r="AE17" s="148">
        <f t="shared" si="9"/>
        <v>0.0226088379287042</v>
      </c>
      <c r="AF17"/>
      <c r="AG17"/>
      <c r="AH17" s="1" t="s">
        <v>88</v>
      </c>
      <c r="AI17" s="148">
        <f t="shared" ref="AI17:AN17" si="10">AI16/$AO$16</f>
        <v>0.643720575749357</v>
      </c>
      <c r="AJ17" s="148">
        <f t="shared" si="10"/>
        <v>0.159065165607742</v>
      </c>
      <c r="AK17" s="148">
        <f t="shared" si="10"/>
        <v>0.169699674065851</v>
      </c>
      <c r="AL17" s="148">
        <f t="shared" si="10"/>
        <v>0.00659152249595168</v>
      </c>
      <c r="AM17" s="148">
        <f t="shared" si="10"/>
        <v>0.0148239612574426</v>
      </c>
      <c r="AN17" s="148">
        <f t="shared" si="10"/>
        <v>0.00609910082365617</v>
      </c>
    </row>
    <row r="18" spans="1:41">
      <c r="A18" s="1" t="s">
        <v>65</v>
      </c>
      <c r="B18" s="148">
        <f>B16/'GMV表-品牌'!B16</f>
        <v>0.0365389035708164</v>
      </c>
      <c r="C18" s="148">
        <f>C16/'GMV表-品牌'!C16</f>
        <v>0.0735688828557925</v>
      </c>
      <c r="D18" s="148">
        <f>D16/'GMV表-品牌'!D16</f>
        <v>0.00669847309535907</v>
      </c>
      <c r="E18" s="148">
        <f>E16/'GMV表-品牌'!E16</f>
        <v>0.026477033534579</v>
      </c>
      <c r="F18" s="148">
        <f>F16/'GMV表-品牌'!F16</f>
        <v>0.0485725827147631</v>
      </c>
      <c r="G18" s="148">
        <f>G16/'GMV表-品牌'!G16</f>
        <v>41.3745125243874</v>
      </c>
      <c r="H18" s="148">
        <f>H16/'GMV表-品牌'!H16</f>
        <v>0.0260788866334036</v>
      </c>
      <c r="P18" s="267" t="s">
        <v>65</v>
      </c>
      <c r="Q18" s="148">
        <f>Q16/'GMV表-品牌'!Q16</f>
        <v>0.0756860737468992</v>
      </c>
      <c r="R18" s="148">
        <f>R16/'GMV表-品牌'!R16</f>
        <v>0.0611013695654247</v>
      </c>
      <c r="S18" s="148">
        <f>S16/'GMV表-品牌'!S16</f>
        <v>0.00342385928527908</v>
      </c>
      <c r="T18" s="148">
        <f>T16/'GMV表-品牌'!T16</f>
        <v>0.0916669778491973</v>
      </c>
      <c r="U18" s="148">
        <f>U16/'GMV表-品牌'!U16</f>
        <v>-0.00595790352484258</v>
      </c>
      <c r="V18" s="148">
        <f>V16/'GMV表-品牌'!V16</f>
        <v>-2.07811959250735</v>
      </c>
      <c r="W18" s="148">
        <f>W16/'GMV表-品牌'!W16</f>
        <v>0.029981977963295</v>
      </c>
      <c r="Y18" s="272" t="s">
        <v>65</v>
      </c>
      <c r="Z18" s="148">
        <f>Z16/'GMV表-品牌'!AA16</f>
        <v>0.122280229833632</v>
      </c>
      <c r="AA18" s="148">
        <f>AA16/'GMV表-品牌'!AB16</f>
        <v>0.0405542578936262</v>
      </c>
      <c r="AB18" s="148">
        <f>AB16/'GMV表-品牌'!AC16</f>
        <v>0.00672495266884699</v>
      </c>
      <c r="AC18" s="148">
        <f>AC16/'GMV表-品牌'!AD16</f>
        <v>0.0993579687382554</v>
      </c>
      <c r="AD18" s="148">
        <f>AD16/'GMV表-品牌'!AE16</f>
        <v>0.0952680841196406</v>
      </c>
      <c r="AE18" s="148">
        <f>AE16/'GMV表-品牌'!AF16</f>
        <v>1.40087839720748</v>
      </c>
      <c r="AF18" s="148">
        <f>AF16/'GMV表-品牌'!AG16</f>
        <v>0.040814659440944</v>
      </c>
      <c r="AG18" s="148"/>
      <c r="AH18" s="272" t="s">
        <v>65</v>
      </c>
      <c r="AI18" s="148">
        <f>AI16/'GMV表-品牌'!AK16</f>
        <v>0.140001039554947</v>
      </c>
      <c r="AJ18" s="148">
        <f>AJ16/'GMV表-品牌'!AL16</f>
        <v>0.0852150821466507</v>
      </c>
      <c r="AK18" s="148">
        <f>AK16/'GMV表-品牌'!AM16</f>
        <v>0.0099230606250002</v>
      </c>
      <c r="AL18" s="148">
        <f>AL16/'GMV表-品牌'!AN16</f>
        <v>0.148549617650181</v>
      </c>
      <c r="AM18" s="148">
        <f>AM16/'GMV表-品牌'!AO16</f>
        <v>0.0882605989150661</v>
      </c>
      <c r="AN18" s="148">
        <f>AN16/'GMV表-品牌'!AP16</f>
        <v>0.0789714349281859</v>
      </c>
      <c r="AO18" s="148">
        <v>0.041918688464147</v>
      </c>
    </row>
    <row r="19" spans="1:40">
      <c r="A19" s="1" t="s">
        <v>199</v>
      </c>
      <c r="B19" s="244">
        <f t="shared" ref="B19:H19" si="11">B16-Q16</f>
        <v>-2811.13397712842</v>
      </c>
      <c r="C19" s="244">
        <f t="shared" si="11"/>
        <v>9.58964724933003</v>
      </c>
      <c r="D19" s="244">
        <f t="shared" si="11"/>
        <v>25.224905910023</v>
      </c>
      <c r="E19" s="244">
        <f t="shared" si="11"/>
        <v>-52.6958461465219</v>
      </c>
      <c r="F19" s="244">
        <f t="shared" si="11"/>
        <v>464.775010350887</v>
      </c>
      <c r="G19" s="244">
        <f t="shared" si="11"/>
        <v>-95.9405247650743</v>
      </c>
      <c r="H19" s="244">
        <f t="shared" si="11"/>
        <v>-2460.18078452977</v>
      </c>
      <c r="I19" s="215">
        <f>H19-'毛利-收入组成'!D84</f>
        <v>3.63797880709171e-12</v>
      </c>
      <c r="K19" s="1" t="s">
        <v>149</v>
      </c>
      <c r="L19" s="130" t="s">
        <v>302</v>
      </c>
      <c r="M19" s="257" t="s">
        <v>418</v>
      </c>
      <c r="N19" s="257" t="s">
        <v>304</v>
      </c>
      <c r="P19" s="267"/>
      <c r="Y19" s="1"/>
      <c r="Z19" s="130"/>
      <c r="AA19" s="130"/>
      <c r="AB19" s="130"/>
      <c r="AC19" s="130"/>
      <c r="AD19" s="130"/>
      <c r="AE19" s="130"/>
      <c r="AF19"/>
      <c r="AG19"/>
      <c r="AH19" s="1"/>
      <c r="AI19" s="130"/>
      <c r="AJ19" s="130"/>
      <c r="AK19" s="130"/>
      <c r="AL19" s="130"/>
      <c r="AM19" s="130"/>
      <c r="AN19" s="130"/>
    </row>
    <row r="20" spans="1:40">
      <c r="A20" s="1" t="s">
        <v>419</v>
      </c>
      <c r="L20" s="130" t="s">
        <v>306</v>
      </c>
      <c r="M20" s="257">
        <v>1811175.88995978</v>
      </c>
      <c r="N20" s="257">
        <f t="shared" ref="N20:N32" si="12">M20/10000</f>
        <v>181.117588995978</v>
      </c>
      <c r="P20" s="267" t="s">
        <v>419</v>
      </c>
      <c r="Y20" s="1" t="s">
        <v>419</v>
      </c>
      <c r="Z20" s="130"/>
      <c r="AA20" s="130"/>
      <c r="AB20" s="130"/>
      <c r="AC20" s="130"/>
      <c r="AD20" s="130"/>
      <c r="AE20" s="130"/>
      <c r="AF20"/>
      <c r="AG20"/>
      <c r="AH20" s="1" t="s">
        <v>419</v>
      </c>
      <c r="AI20" s="130"/>
      <c r="AJ20" s="130"/>
      <c r="AK20" s="130"/>
      <c r="AL20" s="130"/>
      <c r="AM20" s="130"/>
      <c r="AN20" s="130"/>
    </row>
    <row r="21" spans="1:41">
      <c r="A21" s="1" t="s">
        <v>84</v>
      </c>
      <c r="B21" s="130" t="s">
        <v>316</v>
      </c>
      <c r="C21" s="130" t="s">
        <v>314</v>
      </c>
      <c r="D21" s="130" t="s">
        <v>306</v>
      </c>
      <c r="E21" s="130" t="s">
        <v>323</v>
      </c>
      <c r="F21" s="130" t="s">
        <v>315</v>
      </c>
      <c r="G21" s="130" t="s">
        <v>318</v>
      </c>
      <c r="H21" s="1" t="s">
        <v>15</v>
      </c>
      <c r="I21" s="1" t="s">
        <v>313</v>
      </c>
      <c r="L21" s="130" t="s">
        <v>314</v>
      </c>
      <c r="M21" s="257">
        <v>50891.2497092075</v>
      </c>
      <c r="N21" s="257">
        <f t="shared" si="12"/>
        <v>5.08912497092075</v>
      </c>
      <c r="P21" s="267" t="s">
        <v>84</v>
      </c>
      <c r="Q21" s="257" t="s">
        <v>316</v>
      </c>
      <c r="R21" s="257" t="s">
        <v>314</v>
      </c>
      <c r="S21" s="257" t="s">
        <v>306</v>
      </c>
      <c r="T21" s="257" t="s">
        <v>323</v>
      </c>
      <c r="U21" s="257" t="s">
        <v>315</v>
      </c>
      <c r="V21" s="257" t="s">
        <v>318</v>
      </c>
      <c r="W21" s="257" t="s">
        <v>15</v>
      </c>
      <c r="Y21" s="1" t="s">
        <v>84</v>
      </c>
      <c r="Z21" s="130" t="s">
        <v>316</v>
      </c>
      <c r="AA21" s="130" t="s">
        <v>314</v>
      </c>
      <c r="AB21" s="130" t="s">
        <v>306</v>
      </c>
      <c r="AC21" s="130" t="s">
        <v>323</v>
      </c>
      <c r="AD21" s="257" t="s">
        <v>315</v>
      </c>
      <c r="AE21" s="130" t="s">
        <v>318</v>
      </c>
      <c r="AF21" s="1" t="s">
        <v>15</v>
      </c>
      <c r="AG21" s="1"/>
      <c r="AH21" s="1" t="s">
        <v>84</v>
      </c>
      <c r="AI21" s="130" t="s">
        <v>316</v>
      </c>
      <c r="AJ21" s="130" t="s">
        <v>314</v>
      </c>
      <c r="AK21" s="130" t="s">
        <v>306</v>
      </c>
      <c r="AL21" s="130" t="s">
        <v>315</v>
      </c>
      <c r="AM21" s="130" t="s">
        <v>317</v>
      </c>
      <c r="AN21" s="130" t="s">
        <v>318</v>
      </c>
      <c r="AO21" s="1" t="s">
        <v>15</v>
      </c>
    </row>
    <row r="22" spans="1:43">
      <c r="A22" s="259">
        <v>45658</v>
      </c>
      <c r="B22" s="257">
        <f>VLOOKUP(B$21,$L$3:$N$16,3,0)</f>
        <v>0.887698690788</v>
      </c>
      <c r="C22" s="257">
        <f>VLOOKUP(C$21,$L$3:$N$16,3,0)</f>
        <v>24.9606163774748</v>
      </c>
      <c r="D22" s="257">
        <f>VLOOKUP(D$21,$L$3:$N$16,3,0)</f>
        <v>58.4619909243569</v>
      </c>
      <c r="E22" s="257">
        <f>-74.7239821253189+106.281902</f>
        <v>31.5579198746811</v>
      </c>
      <c r="F22" s="257">
        <v>312.865204519994</v>
      </c>
      <c r="G22" s="260">
        <v>67.5461426928054</v>
      </c>
      <c r="H22" s="257">
        <f t="shared" ref="H22:H33" si="13">SUM(B22:G22)</f>
        <v>496.2795730801</v>
      </c>
      <c r="I22" s="268">
        <f>H22-'毛利-收入组成'!E63</f>
        <v>0</v>
      </c>
      <c r="L22" s="130" t="s">
        <v>315</v>
      </c>
      <c r="M22" s="257">
        <v>9515137.99529652</v>
      </c>
      <c r="N22" s="257">
        <f t="shared" si="12"/>
        <v>951.513799529652</v>
      </c>
      <c r="P22" s="267">
        <v>45292</v>
      </c>
      <c r="Q22" s="257">
        <v>12.206299</v>
      </c>
      <c r="R22" s="257">
        <v>40.929142</v>
      </c>
      <c r="S22" s="257">
        <v>96.196089</v>
      </c>
      <c r="T22" s="257">
        <v>160.894617999999</v>
      </c>
      <c r="U22" s="257">
        <v>305.065021000001</v>
      </c>
      <c r="V22" s="257">
        <v>22.6605126200019</v>
      </c>
      <c r="W22" s="257">
        <f t="shared" ref="W22:W33" si="14">SUM(Q22:V22)</f>
        <v>637.951681620002</v>
      </c>
      <c r="X22" s="269">
        <f>W22-'毛利-收入组成'!E51</f>
        <v>0</v>
      </c>
      <c r="Y22" s="259">
        <v>44949</v>
      </c>
      <c r="Z22" s="257">
        <v>37</v>
      </c>
      <c r="AA22" s="257">
        <v>8</v>
      </c>
      <c r="AB22" s="257">
        <v>68</v>
      </c>
      <c r="AC22" s="257">
        <v>96.7379709999997</v>
      </c>
      <c r="AD22" s="257">
        <v>386.940729</v>
      </c>
      <c r="AE22" s="257">
        <v>26</v>
      </c>
      <c r="AF22" s="257">
        <f t="shared" ref="AF22:AF33" si="15">SUM(Z22:AE22)</f>
        <v>622.6787</v>
      </c>
      <c r="AG22" s="257"/>
      <c r="AH22" s="259">
        <v>44562</v>
      </c>
      <c r="AI22" s="257">
        <v>2</v>
      </c>
      <c r="AJ22" s="257">
        <v>33</v>
      </c>
      <c r="AK22" s="257">
        <v>-11</v>
      </c>
      <c r="AL22" s="257">
        <v>218</v>
      </c>
      <c r="AM22" s="257">
        <v>4</v>
      </c>
      <c r="AN22" s="257">
        <v>41</v>
      </c>
      <c r="AO22" s="257">
        <v>288</v>
      </c>
      <c r="AP22" s="157"/>
      <c r="AQ22" s="4"/>
    </row>
    <row r="23" spans="1:43">
      <c r="A23" s="259">
        <v>45689</v>
      </c>
      <c r="B23" s="257">
        <f>VLOOKUP(B$21,$L$19:$N$33,3,0)</f>
        <v>1.024782835788</v>
      </c>
      <c r="C23" s="257">
        <f>VLOOKUP(C$21,$L$19:$N$33,3,0)</f>
        <v>5.08912497092075</v>
      </c>
      <c r="D23" s="257">
        <f>VLOOKUP(D$21,$L$19:$N$33,3,0)</f>
        <v>181.117588995978</v>
      </c>
      <c r="E23" s="257">
        <f>499.96399420639+75.323061</f>
        <v>575.28705520639</v>
      </c>
      <c r="F23" s="257">
        <v>451.54980532326</v>
      </c>
      <c r="G23" s="260">
        <v>53.9837057476533</v>
      </c>
      <c r="H23" s="257">
        <f t="shared" si="13"/>
        <v>1268.05206307999</v>
      </c>
      <c r="I23" s="268">
        <f>H23-'毛利-收入组成'!E64</f>
        <v>0</v>
      </c>
      <c r="L23" s="130" t="s">
        <v>316</v>
      </c>
      <c r="M23" s="257">
        <v>10247.82835788</v>
      </c>
      <c r="N23" s="257">
        <f t="shared" si="12"/>
        <v>1.024782835788</v>
      </c>
      <c r="P23" s="267">
        <v>45323</v>
      </c>
      <c r="Q23" s="257">
        <v>9.00780799999999</v>
      </c>
      <c r="R23" s="257">
        <v>5.66743999999999</v>
      </c>
      <c r="S23" s="257">
        <v>-176.905604</v>
      </c>
      <c r="T23" s="257">
        <v>114.153577</v>
      </c>
      <c r="U23" s="257">
        <v>259.200264</v>
      </c>
      <c r="V23" s="257">
        <v>38.76879458</v>
      </c>
      <c r="W23" s="257">
        <f t="shared" si="14"/>
        <v>249.89227958</v>
      </c>
      <c r="X23" s="269">
        <f>W23-'毛利-收入组成'!E52</f>
        <v>0</v>
      </c>
      <c r="Y23" s="259">
        <v>44980</v>
      </c>
      <c r="Z23" s="257">
        <v>41</v>
      </c>
      <c r="AA23" s="257">
        <v>6</v>
      </c>
      <c r="AB23" s="257">
        <v>52</v>
      </c>
      <c r="AC23" s="257">
        <v>48.88595</v>
      </c>
      <c r="AD23" s="257">
        <v>552.11405</v>
      </c>
      <c r="AE23" s="257">
        <v>25</v>
      </c>
      <c r="AF23" s="257">
        <f t="shared" si="15"/>
        <v>725</v>
      </c>
      <c r="AG23" s="257"/>
      <c r="AH23" s="259">
        <v>44593</v>
      </c>
      <c r="AI23" s="257">
        <v>5</v>
      </c>
      <c r="AJ23" s="257">
        <v>32</v>
      </c>
      <c r="AK23" s="257">
        <v>17</v>
      </c>
      <c r="AL23" s="257">
        <v>178</v>
      </c>
      <c r="AM23" s="257">
        <v>8</v>
      </c>
      <c r="AN23" s="257">
        <v>-47</v>
      </c>
      <c r="AO23" s="257">
        <v>194</v>
      </c>
      <c r="AP23" s="157"/>
      <c r="AQ23" s="4"/>
    </row>
    <row r="24" spans="1:43">
      <c r="A24" s="259">
        <v>45717</v>
      </c>
      <c r="B24" s="257">
        <f>VLOOKUP(B$21,$L$36:$N$49,3,0)</f>
        <v>1.589795386455</v>
      </c>
      <c r="C24" s="257">
        <f>VLOOKUP(C$21,$L$36:$N$49,3,0)</f>
        <v>3.05457111496275</v>
      </c>
      <c r="D24" s="257">
        <f>VLOOKUP(D$21,$L$36:$N$49,3,0)</f>
        <v>135.394785309018</v>
      </c>
      <c r="E24" s="257">
        <f>271.959925245508+90.231406</f>
        <v>362.191331245508</v>
      </c>
      <c r="F24" s="257">
        <v>319.739631088238</v>
      </c>
      <c r="G24" s="260">
        <v>103.271598495815</v>
      </c>
      <c r="H24" s="257">
        <f t="shared" si="13"/>
        <v>925.241712639997</v>
      </c>
      <c r="I24" s="268">
        <f>H24-'毛利-收入组成'!E65</f>
        <v>0</v>
      </c>
      <c r="J24" s="14"/>
      <c r="L24" s="130" t="s">
        <v>317</v>
      </c>
      <c r="M24" s="257">
        <v>2822</v>
      </c>
      <c r="N24" s="257">
        <f t="shared" si="12"/>
        <v>0.2822</v>
      </c>
      <c r="P24" s="267">
        <v>45352</v>
      </c>
      <c r="Q24" s="257">
        <v>10.602282</v>
      </c>
      <c r="R24" s="257">
        <v>0.393114999999986</v>
      </c>
      <c r="S24" s="257">
        <v>49.526742</v>
      </c>
      <c r="T24" s="257">
        <v>369.099158000001</v>
      </c>
      <c r="U24" s="257">
        <v>215.822582999999</v>
      </c>
      <c r="V24" s="257">
        <v>27.7291869999999</v>
      </c>
      <c r="W24" s="257">
        <f t="shared" si="14"/>
        <v>673.173067</v>
      </c>
      <c r="X24" s="269">
        <f>W24-'毛利-收入组成'!E53</f>
        <v>0</v>
      </c>
      <c r="Y24" s="259">
        <v>45008</v>
      </c>
      <c r="Z24" s="257">
        <v>48</v>
      </c>
      <c r="AA24" s="257">
        <v>11</v>
      </c>
      <c r="AB24" s="257">
        <v>-1</v>
      </c>
      <c r="AC24" s="257">
        <v>348.94622388</v>
      </c>
      <c r="AD24" s="257">
        <v>524.05377612</v>
      </c>
      <c r="AE24" s="257">
        <v>-23</v>
      </c>
      <c r="AF24" s="257">
        <f t="shared" si="15"/>
        <v>908</v>
      </c>
      <c r="AG24" s="257"/>
      <c r="AH24" s="259">
        <v>44621</v>
      </c>
      <c r="AI24" s="257">
        <v>9</v>
      </c>
      <c r="AJ24" s="257">
        <v>15</v>
      </c>
      <c r="AK24" s="257">
        <v>12</v>
      </c>
      <c r="AL24" s="257">
        <v>341</v>
      </c>
      <c r="AM24" s="257">
        <v>7</v>
      </c>
      <c r="AN24" s="257">
        <v>3</v>
      </c>
      <c r="AO24" s="257">
        <v>386</v>
      </c>
      <c r="AP24" s="157"/>
      <c r="AQ24" s="4"/>
    </row>
    <row r="25" spans="1:43">
      <c r="A25" s="259">
        <v>45748</v>
      </c>
      <c r="B25" s="257">
        <f>VLOOKUP(B$21,$L$53:$N$67,3,0)</f>
        <v>1.558812</v>
      </c>
      <c r="C25" s="257">
        <f>VLOOKUP(C$21,$L$53:$N$67,3,0)</f>
        <v>-4.878108</v>
      </c>
      <c r="D25" s="257">
        <f>VLOOKUP(D$21,$L$53:$N$67,3,0)</f>
        <v>93.428788</v>
      </c>
      <c r="E25" s="257">
        <f>201.829854475272+157.848355</f>
        <v>359.678209475272</v>
      </c>
      <c r="F25" s="257">
        <v>100.572812524728</v>
      </c>
      <c r="G25" s="260">
        <v>78.203677299999</v>
      </c>
      <c r="H25" s="257">
        <f t="shared" si="13"/>
        <v>628.564191299999</v>
      </c>
      <c r="I25" s="268">
        <f>H25-'毛利-收入组成'!E66</f>
        <v>0</v>
      </c>
      <c r="J25" s="13"/>
      <c r="L25" s="130" t="s">
        <v>318</v>
      </c>
      <c r="M25" s="257">
        <v>230569.120799999</v>
      </c>
      <c r="N25" s="257">
        <f t="shared" si="12"/>
        <v>23.0569120799999</v>
      </c>
      <c r="P25" s="267">
        <v>45383</v>
      </c>
      <c r="Q25" s="257">
        <v>6.68591600000002</v>
      </c>
      <c r="R25" s="257">
        <v>16.499123</v>
      </c>
      <c r="S25" s="257">
        <v>-38.4385280000001</v>
      </c>
      <c r="T25" s="257">
        <v>274.03067</v>
      </c>
      <c r="U25" s="257">
        <v>140.446076</v>
      </c>
      <c r="V25" s="257">
        <v>-4.3242583199989</v>
      </c>
      <c r="W25" s="257">
        <f t="shared" si="14"/>
        <v>394.898998680001</v>
      </c>
      <c r="X25" s="269">
        <f>W25-'毛利-收入组成'!E54</f>
        <v>0</v>
      </c>
      <c r="Y25" s="259">
        <v>45039</v>
      </c>
      <c r="Z25" s="257">
        <v>33</v>
      </c>
      <c r="AA25" s="257">
        <v>17</v>
      </c>
      <c r="AB25" s="257">
        <v>44</v>
      </c>
      <c r="AC25" s="257">
        <v>150.126391</v>
      </c>
      <c r="AD25" s="257">
        <v>322.986409</v>
      </c>
      <c r="AE25" s="257">
        <v>49</v>
      </c>
      <c r="AF25" s="257">
        <f t="shared" si="15"/>
        <v>616.1128</v>
      </c>
      <c r="AG25" s="257"/>
      <c r="AH25" s="259">
        <v>44652</v>
      </c>
      <c r="AI25" s="257">
        <v>36</v>
      </c>
      <c r="AJ25" s="257">
        <v>37</v>
      </c>
      <c r="AK25" s="257">
        <v>0</v>
      </c>
      <c r="AL25" s="257">
        <v>278</v>
      </c>
      <c r="AM25" s="257">
        <v>-23</v>
      </c>
      <c r="AN25" s="257">
        <v>34</v>
      </c>
      <c r="AO25" s="257">
        <v>361</v>
      </c>
      <c r="AP25" s="157"/>
      <c r="AQ25" s="4"/>
    </row>
    <row r="26" spans="1:43">
      <c r="A26" s="259">
        <v>45778</v>
      </c>
      <c r="B26" s="257">
        <f>VLOOKUP(B$21,$L$70:$N$84,3,0)</f>
        <v>2.51225507571799</v>
      </c>
      <c r="C26" s="257">
        <f>VLOOKUP(C$21,$L$70:$N$84,3,0)</f>
        <v>3.9948470545547</v>
      </c>
      <c r="D26" s="257">
        <f>VLOOKUP(D$21,$L$70:$N$84,3,0)</f>
        <v>60.4793407908444</v>
      </c>
      <c r="E26" s="257">
        <f>VLOOKUP(E$21,$L$70:$N$84,3,0)+142.490671</f>
        <v>313.9572822738</v>
      </c>
      <c r="F26" s="257">
        <f>VLOOKUP(F$21,$L$70:$N$84,3,0)</f>
        <v>88.0540200288027</v>
      </c>
      <c r="G26" s="260">
        <f>'毛利-收入组成'!E67-SUM(B26:F26)</f>
        <v>53.2439549536742</v>
      </c>
      <c r="H26" s="257">
        <f t="shared" si="13"/>
        <v>522.241700177394</v>
      </c>
      <c r="I26" s="268">
        <f>H26-'毛利-收入组成'!E67</f>
        <v>0</v>
      </c>
      <c r="J26" s="13"/>
      <c r="L26" s="130" t="s">
        <v>312</v>
      </c>
      <c r="N26" s="257">
        <f t="shared" si="12"/>
        <v>0</v>
      </c>
      <c r="P26" s="267">
        <v>45413</v>
      </c>
      <c r="Q26" s="257">
        <v>5.540356</v>
      </c>
      <c r="R26" s="257">
        <v>19.462178</v>
      </c>
      <c r="S26" s="257">
        <v>-20.3676509999998</v>
      </c>
      <c r="T26" s="257">
        <v>153.181260999999</v>
      </c>
      <c r="U26" s="257">
        <v>33.8513479999995</v>
      </c>
      <c r="V26" s="257">
        <v>41.5293080000008</v>
      </c>
      <c r="W26" s="257">
        <f t="shared" si="14"/>
        <v>233.1968</v>
      </c>
      <c r="X26" s="269">
        <f>W26-'毛利-收入组成'!E55</f>
        <v>-4.83169060316868e-13</v>
      </c>
      <c r="Y26" s="259">
        <v>45069</v>
      </c>
      <c r="Z26" s="257">
        <v>41</v>
      </c>
      <c r="AA26" s="257">
        <v>27</v>
      </c>
      <c r="AB26" s="257">
        <v>220</v>
      </c>
      <c r="AC26" s="257">
        <v>73.4377870000011</v>
      </c>
      <c r="AD26" s="257">
        <v>440.562212999999</v>
      </c>
      <c r="AE26" s="260">
        <v>17</v>
      </c>
      <c r="AF26" s="257">
        <f t="shared" si="15"/>
        <v>819</v>
      </c>
      <c r="AG26" s="257"/>
      <c r="AH26" s="259">
        <v>44682</v>
      </c>
      <c r="AI26" s="257">
        <v>16</v>
      </c>
      <c r="AJ26" s="257">
        <v>23</v>
      </c>
      <c r="AK26" s="257">
        <v>-25</v>
      </c>
      <c r="AL26" s="257">
        <v>211</v>
      </c>
      <c r="AM26" s="257">
        <v>41</v>
      </c>
      <c r="AN26" s="260">
        <v>1</v>
      </c>
      <c r="AO26" s="257">
        <v>267</v>
      </c>
      <c r="AP26" s="157"/>
      <c r="AQ26" s="4"/>
    </row>
    <row r="27" spans="1:43">
      <c r="A27" s="259">
        <v>45809</v>
      </c>
      <c r="B27" s="257">
        <f>VLOOKUP(B$21,$L$88:$N$102,3,0)</f>
        <v>0</v>
      </c>
      <c r="C27" s="257">
        <f>VLOOKUP(C$21,$L$88:$N$102,3,0)</f>
        <v>9.0129847976055</v>
      </c>
      <c r="D27" s="257">
        <f>VLOOKUP(D$21,$L$88:$N$102,3,0)</f>
        <v>82.4381159894278</v>
      </c>
      <c r="E27" s="257">
        <f>VLOOKUP(E$21,$L$88:$N$102,3,0)+111.519347+377.647*1.06</f>
        <v>777.669592781602</v>
      </c>
      <c r="F27" s="257">
        <f>VLOOKUP(F$21,$L$88:$N$102,3,0)</f>
        <v>246.582191284713</v>
      </c>
      <c r="G27" s="260">
        <f>'毛利-收入组成'!E68-SUM(B27:F27)</f>
        <v>105.891387946642</v>
      </c>
      <c r="H27" s="257">
        <f t="shared" si="13"/>
        <v>1221.59427279999</v>
      </c>
      <c r="I27" s="268">
        <f>H27-'毛利-收入组成'!E68</f>
        <v>0</v>
      </c>
      <c r="J27" s="13"/>
      <c r="L27" s="130" t="s">
        <v>309</v>
      </c>
      <c r="M27" s="257">
        <v>788118.458466651</v>
      </c>
      <c r="N27" s="257">
        <f t="shared" si="12"/>
        <v>78.8118458466651</v>
      </c>
      <c r="P27" s="267">
        <v>45444</v>
      </c>
      <c r="Q27" s="257">
        <v>6.3628909999999</v>
      </c>
      <c r="R27" s="257">
        <v>26.9761670800998</v>
      </c>
      <c r="S27" s="257">
        <v>38.4566314091138</v>
      </c>
      <c r="T27" s="257">
        <v>334.39531071</v>
      </c>
      <c r="U27" s="257">
        <v>107.081208736653</v>
      </c>
      <c r="V27" s="257">
        <v>0.19674678413449</v>
      </c>
      <c r="W27" s="257">
        <f t="shared" si="14"/>
        <v>513.468955720001</v>
      </c>
      <c r="X27" s="269">
        <f>W27-'毛利-收入组成'!E56</f>
        <v>0</v>
      </c>
      <c r="Y27" s="259">
        <v>45100</v>
      </c>
      <c r="Z27" s="257">
        <v>33</v>
      </c>
      <c r="AA27" s="257">
        <v>9</v>
      </c>
      <c r="AB27" s="257">
        <v>362</v>
      </c>
      <c r="AC27" s="257">
        <v>179.461026999999</v>
      </c>
      <c r="AD27" s="257">
        <v>597.031873000001</v>
      </c>
      <c r="AE27" s="260">
        <v>-76</v>
      </c>
      <c r="AF27" s="257">
        <f t="shared" si="15"/>
        <v>1104.4929</v>
      </c>
      <c r="AG27" s="257"/>
      <c r="AH27" s="259">
        <v>44713</v>
      </c>
      <c r="AI27" s="257">
        <v>18</v>
      </c>
      <c r="AJ27" s="257">
        <v>20</v>
      </c>
      <c r="AK27" s="257">
        <v>-277</v>
      </c>
      <c r="AL27" s="257">
        <v>444</v>
      </c>
      <c r="AM27" s="257">
        <v>10</v>
      </c>
      <c r="AN27" s="260">
        <v>-6</v>
      </c>
      <c r="AO27" s="257">
        <v>210</v>
      </c>
      <c r="AP27" s="157"/>
      <c r="AQ27" s="4"/>
    </row>
    <row r="28" spans="1:43">
      <c r="A28" s="259">
        <v>45839</v>
      </c>
      <c r="B28" s="257">
        <f>VLOOKUP(B$21,$L$106:$N$120,3,0)</f>
        <v>0</v>
      </c>
      <c r="C28" s="257">
        <f>VLOOKUP(C$21,$L$106:$N$120,3,0)</f>
        <v>-2.64086484536783</v>
      </c>
      <c r="D28" s="257">
        <f>VLOOKUP(D$21,$L$106:$N$120,3,0)</f>
        <v>-11.0133874194327</v>
      </c>
      <c r="E28" s="257">
        <f>VLOOKUP(E$21,$L$106:$N$120,3,0)+164.754318+42.057*1.06</f>
        <v>607.634018816678</v>
      </c>
      <c r="F28" s="257">
        <f>VLOOKUP(F$21,$L$106:$N$120,3,0)</f>
        <v>294.990483524924</v>
      </c>
      <c r="G28" s="260">
        <f>'毛利-收入组成'!E69-SUM(B28:F28)</f>
        <v>98.4438027687955</v>
      </c>
      <c r="H28" s="257">
        <f t="shared" si="13"/>
        <v>987.414052845597</v>
      </c>
      <c r="I28" s="268">
        <f>H28-'毛利-收入组成'!E69</f>
        <v>0</v>
      </c>
      <c r="J28" s="13"/>
      <c r="L28" s="130" t="s">
        <v>311</v>
      </c>
      <c r="M28" s="257">
        <v>419049.545000011</v>
      </c>
      <c r="N28" s="257">
        <f t="shared" si="12"/>
        <v>41.9049545000011</v>
      </c>
      <c r="P28" s="267">
        <v>45474</v>
      </c>
      <c r="Q28" s="257">
        <v>6.65131099999998</v>
      </c>
      <c r="R28" s="257">
        <v>34.0534226854396</v>
      </c>
      <c r="S28" s="257">
        <v>416.536267013997</v>
      </c>
      <c r="T28" s="257">
        <v>633.351846770091</v>
      </c>
      <c r="U28" s="257">
        <v>234.071208299005</v>
      </c>
      <c r="V28" s="257">
        <v>-297.17796364853</v>
      </c>
      <c r="W28" s="257">
        <f t="shared" si="14"/>
        <v>1027.48609212</v>
      </c>
      <c r="X28" s="269">
        <f>W28-'毛利-收入组成'!E57</f>
        <v>2.72848410531878e-12</v>
      </c>
      <c r="Y28" s="259">
        <v>45130</v>
      </c>
      <c r="Z28" s="257">
        <v>37</v>
      </c>
      <c r="AA28" s="257">
        <v>8</v>
      </c>
      <c r="AB28" s="257">
        <v>32</v>
      </c>
      <c r="AC28" s="257">
        <v>92.0996450000007</v>
      </c>
      <c r="AD28" s="257">
        <v>659.533254999999</v>
      </c>
      <c r="AE28" s="260">
        <v>47</v>
      </c>
      <c r="AF28" s="257">
        <f t="shared" si="15"/>
        <v>875.6329</v>
      </c>
      <c r="AG28" s="257"/>
      <c r="AH28" s="259">
        <v>44743</v>
      </c>
      <c r="AI28" s="257">
        <v>20</v>
      </c>
      <c r="AJ28" s="257">
        <v>17</v>
      </c>
      <c r="AK28" s="257">
        <v>16</v>
      </c>
      <c r="AL28" s="257">
        <v>377</v>
      </c>
      <c r="AM28" s="257">
        <v>20</v>
      </c>
      <c r="AN28" s="260">
        <v>19</v>
      </c>
      <c r="AO28" s="257">
        <v>470</v>
      </c>
      <c r="AP28" s="157"/>
      <c r="AQ28" s="4"/>
    </row>
    <row r="29" spans="1:43">
      <c r="A29" s="259">
        <v>45870</v>
      </c>
      <c r="B29" s="257">
        <f>VLOOKUP(B$21,$L$124:$N$139,3,0)</f>
        <v>0</v>
      </c>
      <c r="C29" s="257">
        <f>VLOOKUP(C$21,$L$124:$N$139,3,0)</f>
        <v>0</v>
      </c>
      <c r="D29" s="257">
        <f>VLOOKUP(D$21,$L$124:$N$139,3,0)</f>
        <v>0</v>
      </c>
      <c r="E29" s="257">
        <f>VLOOKUP(E$21,$L$124:$N$139,3,0)</f>
        <v>0</v>
      </c>
      <c r="F29" s="257">
        <f>VLOOKUP(F$21,$L$124:$N$139,3,0)</f>
        <v>0</v>
      </c>
      <c r="G29" s="260">
        <f>'毛利-收入组成'!E70-SUM(B29:F29)</f>
        <v>0</v>
      </c>
      <c r="H29" s="257">
        <f t="shared" si="13"/>
        <v>0</v>
      </c>
      <c r="I29" s="268">
        <f>H29-'毛利-收入组成'!E70</f>
        <v>0</v>
      </c>
      <c r="J29" s="13"/>
      <c r="L29" s="130" t="s">
        <v>308</v>
      </c>
      <c r="M29" s="257">
        <v>858335.834383571</v>
      </c>
      <c r="N29" s="257">
        <f t="shared" si="12"/>
        <v>85.8335834383571</v>
      </c>
      <c r="P29" s="267">
        <v>45505</v>
      </c>
      <c r="Q29" s="257">
        <v>5.76463399999992</v>
      </c>
      <c r="R29" s="257">
        <v>19.7025911991243</v>
      </c>
      <c r="S29" s="257">
        <v>128.579172389158</v>
      </c>
      <c r="T29" s="257">
        <v>139.382463717809</v>
      </c>
      <c r="U29" s="257">
        <v>318.604804495214</v>
      </c>
      <c r="V29" s="257">
        <v>4.40380017869369</v>
      </c>
      <c r="W29" s="257">
        <f t="shared" si="14"/>
        <v>616.437465979999</v>
      </c>
      <c r="X29" s="269">
        <f>W29-'毛利-收入组成'!E58</f>
        <v>0</v>
      </c>
      <c r="Y29" s="259">
        <v>45161</v>
      </c>
      <c r="Z29" s="257">
        <v>36</v>
      </c>
      <c r="AA29" s="257">
        <v>23</v>
      </c>
      <c r="AB29" s="257">
        <v>506</v>
      </c>
      <c r="AC29" s="257">
        <v>73.5443760000005</v>
      </c>
      <c r="AD29" s="257">
        <v>736.455623999999</v>
      </c>
      <c r="AE29" s="260">
        <v>11</v>
      </c>
      <c r="AF29" s="257">
        <f t="shared" si="15"/>
        <v>1386</v>
      </c>
      <c r="AG29" s="257"/>
      <c r="AH29" s="259">
        <v>44774</v>
      </c>
      <c r="AI29" s="257">
        <v>19</v>
      </c>
      <c r="AJ29" s="257">
        <v>1</v>
      </c>
      <c r="AK29" s="257">
        <v>785</v>
      </c>
      <c r="AL29" s="257">
        <v>480</v>
      </c>
      <c r="AM29" s="257">
        <v>13</v>
      </c>
      <c r="AN29" s="260">
        <v>17</v>
      </c>
      <c r="AO29" s="257">
        <v>1315</v>
      </c>
      <c r="AP29" s="157"/>
      <c r="AQ29" s="4"/>
    </row>
    <row r="30" spans="1:43">
      <c r="A30" s="259">
        <v>45901</v>
      </c>
      <c r="B30" s="257">
        <f>VLOOKUP(B$21,$L$142:$N$157,3,0)</f>
        <v>0</v>
      </c>
      <c r="C30" s="257">
        <f>VLOOKUP(C$21,$L$142:$N$157,3,0)</f>
        <v>0</v>
      </c>
      <c r="D30" s="257">
        <f>VLOOKUP(D$21,$L$142:$N$157,3,0)</f>
        <v>0</v>
      </c>
      <c r="E30" s="257">
        <f>VLOOKUP(E$21,$L$142:$N$157,3,0)</f>
        <v>0</v>
      </c>
      <c r="F30" s="257">
        <f>VLOOKUP(F$21,$L$142:$N$157,3,0)</f>
        <v>0</v>
      </c>
      <c r="G30" s="260">
        <f>'毛利-收入组成'!E71-SUM(B30:F30)</f>
        <v>0</v>
      </c>
      <c r="H30" s="257">
        <f t="shared" si="13"/>
        <v>0</v>
      </c>
      <c r="I30" s="268">
        <f>H30-'毛利-收入组成'!E71</f>
        <v>0</v>
      </c>
      <c r="J30" s="13"/>
      <c r="L30" s="130" t="s">
        <v>307</v>
      </c>
      <c r="M30" s="257">
        <v>1372167.07499343</v>
      </c>
      <c r="N30" s="257">
        <f t="shared" si="12"/>
        <v>137.216707499343</v>
      </c>
      <c r="P30" s="267">
        <v>45536</v>
      </c>
      <c r="Q30" s="257">
        <v>4.979773306364</v>
      </c>
      <c r="R30" s="257">
        <v>11.5336892451853</v>
      </c>
      <c r="S30" s="257">
        <v>128.167028817144</v>
      </c>
      <c r="T30" s="257">
        <v>125.27051315959</v>
      </c>
      <c r="U30" s="257">
        <v>183.0618529123</v>
      </c>
      <c r="V30" s="257">
        <v>65.0215898394167</v>
      </c>
      <c r="W30" s="257">
        <f t="shared" si="14"/>
        <v>518.03444728</v>
      </c>
      <c r="X30" s="269">
        <f>W30-'毛利-收入组成'!E59</f>
        <v>0</v>
      </c>
      <c r="Y30" s="259">
        <v>45192</v>
      </c>
      <c r="Z30" s="257">
        <v>36</v>
      </c>
      <c r="AA30" s="257">
        <v>20</v>
      </c>
      <c r="AB30" s="257">
        <v>251</v>
      </c>
      <c r="AC30" s="273">
        <v>27.3477319999997</v>
      </c>
      <c r="AD30" s="257">
        <v>161.566568</v>
      </c>
      <c r="AE30" s="260">
        <v>96</v>
      </c>
      <c r="AF30" s="257">
        <f t="shared" si="15"/>
        <v>591.9143</v>
      </c>
      <c r="AG30" s="257"/>
      <c r="AH30" s="259">
        <v>44805</v>
      </c>
      <c r="AI30" s="257">
        <v>21</v>
      </c>
      <c r="AJ30" s="257">
        <v>35</v>
      </c>
      <c r="AK30" s="257">
        <v>115</v>
      </c>
      <c r="AL30" s="257">
        <v>358</v>
      </c>
      <c r="AM30" s="257">
        <v>14</v>
      </c>
      <c r="AN30" s="260">
        <v>5</v>
      </c>
      <c r="AO30" s="257">
        <v>547</v>
      </c>
      <c r="AP30" s="157"/>
      <c r="AQ30" s="4"/>
    </row>
    <row r="31" spans="1:43">
      <c r="A31" s="259">
        <v>45931</v>
      </c>
      <c r="B31" s="257">
        <f>VLOOKUP(B$21,$L$160:$N$174,3,0)</f>
        <v>0</v>
      </c>
      <c r="C31" s="257">
        <f>VLOOKUP(C$21,$L$160:$N$174,3,0)</f>
        <v>0</v>
      </c>
      <c r="D31" s="257">
        <f>VLOOKUP(D$21,$L$160:$N$174,3,0)</f>
        <v>0</v>
      </c>
      <c r="E31" s="257">
        <f>VLOOKUP(E$21,$L$160:$N$174,3,0)</f>
        <v>0</v>
      </c>
      <c r="F31" s="257">
        <f>VLOOKUP(F$21,$L$160:$N$174,3,0)</f>
        <v>0</v>
      </c>
      <c r="G31" s="260">
        <f>'毛利-收入组成'!E72-SUM(B31:F31)</f>
        <v>0</v>
      </c>
      <c r="H31" s="257">
        <f t="shared" si="13"/>
        <v>0</v>
      </c>
      <c r="I31" s="268">
        <f>H31-'毛利-收入组成'!E72</f>
        <v>0</v>
      </c>
      <c r="J31" s="13"/>
      <c r="L31" s="130" t="s">
        <v>310</v>
      </c>
      <c r="M31" s="257">
        <v>100470.5356</v>
      </c>
      <c r="N31" s="257">
        <f t="shared" si="12"/>
        <v>10.04705356</v>
      </c>
      <c r="P31" s="267">
        <v>45566</v>
      </c>
      <c r="Q31" s="257">
        <v>2.58499700955601</v>
      </c>
      <c r="R31" s="257">
        <v>15.6483747736309</v>
      </c>
      <c r="S31" s="257">
        <v>16.1438738897149</v>
      </c>
      <c r="T31" s="257">
        <v>177.42524034004</v>
      </c>
      <c r="U31" s="257">
        <v>445.430597034897</v>
      </c>
      <c r="V31" s="257">
        <v>25.1513263921602</v>
      </c>
      <c r="W31" s="257">
        <f t="shared" si="14"/>
        <v>682.384409439999</v>
      </c>
      <c r="X31" s="269">
        <f>W31-'毛利-收入组成'!E60</f>
        <v>0</v>
      </c>
      <c r="Y31" s="259">
        <v>45222</v>
      </c>
      <c r="Z31" s="257">
        <v>15</v>
      </c>
      <c r="AA31" s="257">
        <v>75</v>
      </c>
      <c r="AB31" s="257">
        <v>164</v>
      </c>
      <c r="AC31" s="274">
        <v>271.032595999999</v>
      </c>
      <c r="AD31" s="257">
        <v>287.713704000001</v>
      </c>
      <c r="AE31" s="260">
        <v>18</v>
      </c>
      <c r="AF31" s="257">
        <f t="shared" si="15"/>
        <v>830.7463</v>
      </c>
      <c r="AG31" s="257"/>
      <c r="AH31" s="259">
        <v>44835</v>
      </c>
      <c r="AI31" s="257">
        <v>18</v>
      </c>
      <c r="AJ31" s="257">
        <v>14</v>
      </c>
      <c r="AK31" s="257">
        <v>175</v>
      </c>
      <c r="AL31" s="257">
        <v>421</v>
      </c>
      <c r="AM31" s="257">
        <v>8</v>
      </c>
      <c r="AN31" s="260">
        <v>-16</v>
      </c>
      <c r="AO31" s="257">
        <v>621</v>
      </c>
      <c r="AP31" s="157"/>
      <c r="AQ31" s="4"/>
    </row>
    <row r="32" spans="1:43">
      <c r="A32" s="259">
        <v>45962</v>
      </c>
      <c r="B32" s="257">
        <f>VLOOKUP(B$21,$L$178:$N$192,3,0)</f>
        <v>0</v>
      </c>
      <c r="C32" s="257">
        <f>VLOOKUP(C$21,$L$178:$N$192,3,0)</f>
        <v>0</v>
      </c>
      <c r="D32" s="257">
        <f>VLOOKUP(D$21,$L$178:$N$192,3,0)</f>
        <v>0</v>
      </c>
      <c r="E32" s="257">
        <f>VLOOKUP(E$21,$L$178:$N$192,3,0)</f>
        <v>0</v>
      </c>
      <c r="F32" s="257">
        <f>VLOOKUP(F$21,$L$178:$N$192,3,0)</f>
        <v>0</v>
      </c>
      <c r="G32" s="260">
        <f>'毛利-收入组成'!E73-SUM(B32:F32)</f>
        <v>0</v>
      </c>
      <c r="H32" s="257">
        <f t="shared" si="13"/>
        <v>0</v>
      </c>
      <c r="I32" s="268">
        <f>H32-'毛利-收入组成'!E73</f>
        <v>0</v>
      </c>
      <c r="J32" s="13"/>
      <c r="L32" s="130" t="e">
        <v>#N/A</v>
      </c>
      <c r="M32" s="257">
        <v>2671071.33248016</v>
      </c>
      <c r="N32" s="257">
        <f t="shared" si="12"/>
        <v>267.107133248016</v>
      </c>
      <c r="P32" s="267">
        <v>45597</v>
      </c>
      <c r="Q32" s="257">
        <v>22.188788082769</v>
      </c>
      <c r="R32" s="257">
        <v>9.54080872370081</v>
      </c>
      <c r="S32" s="257">
        <v>74.1393084310445</v>
      </c>
      <c r="T32" s="257">
        <v>177.30193965241</v>
      </c>
      <c r="U32" s="257">
        <v>127.468984996776</v>
      </c>
      <c r="V32" s="257">
        <v>54.3260418032987</v>
      </c>
      <c r="W32" s="257">
        <f t="shared" si="14"/>
        <v>464.965871689999</v>
      </c>
      <c r="X32" s="269">
        <f>W32-'毛利-收入组成'!E61</f>
        <v>0</v>
      </c>
      <c r="Y32" s="259">
        <v>45253</v>
      </c>
      <c r="Z32" s="257">
        <v>9</v>
      </c>
      <c r="AA32" s="257">
        <v>18</v>
      </c>
      <c r="AB32" s="257">
        <v>438</v>
      </c>
      <c r="AC32" s="274">
        <v>133.048955</v>
      </c>
      <c r="AD32" s="257">
        <v>231.772245</v>
      </c>
      <c r="AE32" s="260">
        <v>106</v>
      </c>
      <c r="AF32" s="257">
        <f t="shared" si="15"/>
        <v>935.8212</v>
      </c>
      <c r="AG32" s="257"/>
      <c r="AH32" s="259">
        <v>44866</v>
      </c>
      <c r="AI32" s="257">
        <v>34</v>
      </c>
      <c r="AJ32" s="257">
        <v>13</v>
      </c>
      <c r="AK32" s="257">
        <v>16</v>
      </c>
      <c r="AL32" s="257">
        <v>345</v>
      </c>
      <c r="AM32" s="257">
        <v>25</v>
      </c>
      <c r="AN32" s="260">
        <v>-41</v>
      </c>
      <c r="AO32" s="257">
        <v>392</v>
      </c>
      <c r="AP32" s="157"/>
      <c r="AQ32" s="4"/>
    </row>
    <row r="33" spans="1:43">
      <c r="A33" s="259">
        <v>45992</v>
      </c>
      <c r="B33" s="257">
        <f>VLOOKUP(B$21,$L$196:$N$210,3,0)</f>
        <v>0</v>
      </c>
      <c r="C33" s="257">
        <f>VLOOKUP(C$21,$L$196:$N$210,3,0)</f>
        <v>0</v>
      </c>
      <c r="D33" s="257">
        <f>VLOOKUP(D$21,$L$196:$N$210,3,0)</f>
        <v>0</v>
      </c>
      <c r="E33" s="257">
        <f>VLOOKUP(E$21,$L$196:$N$210,3,0)</f>
        <v>0</v>
      </c>
      <c r="F33" s="257">
        <f>VLOOKUP(F$21,$L$196:$N$210,3,0)</f>
        <v>0</v>
      </c>
      <c r="G33" s="260">
        <f>'毛利-收入组成'!E74-SUM(B33:F33)</f>
        <v>0</v>
      </c>
      <c r="H33" s="257">
        <f t="shared" si="13"/>
        <v>0</v>
      </c>
      <c r="I33" s="268">
        <f>H33-'毛利-收入组成'!E74</f>
        <v>0</v>
      </c>
      <c r="L33" s="130" t="s">
        <v>319</v>
      </c>
      <c r="M33" s="257">
        <f>SUM(M20:M32)</f>
        <v>17830056.8650472</v>
      </c>
      <c r="N33" s="257">
        <f>SUM(N20:N32)</f>
        <v>1783.00568650472</v>
      </c>
      <c r="P33" s="267">
        <v>45627</v>
      </c>
      <c r="Q33" s="257">
        <v>2.97928508474901</v>
      </c>
      <c r="R33" s="257">
        <v>11.1923417309907</v>
      </c>
      <c r="S33" s="257">
        <f>118.931380967841+4288989.56/10000</f>
        <v>547.830336967841</v>
      </c>
      <c r="T33" s="257">
        <v>461.864692193879</v>
      </c>
      <c r="U33" s="257">
        <f>694.365249343541-4288989.56/10000</f>
        <v>265.466293343541</v>
      </c>
      <c r="V33" s="257">
        <v>205.051562958999</v>
      </c>
      <c r="W33" s="257">
        <f t="shared" si="14"/>
        <v>1494.38451228</v>
      </c>
      <c r="X33" s="269">
        <f>W33-'毛利-收入组成'!E62</f>
        <v>0</v>
      </c>
      <c r="Y33" s="259">
        <v>45284</v>
      </c>
      <c r="Z33" s="275">
        <v>13</v>
      </c>
      <c r="AA33" s="275">
        <v>39</v>
      </c>
      <c r="AB33" s="275">
        <v>159</v>
      </c>
      <c r="AC33" s="276">
        <v>952.99119718</v>
      </c>
      <c r="AD33" s="275">
        <v>348.596691</v>
      </c>
      <c r="AE33" s="275">
        <v>153</v>
      </c>
      <c r="AF33" s="275">
        <f t="shared" si="15"/>
        <v>1665.58788818</v>
      </c>
      <c r="AG33" s="257"/>
      <c r="AH33" s="259">
        <v>44896</v>
      </c>
      <c r="AI33" s="257">
        <v>40</v>
      </c>
      <c r="AJ33" s="257">
        <v>12</v>
      </c>
      <c r="AK33" s="257">
        <v>105</v>
      </c>
      <c r="AL33" s="257">
        <v>581</v>
      </c>
      <c r="AM33" s="257">
        <v>10</v>
      </c>
      <c r="AN33" s="260">
        <v>-43</v>
      </c>
      <c r="AO33" s="257">
        <v>704</v>
      </c>
      <c r="AP33" s="157"/>
      <c r="AQ33" s="4"/>
    </row>
    <row r="34" spans="1:41">
      <c r="A34" s="1" t="s">
        <v>15</v>
      </c>
      <c r="B34" s="257">
        <f t="shared" ref="B34:H34" si="16">SUM(B22:B33)</f>
        <v>7.57334398874899</v>
      </c>
      <c r="C34" s="257">
        <f t="shared" si="16"/>
        <v>38.5931714701507</v>
      </c>
      <c r="D34" s="257">
        <f t="shared" si="16"/>
        <v>600.307222590193</v>
      </c>
      <c r="E34" s="257">
        <f t="shared" si="16"/>
        <v>3027.97540967393</v>
      </c>
      <c r="F34" s="257">
        <f t="shared" si="16"/>
        <v>1814.35414829466</v>
      </c>
      <c r="G34" s="257">
        <f t="shared" si="16"/>
        <v>560.584269905384</v>
      </c>
      <c r="H34" s="257">
        <f t="shared" si="16"/>
        <v>6049.38756592307</v>
      </c>
      <c r="I34" s="257">
        <f>H34-'毛利-收入组成'!E82</f>
        <v>0</v>
      </c>
      <c r="P34" s="257" t="s">
        <v>15</v>
      </c>
      <c r="Q34" s="257">
        <f t="shared" ref="Q34:W34" si="17">SUM(Q22:Q28)</f>
        <v>57.0568629999999</v>
      </c>
      <c r="R34" s="257">
        <f t="shared" si="17"/>
        <v>143.980587765539</v>
      </c>
      <c r="S34" s="257">
        <f t="shared" si="17"/>
        <v>365.003946423111</v>
      </c>
      <c r="T34" s="257">
        <f t="shared" si="17"/>
        <v>2039.10644148009</v>
      </c>
      <c r="U34" s="257">
        <f t="shared" si="17"/>
        <v>1295.53770903566</v>
      </c>
      <c r="V34" s="257">
        <f t="shared" si="17"/>
        <v>-170.617672984392</v>
      </c>
      <c r="W34" s="257">
        <f t="shared" si="17"/>
        <v>3730.06787472001</v>
      </c>
      <c r="Y34" s="272" t="s">
        <v>15</v>
      </c>
      <c r="Z34" s="257">
        <f t="shared" ref="Z34:AF34" si="18">SUM(Z22:Z28)</f>
        <v>270</v>
      </c>
      <c r="AA34" s="257">
        <f t="shared" si="18"/>
        <v>86</v>
      </c>
      <c r="AB34" s="257">
        <f t="shared" si="18"/>
        <v>777</v>
      </c>
      <c r="AC34" s="257">
        <f t="shared" si="18"/>
        <v>989.694994880001</v>
      </c>
      <c r="AD34" s="257">
        <f t="shared" si="18"/>
        <v>3483.22230512</v>
      </c>
      <c r="AE34" s="257">
        <f t="shared" si="18"/>
        <v>65</v>
      </c>
      <c r="AF34" s="257">
        <f t="shared" si="18"/>
        <v>5670.9173</v>
      </c>
      <c r="AG34" s="257"/>
      <c r="AH34" s="272" t="s">
        <v>15</v>
      </c>
      <c r="AI34" s="257">
        <f t="shared" ref="AI34:AN34" si="19">SUM(AI22:AI33)</f>
        <v>238</v>
      </c>
      <c r="AJ34" s="257">
        <f t="shared" si="19"/>
        <v>252</v>
      </c>
      <c r="AK34" s="257">
        <f t="shared" si="19"/>
        <v>928</v>
      </c>
      <c r="AL34" s="257">
        <f t="shared" si="19"/>
        <v>4232</v>
      </c>
      <c r="AM34" s="257">
        <f t="shared" si="19"/>
        <v>137</v>
      </c>
      <c r="AN34" s="257">
        <f t="shared" si="19"/>
        <v>-33</v>
      </c>
      <c r="AO34" s="257">
        <f>SUM(AI34:AN34)</f>
        <v>5754</v>
      </c>
    </row>
    <row r="35" spans="1:41">
      <c r="A35" s="1" t="s">
        <v>88</v>
      </c>
      <c r="B35" s="148">
        <f t="shared" ref="B35:G35" si="20">B34/$H$34</f>
        <v>0.00125191912507153</v>
      </c>
      <c r="C35" s="148">
        <f t="shared" si="20"/>
        <v>0.00637968241405968</v>
      </c>
      <c r="D35" s="148">
        <f t="shared" si="20"/>
        <v>0.0992343796869283</v>
      </c>
      <c r="E35" s="148">
        <f t="shared" si="20"/>
        <v>0.500542472552244</v>
      </c>
      <c r="F35" s="148">
        <f t="shared" si="20"/>
        <v>0.299923608550911</v>
      </c>
      <c r="G35" s="148">
        <f t="shared" si="20"/>
        <v>0.0926679376707856</v>
      </c>
      <c r="H35" s="229">
        <f>H34-'毛利-收入组成'!E80</f>
        <v>684.897710763067</v>
      </c>
      <c r="P35" s="257" t="s">
        <v>88</v>
      </c>
      <c r="Q35" s="148">
        <f t="shared" ref="Q35:V35" si="21">Q34/$W$34</f>
        <v>0.0152964677631457</v>
      </c>
      <c r="R35" s="148">
        <f t="shared" si="21"/>
        <v>0.0385999913678104</v>
      </c>
      <c r="S35" s="148">
        <f t="shared" si="21"/>
        <v>0.0978545052482482</v>
      </c>
      <c r="T35" s="148">
        <f t="shared" si="21"/>
        <v>0.546667382462351</v>
      </c>
      <c r="U35" s="148">
        <f t="shared" si="21"/>
        <v>0.347322824288528</v>
      </c>
      <c r="V35" s="148">
        <f t="shared" si="21"/>
        <v>-0.0457411711300828</v>
      </c>
      <c r="W35" s="257">
        <f>W34-'毛利-收入组成'!E81</f>
        <v>-3.63797880709171e-12</v>
      </c>
      <c r="Y35" s="1" t="s">
        <v>88</v>
      </c>
      <c r="Z35" s="148">
        <f t="shared" ref="Z35:AE35" si="22">Z34/$AF$34</f>
        <v>0.0476113449935163</v>
      </c>
      <c r="AA35" s="148">
        <f t="shared" si="22"/>
        <v>0.0151650950720089</v>
      </c>
      <c r="AB35" s="148">
        <f t="shared" si="22"/>
        <v>0.137014870592452</v>
      </c>
      <c r="AC35" s="148">
        <f t="shared" si="22"/>
        <v>0.17452114755403</v>
      </c>
      <c r="AD35" s="148">
        <f t="shared" si="22"/>
        <v>0.614225551326591</v>
      </c>
      <c r="AE35" s="148">
        <f t="shared" si="22"/>
        <v>0.0114619904614021</v>
      </c>
      <c r="AF35" s="2"/>
      <c r="AG35" s="2"/>
      <c r="AH35" s="1" t="s">
        <v>88</v>
      </c>
      <c r="AI35" s="148">
        <f t="shared" ref="AI35:AN35" si="23">AI34/$AO$34</f>
        <v>0.0413625304136253</v>
      </c>
      <c r="AJ35" s="148">
        <f t="shared" si="23"/>
        <v>0.0437956204379562</v>
      </c>
      <c r="AK35" s="148">
        <f t="shared" si="23"/>
        <v>0.16127911018422</v>
      </c>
      <c r="AL35" s="148">
        <f t="shared" si="23"/>
        <v>0.735488355926312</v>
      </c>
      <c r="AM35" s="148">
        <f t="shared" si="23"/>
        <v>0.0238095238095238</v>
      </c>
      <c r="AN35" s="148">
        <f t="shared" si="23"/>
        <v>-0.00573514077163712</v>
      </c>
      <c r="AO35" s="2"/>
    </row>
    <row r="36" spans="1:40">
      <c r="A36" s="1" t="s">
        <v>65</v>
      </c>
      <c r="B36" s="148">
        <f>B34/'GMV表-品牌'!B34</f>
        <v>0.019074148265202</v>
      </c>
      <c r="C36" s="148">
        <f>C34/'GMV表-品牌'!C34</f>
        <v>0.0144405263837058</v>
      </c>
      <c r="D36" s="148">
        <f>D34/'GMV表-品牌'!D34</f>
        <v>0.046964089245694</v>
      </c>
      <c r="E36" s="231">
        <f>E34/'GMV表-品牌'!E34</f>
        <v>0.023387017528306</v>
      </c>
      <c r="F36" s="148">
        <f>F34/'GMV表-品牌'!F34</f>
        <v>0.0172453153480418</v>
      </c>
      <c r="G36" s="148">
        <f>G34/'GMV表-品牌'!G34</f>
        <v>0.224704887648239</v>
      </c>
      <c r="H36" s="148">
        <f>H34/'GMV表-品牌'!H34</f>
        <v>0.0239080109614421</v>
      </c>
      <c r="K36" s="1" t="s">
        <v>150</v>
      </c>
      <c r="L36" s="130" t="s">
        <v>302</v>
      </c>
      <c r="M36" s="257" t="s">
        <v>418</v>
      </c>
      <c r="N36" s="257" t="s">
        <v>304</v>
      </c>
      <c r="P36" s="257" t="s">
        <v>65</v>
      </c>
      <c r="Q36" s="148">
        <f>Q34/'GMV表-品牌'!Q34</f>
        <v>0.0159459456960805</v>
      </c>
      <c r="R36" s="148">
        <f>R34/'GMV表-品牌'!R34</f>
        <v>0.0229529327802831</v>
      </c>
      <c r="S36" s="148">
        <f>S34/'GMV表-品牌'!S34</f>
        <v>0.0178284541943228</v>
      </c>
      <c r="T36" s="148">
        <f>T34/'GMV表-品牌'!T34</f>
        <v>0.0385210465091027</v>
      </c>
      <c r="U36" s="148">
        <f>U34/'GMV表-品牌'!U34</f>
        <v>0.011541567359864</v>
      </c>
      <c r="V36" s="148">
        <f>V34/'GMV表-品牌'!V34</f>
        <v>-0.0530295106262056</v>
      </c>
      <c r="W36" s="148">
        <f>W34/'GMV表-品牌'!W34</f>
        <v>0.0187698929385407</v>
      </c>
      <c r="Y36" s="272" t="s">
        <v>65</v>
      </c>
      <c r="Z36" s="231">
        <f>Z34/'GMV表-品牌'!AA34</f>
        <v>0.015690644024855</v>
      </c>
      <c r="AA36" s="231">
        <f>AA34/'GMV表-品牌'!AB34</f>
        <v>0.0168915563865382</v>
      </c>
      <c r="AB36" s="231">
        <f>AB34/'GMV表-品牌'!AC34</f>
        <v>0.0366348004338526</v>
      </c>
      <c r="AC36" s="231">
        <f>AC34/'GMV表-品牌'!AD34</f>
        <v>0.0168632639536891</v>
      </c>
      <c r="AD36" s="231">
        <f>AD34/'GMV表-品牌'!AE34</f>
        <v>0.0150263567635113</v>
      </c>
      <c r="AE36" s="231">
        <f>AE34/'GMV表-品牌'!AF34</f>
        <v>0.0133107133050718</v>
      </c>
      <c r="AF36" s="231">
        <f>AF34/'GMV表-品牌'!AG34</f>
        <v>0.0167338710485366</v>
      </c>
      <c r="AH36" s="272" t="s">
        <v>65</v>
      </c>
      <c r="AI36" s="231">
        <f>AI34/'GMV表-品牌'!AK34</f>
        <v>0.0136634802293297</v>
      </c>
      <c r="AJ36" s="231">
        <f>AJ34/'GMV表-品牌'!AL34</f>
        <v>0.0885911343675213</v>
      </c>
      <c r="AK36" s="231">
        <f>AK34/'GMV表-品牌'!AM34</f>
        <v>0.0588866837601164</v>
      </c>
      <c r="AL36" s="231">
        <f>AL34/'GMV表-品牌'!AN34</f>
        <v>0.0130318399633799</v>
      </c>
      <c r="AM36" s="231">
        <f>AM34/'GMV表-品牌'!AO34</f>
        <v>0.153484680790358</v>
      </c>
      <c r="AN36" s="231">
        <f>AN34/'GMV表-品牌'!AP34</f>
        <v>-0.00829394798341496</v>
      </c>
    </row>
    <row r="37" spans="1:32">
      <c r="A37" s="1" t="s">
        <v>420</v>
      </c>
      <c r="B37" s="244">
        <f t="shared" ref="B37:H37" si="24">B34-Q34</f>
        <v>-49.4835190112509</v>
      </c>
      <c r="C37" s="244">
        <f t="shared" si="24"/>
        <v>-105.387416295388</v>
      </c>
      <c r="D37" s="244">
        <f t="shared" si="24"/>
        <v>235.303276167081</v>
      </c>
      <c r="E37" s="244">
        <f t="shared" si="24"/>
        <v>988.868968193842</v>
      </c>
      <c r="F37" s="244">
        <f t="shared" si="24"/>
        <v>518.816439258999</v>
      </c>
      <c r="G37" s="244">
        <f t="shared" si="24"/>
        <v>731.201942889776</v>
      </c>
      <c r="H37" s="244">
        <f t="shared" si="24"/>
        <v>2319.31969120306</v>
      </c>
      <c r="I37" s="130">
        <f>H37-'毛利-收入组成'!E84</f>
        <v>3.63797880709171e-12</v>
      </c>
      <c r="L37" s="130" t="s">
        <v>306</v>
      </c>
      <c r="M37" s="257">
        <v>1353947.85309018</v>
      </c>
      <c r="N37" s="257">
        <f t="shared" ref="N37:N49" si="25">M37/10000</f>
        <v>135.394785309018</v>
      </c>
      <c r="AF37" s="277"/>
    </row>
    <row r="38" spans="1:32">
      <c r="A38" s="1" t="s">
        <v>412</v>
      </c>
      <c r="B38" s="148">
        <f t="shared" ref="B38:H38" si="26">B36-Q36</f>
        <v>0.00312820256912154</v>
      </c>
      <c r="C38" s="148">
        <f t="shared" si="26"/>
        <v>-0.0085124063965773</v>
      </c>
      <c r="D38" s="148">
        <f t="shared" si="26"/>
        <v>0.0291356350513712</v>
      </c>
      <c r="E38" s="148">
        <f t="shared" si="26"/>
        <v>-0.0151340289807967</v>
      </c>
      <c r="F38" s="148">
        <f t="shared" si="26"/>
        <v>0.00570374798817779</v>
      </c>
      <c r="G38" s="148">
        <f t="shared" si="26"/>
        <v>0.277734398274445</v>
      </c>
      <c r="H38" s="148">
        <f t="shared" si="26"/>
        <v>0.0051381180229014</v>
      </c>
      <c r="I38" s="261"/>
      <c r="L38" s="130" t="s">
        <v>314</v>
      </c>
      <c r="M38" s="257">
        <v>30545.7111496275</v>
      </c>
      <c r="N38" s="257">
        <f t="shared" si="25"/>
        <v>3.05457111496275</v>
      </c>
      <c r="AA38" s="130"/>
      <c r="AB38" s="6"/>
      <c r="AF38" s="277"/>
    </row>
    <row r="39" spans="2:32">
      <c r="B39" s="231"/>
      <c r="C39" s="231"/>
      <c r="D39" s="231"/>
      <c r="F39" s="231"/>
      <c r="G39" s="231"/>
      <c r="H39" s="261"/>
      <c r="I39" s="261"/>
      <c r="L39" s="130" t="s">
        <v>315</v>
      </c>
      <c r="M39" s="257">
        <v>5916995.56333746</v>
      </c>
      <c r="N39" s="257">
        <f t="shared" si="25"/>
        <v>591.699556333746</v>
      </c>
      <c r="AA39" s="130"/>
      <c r="AB39" s="157"/>
      <c r="AC39" s="4"/>
      <c r="AF39" s="277"/>
    </row>
    <row r="40" spans="12:32">
      <c r="L40" s="130" t="s">
        <v>316</v>
      </c>
      <c r="M40" s="257">
        <v>15897.95386455</v>
      </c>
      <c r="N40" s="257">
        <f t="shared" si="25"/>
        <v>1.589795386455</v>
      </c>
      <c r="AA40" s="130"/>
      <c r="AB40" s="157"/>
      <c r="AC40" s="4"/>
      <c r="AF40" s="277"/>
    </row>
    <row r="41" spans="2:29">
      <c r="B41" s="262"/>
      <c r="C41" s="262"/>
      <c r="D41" s="262"/>
      <c r="E41" s="262"/>
      <c r="F41" s="262"/>
      <c r="G41" s="262"/>
      <c r="L41" s="130" t="s">
        <v>317</v>
      </c>
      <c r="M41" s="257">
        <v>5023.44</v>
      </c>
      <c r="N41" s="257">
        <f t="shared" si="25"/>
        <v>0.502344</v>
      </c>
      <c r="AA41" s="130"/>
      <c r="AB41" s="157"/>
      <c r="AC41" s="4"/>
    </row>
    <row r="42" spans="1:29">
      <c r="A42" s="263"/>
      <c r="L42" s="130" t="s">
        <v>318</v>
      </c>
      <c r="M42" s="257">
        <v>278794.32502668</v>
      </c>
      <c r="N42" s="257">
        <f t="shared" si="25"/>
        <v>27.879432502668</v>
      </c>
      <c r="AA42" s="130"/>
      <c r="AB42" s="157"/>
      <c r="AC42" s="4"/>
    </row>
    <row r="43" spans="1:29">
      <c r="A43" s="263"/>
      <c r="L43" s="130" t="s">
        <v>312</v>
      </c>
      <c r="M43" s="257">
        <v>26210.35</v>
      </c>
      <c r="N43" s="257">
        <f t="shared" si="25"/>
        <v>2.621035</v>
      </c>
      <c r="AA43" s="130"/>
      <c r="AB43" s="157"/>
      <c r="AC43" s="4"/>
    </row>
    <row r="44" spans="1:29">
      <c r="A44" s="263"/>
      <c r="L44" s="130" t="s">
        <v>309</v>
      </c>
      <c r="M44" s="257">
        <v>834903.574800094</v>
      </c>
      <c r="N44" s="257">
        <f t="shared" si="25"/>
        <v>83.4903574800094</v>
      </c>
      <c r="AA44" s="130"/>
      <c r="AB44" s="157"/>
      <c r="AC44" s="4"/>
    </row>
    <row r="45" spans="1:29">
      <c r="A45" s="263"/>
      <c r="L45" s="130" t="s">
        <v>311</v>
      </c>
      <c r="M45" s="257">
        <v>409757.524999999</v>
      </c>
      <c r="N45" s="257">
        <f t="shared" si="25"/>
        <v>40.9757524999999</v>
      </c>
      <c r="AA45" s="130"/>
      <c r="AB45" s="157"/>
      <c r="AC45" s="4"/>
    </row>
    <row r="46" spans="1:28">
      <c r="A46" s="264">
        <v>45108</v>
      </c>
      <c r="E46" s="244"/>
      <c r="L46" s="130" t="s">
        <v>308</v>
      </c>
      <c r="M46" s="257">
        <v>471009.835694828</v>
      </c>
      <c r="N46" s="257">
        <f t="shared" si="25"/>
        <v>47.1009835694828</v>
      </c>
      <c r="AA46" s="130"/>
      <c r="AB46" s="157"/>
    </row>
    <row r="47" spans="1:28">
      <c r="A47" s="264">
        <v>45474</v>
      </c>
      <c r="E47" s="244"/>
      <c r="L47" s="130" t="s">
        <v>307</v>
      </c>
      <c r="M47" s="257">
        <v>1645584.33221386</v>
      </c>
      <c r="N47" s="257">
        <f t="shared" si="25"/>
        <v>164.558433221386</v>
      </c>
      <c r="AA47" s="130"/>
      <c r="AB47" s="157"/>
    </row>
    <row r="48" spans="1:28">
      <c r="A48" s="264">
        <v>45839</v>
      </c>
      <c r="E48" s="244"/>
      <c r="L48" s="130" t="s">
        <v>310</v>
      </c>
      <c r="M48" s="257">
        <v>275453.493407159</v>
      </c>
      <c r="N48" s="257">
        <f t="shared" si="25"/>
        <v>27.5453493407159</v>
      </c>
      <c r="AA48" s="130"/>
      <c r="AB48" s="157"/>
    </row>
    <row r="49" spans="1:30">
      <c r="A49" s="263"/>
      <c r="E49" s="244"/>
      <c r="L49" s="130" t="e">
        <v>#N/A</v>
      </c>
      <c r="M49" s="257">
        <v>2539586.56404555</v>
      </c>
      <c r="N49" s="257">
        <f t="shared" si="25"/>
        <v>253.958656404555</v>
      </c>
      <c r="AA49" s="130"/>
      <c r="AB49" s="157"/>
      <c r="AD49" s="278"/>
    </row>
    <row r="50" spans="1:30">
      <c r="A50" s="263"/>
      <c r="L50" s="130" t="s">
        <v>319</v>
      </c>
      <c r="M50" s="257">
        <f>SUM(M37:M49)</f>
        <v>13803710.52163</v>
      </c>
      <c r="AA50" s="130"/>
      <c r="AB50" s="157"/>
      <c r="AD50" s="278"/>
    </row>
    <row r="51" spans="1:30">
      <c r="A51" s="263"/>
      <c r="AA51" s="130"/>
      <c r="AB51" s="157"/>
      <c r="AD51" s="278"/>
    </row>
    <row r="52" hidden="1" spans="1:30">
      <c r="A52" s="263"/>
      <c r="AA52" s="130"/>
      <c r="AB52" s="157"/>
      <c r="AD52" s="278"/>
    </row>
    <row r="53" hidden="1" spans="1:30">
      <c r="A53" s="263"/>
      <c r="K53" s="1" t="s">
        <v>151</v>
      </c>
      <c r="L53" s="130" t="s">
        <v>302</v>
      </c>
      <c r="M53" s="257" t="s">
        <v>421</v>
      </c>
      <c r="N53" s="257" t="s">
        <v>304</v>
      </c>
      <c r="AA53" s="130"/>
      <c r="AB53" s="157"/>
      <c r="AD53" s="278"/>
    </row>
    <row r="54" hidden="1" spans="1:30">
      <c r="A54" s="130"/>
      <c r="L54" s="130" t="s">
        <v>306</v>
      </c>
      <c r="M54" s="257">
        <v>934287.88</v>
      </c>
      <c r="N54" s="257">
        <f t="shared" ref="N54:N66" si="27">M54/10000</f>
        <v>93.428788</v>
      </c>
      <c r="AA54" s="130"/>
      <c r="AB54" s="6"/>
      <c r="AD54" s="278"/>
    </row>
    <row r="55" hidden="1" spans="12:31">
      <c r="L55" s="130" t="s">
        <v>314</v>
      </c>
      <c r="M55" s="257">
        <v>-48781.08</v>
      </c>
      <c r="N55" s="257">
        <f t="shared" si="27"/>
        <v>-4.878108</v>
      </c>
      <c r="AD55" s="278"/>
      <c r="AE55" s="278"/>
    </row>
    <row r="56" hidden="1" spans="12:31">
      <c r="L56" s="130" t="s">
        <v>315</v>
      </c>
      <c r="M56" s="257">
        <v>3024026.67</v>
      </c>
      <c r="N56" s="257">
        <f t="shared" si="27"/>
        <v>302.402667</v>
      </c>
      <c r="AD56" s="278"/>
      <c r="AE56" s="278"/>
    </row>
    <row r="57" hidden="1" spans="12:31">
      <c r="L57" s="130" t="s">
        <v>316</v>
      </c>
      <c r="M57" s="257">
        <v>15588.12</v>
      </c>
      <c r="N57" s="257">
        <f t="shared" si="27"/>
        <v>1.558812</v>
      </c>
      <c r="AD57" s="278"/>
      <c r="AE57" s="278"/>
    </row>
    <row r="58" hidden="1" spans="12:31">
      <c r="L58" s="130" t="s">
        <v>317</v>
      </c>
      <c r="M58" s="257">
        <v>3377.83</v>
      </c>
      <c r="N58" s="257">
        <f t="shared" si="27"/>
        <v>0.337783</v>
      </c>
      <c r="AD58" s="278"/>
      <c r="AE58" s="278"/>
    </row>
    <row r="59" hidden="1" spans="12:31">
      <c r="L59" s="130" t="s">
        <v>318</v>
      </c>
      <c r="M59" s="257">
        <v>3458.38</v>
      </c>
      <c r="N59" s="257">
        <f t="shared" si="27"/>
        <v>0.345838</v>
      </c>
      <c r="AD59" s="278"/>
      <c r="AE59" s="278"/>
    </row>
    <row r="60" hidden="1" spans="12:31">
      <c r="L60" s="130" t="s">
        <v>312</v>
      </c>
      <c r="M60" s="257">
        <v>29.6</v>
      </c>
      <c r="N60" s="257">
        <f t="shared" si="27"/>
        <v>0.00296</v>
      </c>
      <c r="AC60" s="130"/>
      <c r="AD60" s="278"/>
      <c r="AE60" s="278"/>
    </row>
    <row r="61" hidden="1" spans="12:31">
      <c r="L61" s="130" t="s">
        <v>309</v>
      </c>
      <c r="M61" s="257">
        <v>366204.332500097</v>
      </c>
      <c r="N61" s="257">
        <f t="shared" si="27"/>
        <v>36.6204332500097</v>
      </c>
      <c r="AC61" s="130"/>
      <c r="AD61" s="278"/>
      <c r="AE61" s="278"/>
    </row>
    <row r="62" hidden="1" spans="1:31">
      <c r="A62" s="265"/>
      <c r="L62" s="130" t="s">
        <v>311</v>
      </c>
      <c r="M62" s="257">
        <v>674548.52</v>
      </c>
      <c r="N62" s="257">
        <f t="shared" si="27"/>
        <v>67.454852</v>
      </c>
      <c r="AC62" s="130"/>
      <c r="AD62" s="278"/>
      <c r="AE62" s="278"/>
    </row>
    <row r="63" hidden="1" spans="1:31">
      <c r="A63" s="265"/>
      <c r="L63" s="130" t="s">
        <v>308</v>
      </c>
      <c r="M63" s="257">
        <v>533229.5</v>
      </c>
      <c r="N63" s="257">
        <f t="shared" si="27"/>
        <v>53.32295</v>
      </c>
      <c r="AC63" s="130"/>
      <c r="AD63" s="278"/>
      <c r="AE63" s="278"/>
    </row>
    <row r="64" hidden="1" spans="1:29">
      <c r="A64" s="265"/>
      <c r="L64" s="130" t="s">
        <v>307</v>
      </c>
      <c r="M64" s="257">
        <v>2737290.80794258</v>
      </c>
      <c r="N64" s="257">
        <f t="shared" si="27"/>
        <v>273.729080794258</v>
      </c>
      <c r="AC64" s="130"/>
    </row>
    <row r="65" hidden="1" spans="1:29">
      <c r="A65" s="265"/>
      <c r="L65" s="130" t="s">
        <v>310</v>
      </c>
      <c r="M65" s="257">
        <v>4015.18</v>
      </c>
      <c r="N65" s="257">
        <f t="shared" si="27"/>
        <v>0.401518</v>
      </c>
      <c r="AC65" s="130"/>
    </row>
    <row r="66" hidden="1" spans="1:29">
      <c r="A66" s="265"/>
      <c r="L66" s="130" t="e">
        <v>#N/A</v>
      </c>
      <c r="M66" s="257">
        <v>3019230.89</v>
      </c>
      <c r="N66" s="257">
        <f t="shared" si="27"/>
        <v>301.923089</v>
      </c>
      <c r="AC66" s="130"/>
    </row>
    <row r="67" hidden="1" spans="12:29">
      <c r="L67" s="130" t="s">
        <v>319</v>
      </c>
      <c r="M67" s="257">
        <v>11266506.62</v>
      </c>
      <c r="AC67" s="130"/>
    </row>
    <row r="68" hidden="1" spans="29:29">
      <c r="AC68" s="130"/>
    </row>
    <row r="69" hidden="1" spans="29:29">
      <c r="AC69" s="130"/>
    </row>
    <row r="70" hidden="1" spans="11:29">
      <c r="K70" s="1" t="s">
        <v>152</v>
      </c>
      <c r="L70" s="130" t="s">
        <v>302</v>
      </c>
      <c r="M70" s="257" t="s">
        <v>422</v>
      </c>
      <c r="N70" s="257" t="s">
        <v>304</v>
      </c>
      <c r="AC70" s="133"/>
    </row>
    <row r="71" hidden="1" spans="12:29">
      <c r="L71" s="130" t="s">
        <v>306</v>
      </c>
      <c r="M71" s="257">
        <v>604793.407908444</v>
      </c>
      <c r="N71" s="257">
        <f t="shared" ref="N71:N84" si="28">M71/10000</f>
        <v>60.4793407908444</v>
      </c>
      <c r="AC71" s="279"/>
    </row>
    <row r="72" hidden="1" spans="12:29">
      <c r="L72" s="130" t="s">
        <v>314</v>
      </c>
      <c r="M72" s="257">
        <v>39948.470545547</v>
      </c>
      <c r="N72" s="257">
        <f t="shared" si="28"/>
        <v>3.9948470545547</v>
      </c>
      <c r="AC72" s="279"/>
    </row>
    <row r="73" hidden="1" spans="12:33">
      <c r="L73" s="130" t="s">
        <v>315</v>
      </c>
      <c r="M73" s="257">
        <v>880540.200288027</v>
      </c>
      <c r="N73" s="257">
        <f t="shared" si="28"/>
        <v>88.0540200288027</v>
      </c>
      <c r="AC73" s="279"/>
      <c r="AD73" s="2"/>
      <c r="AE73" s="2"/>
      <c r="AF73" s="2"/>
      <c r="AG73" s="2"/>
    </row>
    <row r="74" hidden="1" spans="12:33">
      <c r="L74" s="130" t="s">
        <v>316</v>
      </c>
      <c r="M74" s="257">
        <v>25122.5507571799</v>
      </c>
      <c r="N74" s="257">
        <f t="shared" si="28"/>
        <v>2.51225507571799</v>
      </c>
      <c r="AC74" s="279"/>
      <c r="AD74" s="2"/>
      <c r="AE74" s="2"/>
      <c r="AF74" s="2"/>
      <c r="AG74" s="2"/>
    </row>
    <row r="75" hidden="1" spans="12:40">
      <c r="L75" s="130" t="s">
        <v>317</v>
      </c>
      <c r="M75" s="257">
        <v>10681</v>
      </c>
      <c r="N75" s="257">
        <f t="shared" si="28"/>
        <v>1.0681</v>
      </c>
      <c r="AC75" s="279"/>
      <c r="AD75" s="2"/>
      <c r="AE75" s="2"/>
      <c r="AF75" s="2"/>
      <c r="AG75" s="2"/>
      <c r="AH75" s="130"/>
      <c r="AI75" s="1"/>
      <c r="AK75" s="1"/>
      <c r="AL75" s="1"/>
      <c r="AM75" s="1"/>
      <c r="AN75" s="1"/>
    </row>
    <row r="76" hidden="1" spans="12:40">
      <c r="L76" s="130" t="s">
        <v>323</v>
      </c>
      <c r="M76" s="257">
        <v>1714666.112738</v>
      </c>
      <c r="N76" s="257">
        <f t="shared" si="28"/>
        <v>171.4666112738</v>
      </c>
      <c r="AC76" s="279"/>
      <c r="AD76" s="2"/>
      <c r="AE76" s="2"/>
      <c r="AF76" s="2"/>
      <c r="AG76" s="2"/>
      <c r="AH76" s="130"/>
      <c r="AI76" s="1"/>
      <c r="AK76" s="133"/>
      <c r="AL76" s="132"/>
      <c r="AM76" s="1"/>
      <c r="AN76" s="1"/>
    </row>
    <row r="77" hidden="1" spans="12:40">
      <c r="L77" s="130" t="s">
        <v>318</v>
      </c>
      <c r="M77" s="257">
        <v>8697.0439015229</v>
      </c>
      <c r="N77" s="257">
        <f t="shared" si="28"/>
        <v>0.86970439015229</v>
      </c>
      <c r="AC77" s="279"/>
      <c r="AD77" s="2"/>
      <c r="AE77" s="2"/>
      <c r="AF77" s="2"/>
      <c r="AG77" s="2"/>
      <c r="AH77" s="130"/>
      <c r="AI77" s="1"/>
      <c r="AK77" s="279"/>
      <c r="AL77" s="129"/>
      <c r="AM77" s="1"/>
      <c r="AN77" s="1"/>
    </row>
    <row r="78" hidden="1" spans="12:40">
      <c r="L78" s="130" t="s">
        <v>312</v>
      </c>
      <c r="M78" s="257">
        <v>3046.95</v>
      </c>
      <c r="N78" s="257">
        <f t="shared" si="28"/>
        <v>0.304695</v>
      </c>
      <c r="AC78" s="279"/>
      <c r="AD78" s="2"/>
      <c r="AE78" s="2"/>
      <c r="AF78" s="2"/>
      <c r="AG78" s="2"/>
      <c r="AH78" s="130"/>
      <c r="AI78" s="1"/>
      <c r="AK78" s="279"/>
      <c r="AL78" s="129"/>
      <c r="AM78" s="1"/>
      <c r="AN78" s="1"/>
    </row>
    <row r="79" hidden="1" spans="12:40">
      <c r="L79" s="130" t="s">
        <v>309</v>
      </c>
      <c r="M79" s="257">
        <v>256051.834433329</v>
      </c>
      <c r="N79" s="257">
        <f t="shared" si="28"/>
        <v>25.6051834433329</v>
      </c>
      <c r="AC79" s="279"/>
      <c r="AD79" s="2"/>
      <c r="AE79" s="2"/>
      <c r="AF79" s="2"/>
      <c r="AG79" s="2"/>
      <c r="AH79" s="130"/>
      <c r="AI79" s="1"/>
      <c r="AK79" s="279"/>
      <c r="AL79" s="129"/>
      <c r="AM79" s="1"/>
      <c r="AN79" s="1"/>
    </row>
    <row r="80" hidden="1" spans="12:40">
      <c r="L80" s="130" t="s">
        <v>311</v>
      </c>
      <c r="M80" s="257">
        <v>591314.488208365</v>
      </c>
      <c r="N80" s="257">
        <f t="shared" si="28"/>
        <v>59.1314488208365</v>
      </c>
      <c r="AC80" s="279"/>
      <c r="AD80" s="2"/>
      <c r="AE80" s="2"/>
      <c r="AF80" s="2"/>
      <c r="AG80" s="2"/>
      <c r="AH80" s="130"/>
      <c r="AI80" s="1"/>
      <c r="AK80" s="279"/>
      <c r="AL80" s="129"/>
      <c r="AM80" s="1"/>
      <c r="AN80" s="1"/>
    </row>
    <row r="81" hidden="1" spans="12:40">
      <c r="L81" s="130" t="s">
        <v>308</v>
      </c>
      <c r="M81" s="257">
        <v>502600.838206984</v>
      </c>
      <c r="N81" s="257">
        <f t="shared" si="28"/>
        <v>50.2600838206984</v>
      </c>
      <c r="AC81" s="130"/>
      <c r="AD81" s="2"/>
      <c r="AE81" s="2"/>
      <c r="AF81" s="2"/>
      <c r="AG81" s="2"/>
      <c r="AH81" s="130"/>
      <c r="AI81" s="1"/>
      <c r="AK81" s="279"/>
      <c r="AL81" s="129"/>
      <c r="AM81" s="1"/>
      <c r="AN81" s="1"/>
    </row>
    <row r="82" hidden="1" spans="12:40">
      <c r="L82" s="130" t="s">
        <v>307</v>
      </c>
      <c r="M82" s="257">
        <v>2681331.95396766</v>
      </c>
      <c r="N82" s="257">
        <f t="shared" si="28"/>
        <v>268.133195396766</v>
      </c>
      <c r="AC82" s="130"/>
      <c r="AD82" s="2"/>
      <c r="AE82" s="2"/>
      <c r="AF82" s="2"/>
      <c r="AG82" s="2"/>
      <c r="AH82" s="130"/>
      <c r="AI82" s="1"/>
      <c r="AK82" s="279"/>
      <c r="AL82" s="129"/>
      <c r="AM82" s="1"/>
      <c r="AN82" s="1"/>
    </row>
    <row r="83" hidden="1" spans="12:40">
      <c r="L83" s="130" t="s">
        <v>310</v>
      </c>
      <c r="M83" s="257">
        <v>467296.78800001</v>
      </c>
      <c r="N83" s="257">
        <f t="shared" si="28"/>
        <v>46.729678800001</v>
      </c>
      <c r="AD83" s="2"/>
      <c r="AE83" s="2"/>
      <c r="AF83" s="2"/>
      <c r="AG83" s="2"/>
      <c r="AH83" s="130"/>
      <c r="AI83" s="1"/>
      <c r="AK83" s="279"/>
      <c r="AL83" s="129"/>
      <c r="AM83" s="1"/>
      <c r="AN83" s="1"/>
    </row>
    <row r="84" hidden="1" spans="12:40">
      <c r="L84" s="130" t="e">
        <v>#N/A</v>
      </c>
      <c r="M84" s="257">
        <v>4643269.08911316</v>
      </c>
      <c r="N84" s="257">
        <f t="shared" si="28"/>
        <v>464.326908911316</v>
      </c>
      <c r="AD84" s="9"/>
      <c r="AE84" s="9"/>
      <c r="AF84" s="2"/>
      <c r="AG84" s="2"/>
      <c r="AH84" s="130"/>
      <c r="AI84" s="1"/>
      <c r="AK84" s="279"/>
      <c r="AL84" s="129"/>
      <c r="AM84" s="1"/>
      <c r="AN84" s="1"/>
    </row>
    <row r="85" hidden="1" spans="12:40">
      <c r="L85" s="130" t="s">
        <v>319</v>
      </c>
      <c r="M85" s="257">
        <f>SUM(M71:M84)</f>
        <v>12429360.7280682</v>
      </c>
      <c r="AD85" s="280"/>
      <c r="AE85" s="280"/>
      <c r="AF85" s="2"/>
      <c r="AG85" s="2"/>
      <c r="AH85" s="130"/>
      <c r="AI85" s="1"/>
      <c r="AK85" s="279"/>
      <c r="AL85" s="129"/>
      <c r="AM85" s="1"/>
      <c r="AN85" s="1"/>
    </row>
    <row r="86" hidden="1" spans="13:40">
      <c r="M86" s="257" t="e">
        <f>M85-GETPIVOTDATA("求和项:调整后毛利（含返点）",[35]供应商毛利2505!$R$1)</f>
        <v>#REF!</v>
      </c>
      <c r="AD86" s="280"/>
      <c r="AE86" s="280"/>
      <c r="AF86" s="2"/>
      <c r="AG86" s="2"/>
      <c r="AH86" s="130"/>
      <c r="AI86" s="1"/>
      <c r="AK86" s="1"/>
      <c r="AL86" s="1"/>
      <c r="AM86" s="1"/>
      <c r="AN86" s="1"/>
    </row>
    <row r="87" hidden="1" spans="30:35">
      <c r="AD87" s="280"/>
      <c r="AE87" s="280"/>
      <c r="AF87" s="2"/>
      <c r="AG87" s="2"/>
      <c r="AH87" s="130"/>
      <c r="AI87" s="1"/>
    </row>
    <row r="88" hidden="1" spans="11:35">
      <c r="K88" s="1" t="s">
        <v>153</v>
      </c>
      <c r="L88" s="130" t="s">
        <v>302</v>
      </c>
      <c r="M88" s="257" t="s">
        <v>422</v>
      </c>
      <c r="N88" s="257" t="s">
        <v>304</v>
      </c>
      <c r="AD88" s="130"/>
      <c r="AE88" s="130"/>
      <c r="AF88" s="6"/>
      <c r="AG88" s="6"/>
      <c r="AH88" s="130"/>
      <c r="AI88" s="1"/>
    </row>
    <row r="89" hidden="1" spans="12:35">
      <c r="L89" s="130" t="s">
        <v>306</v>
      </c>
      <c r="M89" s="257">
        <v>824381.159894278</v>
      </c>
      <c r="N89" s="257">
        <f>M89/10000</f>
        <v>82.4381159894278</v>
      </c>
      <c r="AC89" s="1"/>
      <c r="AD89" s="219"/>
      <c r="AE89" s="219"/>
      <c r="AF89" s="6"/>
      <c r="AG89" s="6"/>
      <c r="AH89" s="130"/>
      <c r="AI89" s="1"/>
    </row>
    <row r="90" hidden="1" spans="12:35">
      <c r="L90" s="130" t="s">
        <v>314</v>
      </c>
      <c r="M90" s="257">
        <v>90129.847976055</v>
      </c>
      <c r="N90" s="257">
        <f>M90/10000</f>
        <v>9.0129847976055</v>
      </c>
      <c r="AC90" s="1"/>
      <c r="AD90" s="219"/>
      <c r="AE90" s="219"/>
      <c r="AF90" s="6"/>
      <c r="AG90" s="6"/>
      <c r="AH90" s="130"/>
      <c r="AI90" s="1"/>
    </row>
    <row r="91" hidden="1" spans="12:35">
      <c r="L91" s="130" t="s">
        <v>315</v>
      </c>
      <c r="M91" s="257">
        <v>2465821.91284713</v>
      </c>
      <c r="N91" s="257">
        <f>M91/10000</f>
        <v>246.582191284713</v>
      </c>
      <c r="AC91" s="1"/>
      <c r="AD91" s="219"/>
      <c r="AE91" s="219"/>
      <c r="AF91" s="6"/>
      <c r="AG91" s="6"/>
      <c r="AH91" s="130"/>
      <c r="AI91" s="1"/>
    </row>
    <row r="92" hidden="1" spans="12:33">
      <c r="L92" s="130" t="s">
        <v>316</v>
      </c>
      <c r="M92" s="257">
        <v>17971.17659488</v>
      </c>
      <c r="N92" s="257">
        <v>0</v>
      </c>
      <c r="AC92" s="1"/>
      <c r="AD92" s="2"/>
      <c r="AE92" s="2"/>
      <c r="AF92" s="2"/>
      <c r="AG92" s="2"/>
    </row>
    <row r="93" hidden="1" spans="12:35">
      <c r="L93" s="130" t="s">
        <v>317</v>
      </c>
      <c r="M93" s="257">
        <v>5541.92</v>
      </c>
      <c r="N93" s="257">
        <f t="shared" ref="N93:N103" si="29">M93/10000</f>
        <v>0.554192</v>
      </c>
      <c r="AC93" s="279"/>
      <c r="AD93" s="219"/>
      <c r="AE93" s="219"/>
      <c r="AF93" s="6"/>
      <c r="AG93" s="6"/>
      <c r="AH93" s="130"/>
      <c r="AI93" s="1"/>
    </row>
    <row r="94" hidden="1" spans="12:35">
      <c r="L94" s="130" t="s">
        <v>323</v>
      </c>
      <c r="M94" s="257">
        <v>2658444.25781602</v>
      </c>
      <c r="N94" s="257">
        <f t="shared" si="29"/>
        <v>265.844425781602</v>
      </c>
      <c r="AC94" s="1"/>
      <c r="AD94" s="219"/>
      <c r="AE94" s="219"/>
      <c r="AF94" s="6"/>
      <c r="AG94" s="6"/>
      <c r="AH94" s="130"/>
      <c r="AI94" s="1"/>
    </row>
    <row r="95" hidden="1" spans="12:35">
      <c r="L95" s="130" t="s">
        <v>318</v>
      </c>
      <c r="M95" s="257">
        <v>5047.51340000001</v>
      </c>
      <c r="N95" s="257">
        <f t="shared" si="29"/>
        <v>0.504751340000001</v>
      </c>
      <c r="AC95" s="1"/>
      <c r="AD95" s="219"/>
      <c r="AE95" s="219"/>
      <c r="AF95" s="6"/>
      <c r="AG95" s="6"/>
      <c r="AH95" s="130"/>
      <c r="AI95" s="1"/>
    </row>
    <row r="96" hidden="1" spans="12:35">
      <c r="L96" s="130" t="s">
        <v>312</v>
      </c>
      <c r="M96" s="257">
        <v>5628.57</v>
      </c>
      <c r="N96" s="257">
        <f t="shared" si="29"/>
        <v>0.562857</v>
      </c>
      <c r="AC96" s="1"/>
      <c r="AD96" s="219"/>
      <c r="AE96" s="219"/>
      <c r="AF96" s="6"/>
      <c r="AG96" s="6"/>
      <c r="AH96" s="130"/>
      <c r="AI96" s="1"/>
    </row>
    <row r="97" hidden="1" spans="12:35">
      <c r="L97" s="130" t="s">
        <v>309</v>
      </c>
      <c r="M97" s="257">
        <v>950115.5826</v>
      </c>
      <c r="N97" s="257">
        <f t="shared" si="29"/>
        <v>95.01155826</v>
      </c>
      <c r="AC97" s="1"/>
      <c r="AD97" s="219"/>
      <c r="AE97" s="219"/>
      <c r="AF97" s="6"/>
      <c r="AG97" s="6"/>
      <c r="AH97" s="130"/>
      <c r="AI97" s="1"/>
    </row>
    <row r="98" hidden="1" spans="12:33">
      <c r="L98" s="130" t="s">
        <v>311</v>
      </c>
      <c r="M98" s="257">
        <v>1571271.20877577</v>
      </c>
      <c r="N98" s="257">
        <f t="shared" si="29"/>
        <v>157.127120877577</v>
      </c>
      <c r="AC98" s="1"/>
      <c r="AD98" s="219"/>
      <c r="AE98" s="219"/>
      <c r="AF98" s="6"/>
      <c r="AG98" s="6"/>
    </row>
    <row r="99" hidden="1" spans="12:33">
      <c r="L99" s="130" t="s">
        <v>308</v>
      </c>
      <c r="M99" s="257">
        <v>597608.408443401</v>
      </c>
      <c r="N99" s="257">
        <f t="shared" si="29"/>
        <v>59.7608408443401</v>
      </c>
      <c r="AC99" s="1"/>
      <c r="AD99" s="219"/>
      <c r="AE99" s="219"/>
      <c r="AF99" s="6"/>
      <c r="AG99" s="6"/>
    </row>
    <row r="100" hidden="1" spans="12:33">
      <c r="L100" s="130" t="s">
        <v>307</v>
      </c>
      <c r="M100" s="257">
        <v>2273338.96140333</v>
      </c>
      <c r="N100" s="257">
        <f t="shared" si="29"/>
        <v>227.333896140333</v>
      </c>
      <c r="AC100" s="1"/>
      <c r="AD100" s="219"/>
      <c r="AE100" s="219"/>
      <c r="AF100" s="6"/>
      <c r="AG100" s="6"/>
    </row>
    <row r="101" hidden="1" spans="12:33">
      <c r="L101" s="130" t="s">
        <v>310</v>
      </c>
      <c r="M101" s="257">
        <v>119822.0176276</v>
      </c>
      <c r="N101" s="257">
        <f t="shared" si="29"/>
        <v>11.98220176276</v>
      </c>
      <c r="AC101" s="1"/>
      <c r="AD101" s="219"/>
      <c r="AE101" s="219"/>
      <c r="AF101" s="6"/>
      <c r="AG101" s="6"/>
    </row>
    <row r="102" hidden="1" spans="12:33">
      <c r="L102" s="130" t="e">
        <v>#N/A</v>
      </c>
      <c r="M102" s="257">
        <v>3977554.4866256</v>
      </c>
      <c r="N102" s="257">
        <f t="shared" si="29"/>
        <v>397.75544866256</v>
      </c>
      <c r="AC102" s="1"/>
      <c r="AD102" s="219"/>
      <c r="AE102" s="219"/>
      <c r="AF102" s="6"/>
      <c r="AG102" s="6"/>
    </row>
    <row r="103" hidden="1" spans="12:33">
      <c r="L103" s="130" t="s">
        <v>319</v>
      </c>
      <c r="M103" s="257">
        <v>15562677.0240041</v>
      </c>
      <c r="N103" s="257">
        <f t="shared" si="29"/>
        <v>1556.26770240041</v>
      </c>
      <c r="AC103" s="1"/>
      <c r="AD103" s="219"/>
      <c r="AE103" s="219"/>
      <c r="AF103" s="6"/>
      <c r="AG103" s="6"/>
    </row>
    <row r="104" hidden="1" spans="29:29">
      <c r="AC104" s="1"/>
    </row>
    <row r="106" spans="11:34">
      <c r="K106" s="1" t="s">
        <v>154</v>
      </c>
      <c r="L106" s="130" t="s">
        <v>302</v>
      </c>
      <c r="M106" s="257" t="s">
        <v>421</v>
      </c>
      <c r="N106" s="257" t="s">
        <v>304</v>
      </c>
      <c r="AD106" s="130"/>
      <c r="AE106" s="130"/>
      <c r="AF106" s="6"/>
      <c r="AG106" s="6"/>
      <c r="AH106"/>
    </row>
    <row r="107" spans="12:34">
      <c r="L107" s="130" t="s">
        <v>306</v>
      </c>
      <c r="M107" s="257">
        <v>-110133.874194327</v>
      </c>
      <c r="N107" s="257">
        <f>M107/10000</f>
        <v>-11.0133874194327</v>
      </c>
      <c r="AC107" s="1"/>
      <c r="AD107" s="130"/>
      <c r="AE107" s="130"/>
      <c r="AF107" s="6"/>
      <c r="AG107" s="6"/>
      <c r="AH107" s="256"/>
    </row>
    <row r="108" spans="12:34">
      <c r="L108" s="130" t="s">
        <v>314</v>
      </c>
      <c r="M108" s="257">
        <v>-26408.6484536783</v>
      </c>
      <c r="N108" s="257">
        <f>M108/10000</f>
        <v>-2.64086484536783</v>
      </c>
      <c r="AC108" s="1"/>
      <c r="AD108" s="130"/>
      <c r="AE108" s="130"/>
      <c r="AF108" s="6"/>
      <c r="AG108" s="6"/>
      <c r="AH108" s="256"/>
    </row>
    <row r="109" spans="12:34">
      <c r="L109" s="130" t="s">
        <v>315</v>
      </c>
      <c r="M109" s="257">
        <v>2949904.83524924</v>
      </c>
      <c r="N109" s="257">
        <f>M109/10000</f>
        <v>294.990483524924</v>
      </c>
      <c r="AC109" s="1"/>
      <c r="AD109" s="130"/>
      <c r="AE109" s="130"/>
      <c r="AF109" s="6"/>
      <c r="AG109" s="6"/>
      <c r="AH109" s="256"/>
    </row>
    <row r="110" spans="12:33">
      <c r="L110" s="130" t="s">
        <v>316</v>
      </c>
      <c r="M110" s="257">
        <v>8777.24505658</v>
      </c>
      <c r="N110" s="257">
        <v>0</v>
      </c>
      <c r="AC110" s="1"/>
      <c r="AD110" s="2"/>
      <c r="AE110" s="2"/>
      <c r="AF110" s="2"/>
      <c r="AG110" s="2"/>
    </row>
    <row r="111" spans="12:34">
      <c r="L111" s="130" t="s">
        <v>317</v>
      </c>
      <c r="M111" s="257">
        <v>2517.01</v>
      </c>
      <c r="N111" s="257">
        <f t="shared" ref="N111:N120" si="30">M111/10000</f>
        <v>0.251701</v>
      </c>
      <c r="AC111" s="279"/>
      <c r="AD111" s="130"/>
      <c r="AE111" s="130"/>
      <c r="AF111" s="6"/>
      <c r="AG111" s="6"/>
      <c r="AH111" s="256"/>
    </row>
    <row r="112" spans="12:34">
      <c r="L112" s="130" t="s">
        <v>323</v>
      </c>
      <c r="M112" s="257">
        <v>3982992.80816678</v>
      </c>
      <c r="N112" s="257">
        <f t="shared" si="30"/>
        <v>398.299280816678</v>
      </c>
      <c r="AC112" s="1"/>
      <c r="AD112" s="130"/>
      <c r="AE112" s="130"/>
      <c r="AF112" s="6"/>
      <c r="AG112" s="6"/>
      <c r="AH112" s="256"/>
    </row>
    <row r="113" spans="12:34">
      <c r="L113" s="130" t="s">
        <v>318</v>
      </c>
      <c r="M113" s="257">
        <v>671761.702356006</v>
      </c>
      <c r="N113" s="257">
        <f t="shared" si="30"/>
        <v>67.1761702356006</v>
      </c>
      <c r="AC113" s="1"/>
      <c r="AD113" s="130"/>
      <c r="AE113" s="130"/>
      <c r="AF113" s="6"/>
      <c r="AG113" s="6"/>
      <c r="AH113" s="256"/>
    </row>
    <row r="114" spans="12:34">
      <c r="L114" s="130" t="s">
        <v>312</v>
      </c>
      <c r="M114" s="257">
        <v>28.75</v>
      </c>
      <c r="N114" s="257">
        <f t="shared" si="30"/>
        <v>0.002875</v>
      </c>
      <c r="AC114" s="1"/>
      <c r="AD114" s="130"/>
      <c r="AE114" s="130"/>
      <c r="AF114" s="6"/>
      <c r="AG114" s="6"/>
      <c r="AH114" s="256"/>
    </row>
    <row r="115" spans="12:34">
      <c r="L115" s="130" t="s">
        <v>309</v>
      </c>
      <c r="M115" s="257">
        <v>87045.8084000108</v>
      </c>
      <c r="N115" s="257">
        <f t="shared" si="30"/>
        <v>8.70458084000108</v>
      </c>
      <c r="AC115" s="1"/>
      <c r="AD115" s="130"/>
      <c r="AE115" s="130"/>
      <c r="AF115" s="6"/>
      <c r="AG115" s="6"/>
      <c r="AH115" s="256"/>
    </row>
    <row r="116" spans="12:34">
      <c r="L116" s="130" t="s">
        <v>311</v>
      </c>
      <c r="M116" s="257">
        <v>169921.10132474</v>
      </c>
      <c r="N116" s="257">
        <f t="shared" si="30"/>
        <v>16.992110132474</v>
      </c>
      <c r="AC116" s="1"/>
      <c r="AD116" s="130"/>
      <c r="AE116" s="130"/>
      <c r="AF116" s="6"/>
      <c r="AG116" s="6"/>
      <c r="AH116" s="256"/>
    </row>
    <row r="117" spans="12:34">
      <c r="L117" s="130" t="s">
        <v>308</v>
      </c>
      <c r="M117" s="257">
        <v>374585.543301243</v>
      </c>
      <c r="N117" s="257">
        <f t="shared" si="30"/>
        <v>37.4585543301243</v>
      </c>
      <c r="AC117" s="1"/>
      <c r="AD117" s="130"/>
      <c r="AE117" s="130"/>
      <c r="AF117" s="6"/>
      <c r="AG117" s="6"/>
      <c r="AH117" s="256"/>
    </row>
    <row r="118" spans="12:34">
      <c r="L118" s="130" t="s">
        <v>307</v>
      </c>
      <c r="M118" s="257">
        <v>1834144.2267479</v>
      </c>
      <c r="N118" s="257">
        <f t="shared" si="30"/>
        <v>183.41442267479</v>
      </c>
      <c r="AC118" s="1"/>
      <c r="AD118" s="130"/>
      <c r="AE118" s="130"/>
      <c r="AF118" s="6"/>
      <c r="AG118" s="6"/>
      <c r="AH118" s="256"/>
    </row>
    <row r="119" spans="12:34">
      <c r="L119" s="130" t="s">
        <v>310</v>
      </c>
      <c r="M119" s="257">
        <v>-381518.925899988</v>
      </c>
      <c r="N119" s="257">
        <f t="shared" si="30"/>
        <v>-38.1518925899988</v>
      </c>
      <c r="AC119" s="1"/>
      <c r="AD119" s="130"/>
      <c r="AE119" s="130"/>
      <c r="AF119" s="6"/>
      <c r="AG119" s="6"/>
      <c r="AH119" s="256"/>
    </row>
    <row r="120" spans="12:34">
      <c r="L120" s="130" t="e">
        <v>#N/A</v>
      </c>
      <c r="M120" s="257">
        <v>4819121.85939731</v>
      </c>
      <c r="N120" s="257">
        <f t="shared" si="30"/>
        <v>481.912185939731</v>
      </c>
      <c r="AC120" s="1"/>
      <c r="AD120" s="130"/>
      <c r="AE120" s="130"/>
      <c r="AF120" s="6"/>
      <c r="AG120" s="6"/>
      <c r="AH120" s="256"/>
    </row>
    <row r="121" spans="12:34">
      <c r="L121" s="130" t="s">
        <v>319</v>
      </c>
      <c r="M121" s="257">
        <f>SUM(M107:M120)</f>
        <v>14382739.4414518</v>
      </c>
      <c r="N121" s="257">
        <f>SUM(N107:N120)</f>
        <v>1437.39621963952</v>
      </c>
      <c r="AC121" s="1"/>
      <c r="AD121" s="130"/>
      <c r="AE121" s="130"/>
      <c r="AF121" s="6"/>
      <c r="AG121" s="6"/>
      <c r="AH121" s="256"/>
    </row>
    <row r="122" spans="29:29">
      <c r="AC122" s="1"/>
    </row>
    <row r="124" spans="11:33">
      <c r="K124" s="1" t="s">
        <v>155</v>
      </c>
      <c r="L124" s="130" t="s">
        <v>302</v>
      </c>
      <c r="M124" s="257" t="s">
        <v>421</v>
      </c>
      <c r="N124" s="257" t="s">
        <v>304</v>
      </c>
      <c r="AD124" s="13"/>
      <c r="AE124" s="13"/>
      <c r="AF124" s="13"/>
      <c r="AG124" s="13"/>
    </row>
    <row r="125" spans="12:33">
      <c r="L125" s="130" t="s">
        <v>306</v>
      </c>
      <c r="N125" s="257">
        <f>M125/10000</f>
        <v>0</v>
      </c>
      <c r="AC125" s="20"/>
      <c r="AD125" s="13"/>
      <c r="AE125" s="13"/>
      <c r="AF125" s="13"/>
      <c r="AG125" s="13"/>
    </row>
    <row r="126" spans="12:33">
      <c r="L126" s="130" t="s">
        <v>314</v>
      </c>
      <c r="N126" s="257">
        <f>M126/10000</f>
        <v>0</v>
      </c>
      <c r="AC126" s="20"/>
      <c r="AD126" s="13"/>
      <c r="AE126" s="13"/>
      <c r="AF126" s="13"/>
      <c r="AG126" s="13"/>
    </row>
    <row r="127" spans="12:33">
      <c r="L127" s="130" t="s">
        <v>315</v>
      </c>
      <c r="N127" s="257">
        <f>M127/10000</f>
        <v>0</v>
      </c>
      <c r="AC127" s="20"/>
      <c r="AD127" s="13"/>
      <c r="AE127" s="13"/>
      <c r="AF127" s="13"/>
      <c r="AG127" s="13"/>
    </row>
    <row r="128" spans="12:33">
      <c r="L128" s="130" t="s">
        <v>323</v>
      </c>
      <c r="N128" s="257">
        <v>0</v>
      </c>
      <c r="AC128" s="20"/>
      <c r="AD128" s="2"/>
      <c r="AE128" s="2"/>
      <c r="AF128" s="2"/>
      <c r="AG128" s="2"/>
    </row>
    <row r="129" spans="12:33">
      <c r="L129" s="130" t="s">
        <v>316</v>
      </c>
      <c r="N129" s="257">
        <f t="shared" ref="N129:N139" si="31">M129/10000</f>
        <v>0</v>
      </c>
      <c r="AC129" s="279"/>
      <c r="AD129" s="13"/>
      <c r="AE129" s="13"/>
      <c r="AF129" s="13"/>
      <c r="AG129" s="13"/>
    </row>
    <row r="130" spans="12:33">
      <c r="L130" s="130" t="s">
        <v>317</v>
      </c>
      <c r="N130" s="257">
        <f t="shared" si="31"/>
        <v>0</v>
      </c>
      <c r="AC130" s="20"/>
      <c r="AD130" s="13"/>
      <c r="AE130" s="13"/>
      <c r="AF130" s="13"/>
      <c r="AG130" s="13"/>
    </row>
    <row r="131" spans="12:33">
      <c r="L131" s="130" t="s">
        <v>318</v>
      </c>
      <c r="N131" s="257">
        <f t="shared" si="31"/>
        <v>0</v>
      </c>
      <c r="AC131" s="20"/>
      <c r="AD131" s="13"/>
      <c r="AE131" s="13"/>
      <c r="AF131" s="13"/>
      <c r="AG131" s="13"/>
    </row>
    <row r="132" spans="12:33">
      <c r="L132" s="130" t="s">
        <v>312</v>
      </c>
      <c r="N132" s="257">
        <f t="shared" si="31"/>
        <v>0</v>
      </c>
      <c r="AC132" s="20"/>
      <c r="AD132" s="13"/>
      <c r="AE132" s="13"/>
      <c r="AF132" s="13"/>
      <c r="AG132" s="13"/>
    </row>
    <row r="133" spans="12:33">
      <c r="L133" s="130" t="s">
        <v>309</v>
      </c>
      <c r="N133" s="257">
        <f t="shared" si="31"/>
        <v>0</v>
      </c>
      <c r="AC133" s="20"/>
      <c r="AD133" s="13"/>
      <c r="AE133" s="13"/>
      <c r="AF133" s="13"/>
      <c r="AG133" s="13"/>
    </row>
    <row r="134" spans="12:33">
      <c r="L134" s="130" t="s">
        <v>311</v>
      </c>
      <c r="N134" s="257">
        <f t="shared" si="31"/>
        <v>0</v>
      </c>
      <c r="AC134" s="20"/>
      <c r="AD134" s="13"/>
      <c r="AE134" s="13"/>
      <c r="AF134" s="13"/>
      <c r="AG134" s="13"/>
    </row>
    <row r="135" spans="12:33">
      <c r="L135" s="130" t="s">
        <v>308</v>
      </c>
      <c r="N135" s="257">
        <f t="shared" si="31"/>
        <v>0</v>
      </c>
      <c r="AC135" s="20"/>
      <c r="AD135" s="13"/>
      <c r="AE135" s="13"/>
      <c r="AF135" s="13"/>
      <c r="AG135" s="13"/>
    </row>
    <row r="136" spans="12:33">
      <c r="L136" s="130" t="s">
        <v>307</v>
      </c>
      <c r="N136" s="257">
        <f t="shared" si="31"/>
        <v>0</v>
      </c>
      <c r="AC136" s="20"/>
      <c r="AD136" s="13"/>
      <c r="AE136" s="13"/>
      <c r="AF136" s="13"/>
      <c r="AG136" s="13"/>
    </row>
    <row r="137" spans="12:33">
      <c r="L137" s="130" t="s">
        <v>310</v>
      </c>
      <c r="N137" s="257">
        <f t="shared" si="31"/>
        <v>0</v>
      </c>
      <c r="AC137" s="20"/>
      <c r="AD137" s="13"/>
      <c r="AE137" s="13"/>
      <c r="AF137" s="13"/>
      <c r="AG137" s="13"/>
    </row>
    <row r="138" spans="12:33">
      <c r="L138" s="130" t="e">
        <v>#N/A</v>
      </c>
      <c r="N138" s="257">
        <f t="shared" si="31"/>
        <v>0</v>
      </c>
      <c r="AC138" s="20"/>
      <c r="AD138" s="13"/>
      <c r="AE138" s="13"/>
      <c r="AF138" s="13"/>
      <c r="AG138" s="13"/>
    </row>
    <row r="139" spans="12:33">
      <c r="L139" s="130" t="s">
        <v>319</v>
      </c>
      <c r="M139" s="257">
        <f>SUM(M125:M138)</f>
        <v>0</v>
      </c>
      <c r="N139" s="257">
        <f t="shared" si="31"/>
        <v>0</v>
      </c>
      <c r="AC139" s="20"/>
      <c r="AD139" s="13"/>
      <c r="AE139" s="13"/>
      <c r="AF139" s="13"/>
      <c r="AG139" s="13"/>
    </row>
    <row r="140" spans="29:29">
      <c r="AC140" s="20"/>
    </row>
    <row r="142" spans="11:33">
      <c r="K142" s="1" t="s">
        <v>156</v>
      </c>
      <c r="L142" s="1" t="s">
        <v>302</v>
      </c>
      <c r="M142" s="257" t="s">
        <v>422</v>
      </c>
      <c r="N142" s="257" t="s">
        <v>304</v>
      </c>
      <c r="AD142" s="14"/>
      <c r="AE142" s="14"/>
      <c r="AF142" s="14"/>
      <c r="AG142" s="14"/>
    </row>
    <row r="143" spans="12:33">
      <c r="L143" s="1" t="s">
        <v>306</v>
      </c>
      <c r="M143" s="219"/>
      <c r="N143" s="257">
        <f>M143/10000</f>
        <v>0</v>
      </c>
      <c r="AC143" s="4"/>
      <c r="AD143" s="14"/>
      <c r="AE143" s="14"/>
      <c r="AF143" s="14"/>
      <c r="AG143" s="14"/>
    </row>
    <row r="144" spans="12:33">
      <c r="L144" s="1" t="s">
        <v>314</v>
      </c>
      <c r="N144" s="257">
        <f>M144/10000</f>
        <v>0</v>
      </c>
      <c r="AC144" s="4"/>
      <c r="AD144" s="14"/>
      <c r="AE144" s="14"/>
      <c r="AF144" s="14"/>
      <c r="AG144" s="14"/>
    </row>
    <row r="145" spans="12:33">
      <c r="L145" s="1" t="s">
        <v>315</v>
      </c>
      <c r="N145" s="257">
        <f>M145/10000</f>
        <v>0</v>
      </c>
      <c r="AC145" s="4"/>
      <c r="AD145" s="14"/>
      <c r="AE145" s="14"/>
      <c r="AF145" s="14"/>
      <c r="AG145" s="14"/>
    </row>
    <row r="146" spans="12:33">
      <c r="L146" s="130" t="s">
        <v>323</v>
      </c>
      <c r="N146" s="257">
        <v>0</v>
      </c>
      <c r="AC146" s="4"/>
      <c r="AD146" s="2"/>
      <c r="AE146" s="2"/>
      <c r="AF146" s="2"/>
      <c r="AG146" s="2"/>
    </row>
    <row r="147" spans="12:33">
      <c r="L147" s="1" t="s">
        <v>316</v>
      </c>
      <c r="N147" s="257">
        <f t="shared" ref="N147:N156" si="32">M147/10000</f>
        <v>0</v>
      </c>
      <c r="AC147" s="279"/>
      <c r="AD147" s="14"/>
      <c r="AE147" s="14"/>
      <c r="AF147" s="14"/>
      <c r="AG147" s="14"/>
    </row>
    <row r="148" spans="12:33">
      <c r="L148" s="1" t="s">
        <v>317</v>
      </c>
      <c r="N148" s="257">
        <f t="shared" si="32"/>
        <v>0</v>
      </c>
      <c r="AC148" s="4"/>
      <c r="AD148" s="14"/>
      <c r="AE148" s="14"/>
      <c r="AF148" s="14"/>
      <c r="AG148" s="14"/>
    </row>
    <row r="149" spans="12:33">
      <c r="L149" s="1" t="s">
        <v>318</v>
      </c>
      <c r="N149" s="257">
        <f t="shared" si="32"/>
        <v>0</v>
      </c>
      <c r="AC149" s="4"/>
      <c r="AD149" s="14"/>
      <c r="AE149" s="14"/>
      <c r="AF149" s="14"/>
      <c r="AG149" s="14"/>
    </row>
    <row r="150" spans="12:33">
      <c r="L150" s="1" t="s">
        <v>312</v>
      </c>
      <c r="N150" s="257">
        <f t="shared" si="32"/>
        <v>0</v>
      </c>
      <c r="AC150" s="4"/>
      <c r="AD150" s="14"/>
      <c r="AE150" s="14"/>
      <c r="AF150" s="14"/>
      <c r="AG150" s="14"/>
    </row>
    <row r="151" spans="12:33">
      <c r="L151" s="1" t="s">
        <v>309</v>
      </c>
      <c r="N151" s="257">
        <f t="shared" si="32"/>
        <v>0</v>
      </c>
      <c r="AC151" s="4"/>
      <c r="AD151" s="14"/>
      <c r="AE151" s="14"/>
      <c r="AF151" s="14"/>
      <c r="AG151" s="14"/>
    </row>
    <row r="152" spans="12:33">
      <c r="L152" s="1" t="s">
        <v>311</v>
      </c>
      <c r="N152" s="257">
        <f t="shared" si="32"/>
        <v>0</v>
      </c>
      <c r="AC152" s="4"/>
      <c r="AD152" s="14"/>
      <c r="AE152" s="14"/>
      <c r="AF152" s="14"/>
      <c r="AG152" s="14"/>
    </row>
    <row r="153" spans="12:33">
      <c r="L153" s="1" t="s">
        <v>308</v>
      </c>
      <c r="N153" s="257">
        <f t="shared" si="32"/>
        <v>0</v>
      </c>
      <c r="AC153" s="4"/>
      <c r="AD153" s="14"/>
      <c r="AE153" s="14"/>
      <c r="AF153" s="14"/>
      <c r="AG153" s="14"/>
    </row>
    <row r="154" spans="12:33">
      <c r="L154" s="1" t="s">
        <v>307</v>
      </c>
      <c r="N154" s="257">
        <f t="shared" si="32"/>
        <v>0</v>
      </c>
      <c r="AC154" s="4"/>
      <c r="AD154" s="14"/>
      <c r="AE154" s="14"/>
      <c r="AF154" s="14"/>
      <c r="AG154" s="14"/>
    </row>
    <row r="155" spans="12:33">
      <c r="L155" s="1" t="s">
        <v>310</v>
      </c>
      <c r="N155" s="257">
        <f t="shared" si="32"/>
        <v>0</v>
      </c>
      <c r="AC155" s="4"/>
      <c r="AD155" s="14"/>
      <c r="AE155" s="14"/>
      <c r="AF155" s="14"/>
      <c r="AG155" s="14"/>
    </row>
    <row r="156" spans="12:33">
      <c r="L156" s="1" t="e">
        <v>#N/A</v>
      </c>
      <c r="N156" s="257">
        <f t="shared" si="32"/>
        <v>0</v>
      </c>
      <c r="AC156" s="4"/>
      <c r="AD156" s="14"/>
      <c r="AE156" s="14"/>
      <c r="AF156" s="14"/>
      <c r="AG156" s="14"/>
    </row>
    <row r="157" spans="12:33">
      <c r="L157" s="1" t="s">
        <v>319</v>
      </c>
      <c r="M157" s="257">
        <f>SUM(M143:M156)</f>
        <v>0</v>
      </c>
      <c r="N157" s="257">
        <f>SUM(N143:N156)</f>
        <v>0</v>
      </c>
      <c r="AC157" s="4"/>
      <c r="AD157" s="14"/>
      <c r="AE157" s="14"/>
      <c r="AF157" s="14"/>
      <c r="AG157" s="14"/>
    </row>
    <row r="158" spans="29:29">
      <c r="AC158" s="4"/>
    </row>
    <row r="160" spans="11:14">
      <c r="K160" s="1" t="s">
        <v>157</v>
      </c>
      <c r="L160" s="130" t="s">
        <v>302</v>
      </c>
      <c r="M160" s="257" t="s">
        <v>421</v>
      </c>
      <c r="N160" s="257" t="s">
        <v>304</v>
      </c>
    </row>
    <row r="161" spans="12:14">
      <c r="L161" s="130" t="s">
        <v>306</v>
      </c>
      <c r="N161" s="257">
        <f>M161/10000</f>
        <v>0</v>
      </c>
    </row>
    <row r="162" spans="12:14">
      <c r="L162" s="130" t="s">
        <v>314</v>
      </c>
      <c r="N162" s="257">
        <f>M162/10000</f>
        <v>0</v>
      </c>
    </row>
    <row r="163" spans="12:14">
      <c r="L163" s="130" t="s">
        <v>315</v>
      </c>
      <c r="N163" s="257">
        <f>M163/10000</f>
        <v>0</v>
      </c>
    </row>
    <row r="164" spans="12:33">
      <c r="L164" s="130" t="s">
        <v>323</v>
      </c>
      <c r="N164" s="257">
        <v>0</v>
      </c>
      <c r="AD164" s="2"/>
      <c r="AE164" s="2"/>
      <c r="AF164" s="2"/>
      <c r="AG164" s="2"/>
    </row>
    <row r="165" spans="12:29">
      <c r="L165" s="130" t="s">
        <v>316</v>
      </c>
      <c r="N165" s="257">
        <f t="shared" ref="N165:N175" si="33">M165/10000</f>
        <v>0</v>
      </c>
      <c r="AC165" s="279"/>
    </row>
    <row r="166" spans="12:14">
      <c r="L166" s="130" t="s">
        <v>317</v>
      </c>
      <c r="N166" s="257">
        <f t="shared" si="33"/>
        <v>0</v>
      </c>
    </row>
    <row r="167" spans="12:14">
      <c r="L167" s="130" t="s">
        <v>318</v>
      </c>
      <c r="N167" s="257">
        <f t="shared" si="33"/>
        <v>0</v>
      </c>
    </row>
    <row r="168" spans="12:14">
      <c r="L168" s="130" t="s">
        <v>312</v>
      </c>
      <c r="N168" s="257">
        <f t="shared" si="33"/>
        <v>0</v>
      </c>
    </row>
    <row r="169" spans="12:14">
      <c r="L169" s="130" t="s">
        <v>309</v>
      </c>
      <c r="N169" s="257">
        <f t="shared" si="33"/>
        <v>0</v>
      </c>
    </row>
    <row r="170" spans="12:14">
      <c r="L170" s="130" t="s">
        <v>311</v>
      </c>
      <c r="N170" s="257">
        <f t="shared" si="33"/>
        <v>0</v>
      </c>
    </row>
    <row r="171" spans="12:14">
      <c r="L171" s="130" t="s">
        <v>308</v>
      </c>
      <c r="N171" s="257">
        <f t="shared" si="33"/>
        <v>0</v>
      </c>
    </row>
    <row r="172" spans="12:14">
      <c r="L172" s="130" t="s">
        <v>307</v>
      </c>
      <c r="N172" s="257">
        <f t="shared" si="33"/>
        <v>0</v>
      </c>
    </row>
    <row r="173" spans="12:14">
      <c r="L173" s="130" t="s">
        <v>310</v>
      </c>
      <c r="N173" s="257">
        <f t="shared" si="33"/>
        <v>0</v>
      </c>
    </row>
    <row r="174" spans="12:14">
      <c r="L174" s="130" t="e">
        <v>#N/A</v>
      </c>
      <c r="N174" s="257">
        <f t="shared" si="33"/>
        <v>0</v>
      </c>
    </row>
    <row r="175" spans="12:14">
      <c r="L175" s="130" t="s">
        <v>319</v>
      </c>
      <c r="M175" s="257">
        <f>SUM(M161:M174)</f>
        <v>0</v>
      </c>
      <c r="N175" s="257">
        <f t="shared" si="33"/>
        <v>0</v>
      </c>
    </row>
    <row r="178" spans="11:14">
      <c r="K178" s="1" t="s">
        <v>158</v>
      </c>
      <c r="L178" s="130" t="s">
        <v>302</v>
      </c>
      <c r="M178" s="257" t="s">
        <v>421</v>
      </c>
      <c r="N178" s="257" t="s">
        <v>304</v>
      </c>
    </row>
    <row r="179" spans="12:14">
      <c r="L179" s="130" t="s">
        <v>306</v>
      </c>
      <c r="N179" s="257">
        <f>M179/10000</f>
        <v>0</v>
      </c>
    </row>
    <row r="180" spans="12:14">
      <c r="L180" s="130" t="s">
        <v>314</v>
      </c>
      <c r="N180" s="257">
        <f>M180/10000</f>
        <v>0</v>
      </c>
    </row>
    <row r="181" spans="12:14">
      <c r="L181" s="130" t="s">
        <v>315</v>
      </c>
      <c r="N181" s="257">
        <f>M181/10000</f>
        <v>0</v>
      </c>
    </row>
    <row r="182" spans="12:33">
      <c r="L182" s="130" t="s">
        <v>323</v>
      </c>
      <c r="N182" s="257">
        <v>0</v>
      </c>
      <c r="AD182" s="2"/>
      <c r="AE182" s="2"/>
      <c r="AF182" s="2"/>
      <c r="AG182" s="2"/>
    </row>
    <row r="183" spans="12:29">
      <c r="L183" s="130" t="s">
        <v>316</v>
      </c>
      <c r="N183" s="257">
        <f t="shared" ref="N183:N192" si="34">M183/10000</f>
        <v>0</v>
      </c>
      <c r="AC183" s="279"/>
    </row>
    <row r="184" spans="12:14">
      <c r="L184" s="130" t="s">
        <v>317</v>
      </c>
      <c r="N184" s="257">
        <f t="shared" si="34"/>
        <v>0</v>
      </c>
    </row>
    <row r="185" spans="12:14">
      <c r="L185" s="130" t="s">
        <v>318</v>
      </c>
      <c r="N185" s="257">
        <f t="shared" si="34"/>
        <v>0</v>
      </c>
    </row>
    <row r="186" spans="12:14">
      <c r="L186" s="130" t="s">
        <v>312</v>
      </c>
      <c r="N186" s="257">
        <f t="shared" si="34"/>
        <v>0</v>
      </c>
    </row>
    <row r="187" spans="12:14">
      <c r="L187" s="130" t="s">
        <v>309</v>
      </c>
      <c r="N187" s="257">
        <f t="shared" si="34"/>
        <v>0</v>
      </c>
    </row>
    <row r="188" spans="12:14">
      <c r="L188" s="130" t="s">
        <v>311</v>
      </c>
      <c r="N188" s="257">
        <f t="shared" si="34"/>
        <v>0</v>
      </c>
    </row>
    <row r="189" spans="12:14">
      <c r="L189" s="130" t="s">
        <v>308</v>
      </c>
      <c r="N189" s="257">
        <f t="shared" si="34"/>
        <v>0</v>
      </c>
    </row>
    <row r="190" spans="12:14">
      <c r="L190" s="130" t="s">
        <v>307</v>
      </c>
      <c r="N190" s="257">
        <f t="shared" si="34"/>
        <v>0</v>
      </c>
    </row>
    <row r="191" spans="12:14">
      <c r="L191" s="130" t="s">
        <v>310</v>
      </c>
      <c r="N191" s="257">
        <f t="shared" si="34"/>
        <v>0</v>
      </c>
    </row>
    <row r="192" spans="12:14">
      <c r="L192" s="130" t="e">
        <v>#N/A</v>
      </c>
      <c r="N192" s="257">
        <f t="shared" si="34"/>
        <v>0</v>
      </c>
    </row>
    <row r="193" spans="12:14">
      <c r="L193" s="130" t="s">
        <v>319</v>
      </c>
      <c r="M193" s="257">
        <f>SUM(M179:M192)</f>
        <v>0</v>
      </c>
      <c r="N193" s="257">
        <f>SUM(N179:N192)</f>
        <v>0</v>
      </c>
    </row>
    <row r="196" spans="11:35">
      <c r="K196" s="1" t="s">
        <v>324</v>
      </c>
      <c r="L196" s="130" t="s">
        <v>302</v>
      </c>
      <c r="M196" s="257" t="s">
        <v>421</v>
      </c>
      <c r="N196" s="257" t="s">
        <v>304</v>
      </c>
      <c r="AD196" s="1"/>
      <c r="AE196" s="1"/>
      <c r="AF196" s="130"/>
      <c r="AG196" s="130"/>
      <c r="AH196" s="257"/>
      <c r="AI196" s="257"/>
    </row>
    <row r="197" spans="12:35">
      <c r="L197" s="130" t="s">
        <v>306</v>
      </c>
      <c r="N197" s="257">
        <f>M197/10000</f>
        <v>0</v>
      </c>
      <c r="AD197" s="1"/>
      <c r="AE197" s="1"/>
      <c r="AF197" s="130"/>
      <c r="AG197" s="130"/>
      <c r="AH197" s="257"/>
      <c r="AI197" s="257"/>
    </row>
    <row r="198" spans="12:35">
      <c r="L198" s="130" t="s">
        <v>314</v>
      </c>
      <c r="N198" s="257">
        <f>M198/10000</f>
        <v>0</v>
      </c>
      <c r="AB198" s="286"/>
      <c r="AD198" s="1"/>
      <c r="AE198" s="1"/>
      <c r="AF198" s="130"/>
      <c r="AG198" s="130"/>
      <c r="AH198" s="257"/>
      <c r="AI198" s="257"/>
    </row>
    <row r="199" spans="12:35">
      <c r="L199" s="130" t="s">
        <v>315</v>
      </c>
      <c r="N199" s="257">
        <f>M199/10000</f>
        <v>0</v>
      </c>
      <c r="AB199" s="286"/>
      <c r="AD199" s="1"/>
      <c r="AE199" s="1"/>
      <c r="AF199" s="130"/>
      <c r="AG199" s="130"/>
      <c r="AH199" s="257"/>
      <c r="AI199" s="257"/>
    </row>
    <row r="200" spans="12:33">
      <c r="L200" s="130" t="s">
        <v>323</v>
      </c>
      <c r="N200" s="257">
        <v>0</v>
      </c>
      <c r="AB200" s="286"/>
      <c r="AD200" s="2"/>
      <c r="AE200" s="2"/>
      <c r="AF200" s="2"/>
      <c r="AG200" s="2"/>
    </row>
    <row r="201" spans="12:35">
      <c r="L201" s="130" t="s">
        <v>316</v>
      </c>
      <c r="N201" s="257">
        <f t="shared" ref="N201:N210" si="35">M201/10000</f>
        <v>0</v>
      </c>
      <c r="AC201" s="279"/>
      <c r="AD201" s="1"/>
      <c r="AE201" s="1"/>
      <c r="AF201" s="130"/>
      <c r="AG201" s="130"/>
      <c r="AH201" s="257"/>
      <c r="AI201" s="257"/>
    </row>
    <row r="202" spans="12:35">
      <c r="L202" s="130" t="s">
        <v>317</v>
      </c>
      <c r="N202" s="257">
        <f t="shared" si="35"/>
        <v>0</v>
      </c>
      <c r="AB202" s="286"/>
      <c r="AD202" s="1"/>
      <c r="AE202" s="1"/>
      <c r="AF202" s="130"/>
      <c r="AG202" s="130"/>
      <c r="AH202" s="257"/>
      <c r="AI202" s="257"/>
    </row>
    <row r="203" spans="12:35">
      <c r="L203" s="130" t="s">
        <v>318</v>
      </c>
      <c r="N203" s="257">
        <f t="shared" si="35"/>
        <v>0</v>
      </c>
      <c r="AB203" s="286"/>
      <c r="AD203" s="1"/>
      <c r="AE203" s="1"/>
      <c r="AF203" s="130"/>
      <c r="AG203" s="130"/>
      <c r="AH203" s="257"/>
      <c r="AI203" s="257"/>
    </row>
    <row r="204" spans="12:35">
      <c r="L204" s="130" t="s">
        <v>312</v>
      </c>
      <c r="N204" s="257">
        <f t="shared" si="35"/>
        <v>0</v>
      </c>
      <c r="AB204" s="286"/>
      <c r="AD204" s="1"/>
      <c r="AE204" s="1"/>
      <c r="AF204" s="130"/>
      <c r="AG204" s="130"/>
      <c r="AH204" s="257"/>
      <c r="AI204" s="257"/>
    </row>
    <row r="205" spans="12:35">
      <c r="L205" s="130" t="s">
        <v>309</v>
      </c>
      <c r="N205" s="257">
        <f t="shared" si="35"/>
        <v>0</v>
      </c>
      <c r="AB205" s="286"/>
      <c r="AD205" s="1"/>
      <c r="AE205" s="1"/>
      <c r="AF205" s="130"/>
      <c r="AG205" s="130"/>
      <c r="AH205" s="257"/>
      <c r="AI205" s="257"/>
    </row>
    <row r="206" spans="12:35">
      <c r="L206" s="130" t="s">
        <v>311</v>
      </c>
      <c r="N206" s="257">
        <f t="shared" si="35"/>
        <v>0</v>
      </c>
      <c r="AB206" s="286"/>
      <c r="AD206" s="1"/>
      <c r="AE206" s="1"/>
      <c r="AF206" s="130"/>
      <c r="AG206" s="130"/>
      <c r="AH206" s="257"/>
      <c r="AI206" s="257"/>
    </row>
    <row r="207" spans="12:35">
      <c r="L207" s="130" t="s">
        <v>308</v>
      </c>
      <c r="N207" s="257">
        <f t="shared" si="35"/>
        <v>0</v>
      </c>
      <c r="AB207" s="286"/>
      <c r="AD207" s="1"/>
      <c r="AE207" s="1"/>
      <c r="AF207" s="130"/>
      <c r="AG207" s="130"/>
      <c r="AH207" s="257"/>
      <c r="AI207" s="257"/>
    </row>
    <row r="208" spans="12:35">
      <c r="L208" s="130" t="s">
        <v>307</v>
      </c>
      <c r="N208" s="257">
        <f t="shared" si="35"/>
        <v>0</v>
      </c>
      <c r="AB208" s="286"/>
      <c r="AD208" s="1"/>
      <c r="AE208" s="1"/>
      <c r="AF208" s="130"/>
      <c r="AG208" s="130"/>
      <c r="AH208" s="257"/>
      <c r="AI208" s="257"/>
    </row>
    <row r="209" spans="12:35">
      <c r="L209" s="130" t="s">
        <v>310</v>
      </c>
      <c r="N209" s="257">
        <f t="shared" si="35"/>
        <v>0</v>
      </c>
      <c r="AB209" s="286"/>
      <c r="AD209" s="1"/>
      <c r="AE209" s="1"/>
      <c r="AF209" s="130"/>
      <c r="AG209" s="130"/>
      <c r="AH209" s="257"/>
      <c r="AI209" s="257"/>
    </row>
    <row r="210" spans="12:35">
      <c r="L210" s="130" t="e">
        <v>#N/A</v>
      </c>
      <c r="N210" s="257">
        <f t="shared" si="35"/>
        <v>0</v>
      </c>
      <c r="AB210" s="286"/>
      <c r="AD210" s="1"/>
      <c r="AE210" s="1"/>
      <c r="AF210" s="130"/>
      <c r="AG210" s="130"/>
      <c r="AH210" s="257"/>
      <c r="AI210" s="257"/>
    </row>
    <row r="211" spans="12:35">
      <c r="L211" s="130" t="s">
        <v>319</v>
      </c>
      <c r="M211" s="257">
        <f>SUM(M197:M210)</f>
        <v>0</v>
      </c>
      <c r="N211" s="257">
        <f>SUM(N197:N210)</f>
        <v>0</v>
      </c>
      <c r="AB211" s="286"/>
      <c r="AD211" s="1"/>
      <c r="AE211" s="1"/>
      <c r="AF211" s="130"/>
      <c r="AG211" s="130"/>
      <c r="AH211" s="257"/>
      <c r="AI211" s="257"/>
    </row>
    <row r="212" spans="28:28">
      <c r="AB212" s="286"/>
    </row>
    <row r="218" spans="12:24">
      <c r="L218"/>
      <c r="M218" s="25"/>
      <c r="N218" s="284"/>
      <c r="O218" s="284"/>
      <c r="X218" s="284"/>
    </row>
    <row r="219" spans="12:27">
      <c r="L219"/>
      <c r="M219" s="25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Z219" s="284"/>
      <c r="AA219" s="284"/>
    </row>
    <row r="220" spans="12:27">
      <c r="L220"/>
      <c r="M220" s="25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84"/>
    </row>
    <row r="221" spans="12:27">
      <c r="L221"/>
      <c r="M221" s="25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84"/>
    </row>
    <row r="222" spans="12:27">
      <c r="L222"/>
      <c r="M222" s="25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</row>
    <row r="223" spans="12:27">
      <c r="L223"/>
      <c r="M223" s="25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</row>
    <row r="224" spans="12:27">
      <c r="L224"/>
      <c r="M224" s="25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  <c r="AA224" s="284"/>
    </row>
    <row r="225" spans="12:27">
      <c r="L225"/>
      <c r="M225" s="25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284"/>
    </row>
    <row r="226" spans="12:27">
      <c r="L226"/>
      <c r="M226" s="25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84"/>
    </row>
    <row r="227" spans="12:27">
      <c r="L227"/>
      <c r="M227" s="25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</row>
    <row r="228" spans="12:27">
      <c r="L228"/>
      <c r="M228" s="25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84"/>
    </row>
    <row r="229" spans="12:27">
      <c r="L229"/>
      <c r="M229" s="25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84"/>
    </row>
    <row r="230" spans="12:27">
      <c r="L230"/>
      <c r="M230" s="25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  <c r="AA230" s="284"/>
    </row>
    <row r="231" spans="12:27">
      <c r="L231"/>
      <c r="M231" s="25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</row>
    <row r="232" spans="10:27">
      <c r="J232" s="13"/>
      <c r="L232"/>
      <c r="M232" s="25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</row>
    <row r="233" spans="4:27">
      <c r="D233" s="281"/>
      <c r="E233" s="282"/>
      <c r="G233" s="283"/>
      <c r="H233" s="21"/>
      <c r="I233" s="21"/>
      <c r="J233" s="13"/>
      <c r="L233"/>
      <c r="M233" s="25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84"/>
    </row>
    <row r="234" spans="4:27">
      <c r="D234" s="281"/>
      <c r="E234" s="282"/>
      <c r="G234" s="283"/>
      <c r="H234" s="21"/>
      <c r="I234" s="21"/>
      <c r="J234" s="13"/>
      <c r="L234"/>
      <c r="M234" s="25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  <c r="AA234" s="284"/>
    </row>
    <row r="235" spans="4:27">
      <c r="D235" s="281"/>
      <c r="E235" s="282"/>
      <c r="G235" s="283"/>
      <c r="H235" s="21"/>
      <c r="I235" s="21"/>
      <c r="J235" s="13"/>
      <c r="L235"/>
      <c r="M235" s="25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284"/>
    </row>
    <row r="236" spans="4:27">
      <c r="D236" s="281"/>
      <c r="E236" s="282"/>
      <c r="G236" s="283"/>
      <c r="H236" s="21"/>
      <c r="I236" s="21"/>
      <c r="J236" s="13"/>
      <c r="L236"/>
      <c r="M236" s="25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</row>
    <row r="237" spans="4:27">
      <c r="D237" s="281"/>
      <c r="E237" s="282"/>
      <c r="G237" s="283"/>
      <c r="H237" s="21"/>
      <c r="I237" s="21"/>
      <c r="J237" s="13"/>
      <c r="L237"/>
      <c r="M237" s="25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</row>
    <row r="238" spans="4:27">
      <c r="D238" s="281"/>
      <c r="E238" s="282"/>
      <c r="G238" s="283"/>
      <c r="H238" s="21"/>
      <c r="I238" s="21"/>
      <c r="J238" s="13"/>
      <c r="L238"/>
      <c r="M238" s="25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</row>
    <row r="239" spans="4:27">
      <c r="D239" s="281"/>
      <c r="E239" s="282"/>
      <c r="G239" s="283"/>
      <c r="H239" s="21"/>
      <c r="I239" s="21"/>
      <c r="J239" s="13"/>
      <c r="L239"/>
      <c r="M239" s="25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</row>
    <row r="240" spans="4:27">
      <c r="D240" s="281"/>
      <c r="E240" s="282"/>
      <c r="G240" s="283"/>
      <c r="H240" s="21"/>
      <c r="I240" s="21"/>
      <c r="J240" s="13"/>
      <c r="L240"/>
      <c r="M240" s="25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</row>
    <row r="241" spans="4:27">
      <c r="D241" s="281"/>
      <c r="E241" s="282"/>
      <c r="G241" s="283"/>
      <c r="H241" s="21"/>
      <c r="I241" s="21"/>
      <c r="J241" s="13"/>
      <c r="K241" s="2"/>
      <c r="L241" s="2"/>
      <c r="M241" s="285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</row>
    <row r="242" spans="4:27">
      <c r="D242" s="281"/>
      <c r="E242" s="282"/>
      <c r="G242" s="283"/>
      <c r="H242" s="21"/>
      <c r="I242" s="21"/>
      <c r="J242" s="13"/>
      <c r="K242" s="2"/>
      <c r="L242" s="219"/>
      <c r="M242" s="219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</row>
    <row r="243" spans="4:27">
      <c r="D243" s="281"/>
      <c r="E243" s="282"/>
      <c r="G243" s="283"/>
      <c r="H243" s="21"/>
      <c r="I243" s="21"/>
      <c r="J243" s="13"/>
      <c r="K243" s="2"/>
      <c r="L243" s="219"/>
      <c r="M243" s="219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</row>
    <row r="244" spans="4:27">
      <c r="D244" s="281"/>
      <c r="E244" s="282"/>
      <c r="G244" s="283"/>
      <c r="H244" s="21"/>
      <c r="I244" s="21"/>
      <c r="J244" s="13"/>
      <c r="K244" s="2"/>
      <c r="L244" s="219"/>
      <c r="M244" s="219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</row>
    <row r="245" spans="4:27">
      <c r="D245" s="281"/>
      <c r="E245" s="282"/>
      <c r="G245" s="283"/>
      <c r="H245" s="21"/>
      <c r="I245" s="21"/>
      <c r="J245" s="13"/>
      <c r="M245" s="130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</row>
    <row r="246" spans="4:27">
      <c r="D246" s="281"/>
      <c r="E246" s="282"/>
      <c r="G246" s="283"/>
      <c r="H246" s="21"/>
      <c r="I246" s="21"/>
      <c r="J246" s="13"/>
      <c r="M246" s="130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</row>
    <row r="247" spans="4:27">
      <c r="D247" s="281"/>
      <c r="E247" s="282"/>
      <c r="G247" s="283"/>
      <c r="H247" s="21"/>
      <c r="I247" s="21"/>
      <c r="J247" s="13"/>
      <c r="M247" s="130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</row>
    <row r="248" spans="4:27">
      <c r="D248" s="281"/>
      <c r="E248" s="282"/>
      <c r="G248" s="283"/>
      <c r="H248" s="21"/>
      <c r="I248" s="21"/>
      <c r="J248" s="13"/>
      <c r="L248" s="219"/>
      <c r="M248" s="2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</row>
    <row r="249" spans="4:27">
      <c r="D249" s="281"/>
      <c r="E249" s="282"/>
      <c r="G249" s="283"/>
      <c r="H249" s="21"/>
      <c r="I249" s="21"/>
      <c r="J249" s="13"/>
      <c r="L249" s="219"/>
      <c r="M249" s="219"/>
      <c r="P249" s="284"/>
      <c r="Q249" s="284"/>
      <c r="R249" s="284"/>
      <c r="S249" s="284"/>
      <c r="T249" s="284"/>
      <c r="U249" s="284"/>
      <c r="V249" s="284"/>
      <c r="W249" s="284"/>
      <c r="Y249" s="284"/>
      <c r="Z249" s="284"/>
      <c r="AA249" s="284"/>
    </row>
    <row r="250" spans="4:25">
      <c r="D250" s="281"/>
      <c r="E250" s="282"/>
      <c r="G250" s="283"/>
      <c r="H250" s="21"/>
      <c r="I250" s="21"/>
      <c r="J250" s="13"/>
      <c r="L250" s="219"/>
      <c r="M250" s="219"/>
      <c r="Y250" s="284"/>
    </row>
    <row r="251" spans="4:13">
      <c r="D251" s="281"/>
      <c r="E251" s="282"/>
      <c r="G251" s="283"/>
      <c r="H251" s="21"/>
      <c r="I251" s="21"/>
      <c r="J251" s="13"/>
      <c r="L251" s="219"/>
      <c r="M251" s="219"/>
    </row>
    <row r="252" spans="4:13">
      <c r="D252" s="281"/>
      <c r="E252" s="282"/>
      <c r="G252" s="283"/>
      <c r="H252" s="21"/>
      <c r="I252" s="21"/>
      <c r="J252" s="13"/>
      <c r="L252" s="219"/>
      <c r="M252" s="219"/>
    </row>
    <row r="253" spans="4:10">
      <c r="D253" s="281"/>
      <c r="E253" s="282"/>
      <c r="G253" s="283"/>
      <c r="H253" s="21"/>
      <c r="I253" s="21"/>
      <c r="J253" s="13"/>
    </row>
    <row r="254" spans="4:10">
      <c r="D254" s="281"/>
      <c r="E254" s="282"/>
      <c r="G254" s="283"/>
      <c r="H254" s="21"/>
      <c r="I254" s="21"/>
      <c r="J254" s="13"/>
    </row>
    <row r="255" spans="4:9">
      <c r="D255" s="281"/>
      <c r="E255" s="282"/>
      <c r="G255" s="283"/>
      <c r="H255" s="21"/>
      <c r="I255" s="21"/>
    </row>
    <row r="256" spans="4:9">
      <c r="D256" s="281"/>
      <c r="G256" s="281"/>
      <c r="H256" s="282"/>
      <c r="I256" s="130"/>
    </row>
    <row r="257" spans="4:9">
      <c r="D257" s="281"/>
      <c r="H257" s="130"/>
      <c r="I257" s="130"/>
    </row>
    <row r="258" spans="4:9">
      <c r="D258" s="281"/>
      <c r="H258" s="130"/>
      <c r="I258" s="130"/>
    </row>
    <row r="259" spans="4:9">
      <c r="D259" s="281"/>
      <c r="H259" s="130"/>
      <c r="I259" s="130"/>
    </row>
    <row r="260" spans="4:9">
      <c r="D260" s="281"/>
      <c r="H260" s="130"/>
      <c r="I260" s="130"/>
    </row>
    <row r="261" spans="4:9">
      <c r="D261" s="281"/>
      <c r="H261" s="130"/>
      <c r="I261" s="130"/>
    </row>
    <row r="262" spans="4:9">
      <c r="D262" s="281"/>
      <c r="H262" s="130"/>
      <c r="I262" s="130"/>
    </row>
    <row r="266" spans="9:9">
      <c r="I266" s="22"/>
    </row>
    <row r="267" spans="9:9">
      <c r="I267" s="22"/>
    </row>
    <row r="268" spans="9:9">
      <c r="I268" s="22"/>
    </row>
    <row r="269" spans="9:9">
      <c r="I269" s="22"/>
    </row>
    <row r="270" spans="9:9">
      <c r="I270" s="22"/>
    </row>
    <row r="271" spans="9:9">
      <c r="I271" s="22"/>
    </row>
    <row r="272" spans="9:9">
      <c r="I272" s="22"/>
    </row>
    <row r="273" spans="9:9">
      <c r="I273" s="22"/>
    </row>
    <row r="274" spans="9:9">
      <c r="I274" s="22"/>
    </row>
    <row r="275" spans="9:9">
      <c r="I275" s="22"/>
    </row>
    <row r="276" spans="9:9">
      <c r="I276" s="22"/>
    </row>
    <row r="277" spans="9:9">
      <c r="I277" s="22"/>
    </row>
    <row r="278" spans="9:9">
      <c r="I278" s="22"/>
    </row>
  </sheetData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8"/>
  <sheetViews>
    <sheetView topLeftCell="D58" workbookViewId="0">
      <selection activeCell="D64" sqref="D64"/>
    </sheetView>
  </sheetViews>
  <sheetFormatPr defaultColWidth="8.89166666666667" defaultRowHeight="13.5"/>
  <cols>
    <col min="1" max="1" width="25.8833333333333" style="1" customWidth="1"/>
    <col min="2" max="2" width="17.3833333333333" style="1" customWidth="1"/>
    <col min="3" max="3" width="16.3333333333333" style="1" customWidth="1"/>
    <col min="4" max="4" width="14.6333333333333" style="1" customWidth="1"/>
    <col min="5" max="5" width="15.6333333333333" style="1" customWidth="1"/>
    <col min="6" max="6" width="14.5" style="1" customWidth="1"/>
    <col min="7" max="7" width="9.5" style="1" customWidth="1"/>
    <col min="8" max="8" width="11.8833333333333" style="217" customWidth="1"/>
    <col min="9" max="10" width="13.7583333333333" style="1"/>
    <col min="11" max="11" width="26.6333333333333" style="218" customWidth="1"/>
    <col min="12" max="12" width="16.0916666666667" style="1" customWidth="1"/>
    <col min="13" max="13" width="18" style="130" customWidth="1"/>
    <col min="14" max="14" width="13.8833333333333" style="130" customWidth="1"/>
    <col min="15" max="15" width="14.3833333333333" style="130" customWidth="1"/>
    <col min="16" max="16" width="15" style="130" customWidth="1"/>
    <col min="17" max="17" width="10" style="130" customWidth="1"/>
    <col min="18" max="18" width="7.5" style="1" customWidth="1"/>
    <col min="19" max="19" width="14.1333333333333" style="1" customWidth="1"/>
    <col min="20" max="20" width="14.5" style="1" customWidth="1"/>
    <col min="21" max="21" width="15" style="1" customWidth="1"/>
    <col min="22" max="22" width="8.89166666666667" style="1"/>
  </cols>
  <sheetData>
    <row r="1" spans="1:11">
      <c r="A1" s="1" t="s">
        <v>423</v>
      </c>
      <c r="K1" s="218" t="s">
        <v>414</v>
      </c>
    </row>
    <row r="2" spans="1:9">
      <c r="A2" s="1" t="s">
        <v>424</v>
      </c>
      <c r="B2" s="1" t="s">
        <v>63</v>
      </c>
      <c r="C2" s="1" t="s">
        <v>425</v>
      </c>
      <c r="D2" s="1" t="s">
        <v>27</v>
      </c>
      <c r="E2" s="1" t="s">
        <v>426</v>
      </c>
      <c r="F2" s="1" t="s">
        <v>427</v>
      </c>
      <c r="G2" s="1" t="s">
        <v>11</v>
      </c>
      <c r="H2" s="217" t="s">
        <v>162</v>
      </c>
      <c r="I2" s="1" t="s">
        <v>428</v>
      </c>
    </row>
    <row r="3" spans="1:21">
      <c r="A3" s="130" t="s">
        <v>429</v>
      </c>
      <c r="B3" s="219">
        <f>Q3/10000</f>
        <v>34488.2767813825</v>
      </c>
      <c r="C3" s="219">
        <f>(M3-P3)/10000</f>
        <v>6328.2558296925</v>
      </c>
      <c r="D3" s="220">
        <f t="shared" ref="D3:D12" si="0">P3/10000</f>
        <v>0</v>
      </c>
      <c r="E3" s="220">
        <f t="shared" ref="E3:E12" si="1">C3+D3</f>
        <v>6328.2558296925</v>
      </c>
      <c r="F3" s="221">
        <f>(C3+D3)/B3</f>
        <v>0.183490055760299</v>
      </c>
      <c r="G3" s="1" t="s">
        <v>206</v>
      </c>
      <c r="H3" s="222" t="s">
        <v>14</v>
      </c>
      <c r="I3" s="231">
        <f>E3/'毛利-收入组成'!$AP$14</f>
        <v>0.171059131503616</v>
      </c>
      <c r="J3" s="231"/>
      <c r="K3" s="232" t="s">
        <v>429</v>
      </c>
      <c r="L3" s="233" t="s">
        <v>14</v>
      </c>
      <c r="M3" s="130">
        <v>63282558.296925</v>
      </c>
      <c r="N3" s="130">
        <v>130377288.355</v>
      </c>
      <c r="O3" s="130">
        <v>-67094730.058075</v>
      </c>
      <c r="Q3" s="130">
        <v>344882767.813825</v>
      </c>
      <c r="R3" s="148">
        <v>0.183490055760299</v>
      </c>
      <c r="T3" s="130" t="s">
        <v>430</v>
      </c>
      <c r="U3" s="130">
        <v>10164730.18</v>
      </c>
    </row>
    <row r="4" spans="1:21">
      <c r="A4" s="130" t="s">
        <v>430</v>
      </c>
      <c r="B4" s="219">
        <f>Q4/10000</f>
        <v>27486.2768471289</v>
      </c>
      <c r="C4" s="219">
        <f>(M4-P4)/10000</f>
        <v>4938.943798889</v>
      </c>
      <c r="D4" s="220">
        <f t="shared" si="0"/>
        <v>1016.473018</v>
      </c>
      <c r="E4" s="220">
        <f t="shared" si="1"/>
        <v>5955.416816889</v>
      </c>
      <c r="F4" s="221">
        <f>(C4+D4)/B4</f>
        <v>0.216668734365567</v>
      </c>
      <c r="G4" s="1" t="s">
        <v>206</v>
      </c>
      <c r="H4" s="222" t="s">
        <v>14</v>
      </c>
      <c r="I4" s="231">
        <f>E4/'毛利-收入组成'!$AP$14</f>
        <v>0.160980917310444</v>
      </c>
      <c r="J4" s="231"/>
      <c r="K4" s="232" t="s">
        <v>430</v>
      </c>
      <c r="L4" s="233" t="s">
        <v>14</v>
      </c>
      <c r="M4" s="130">
        <v>59554168.16889</v>
      </c>
      <c r="N4" s="130">
        <v>106063990.8377</v>
      </c>
      <c r="O4" s="130">
        <v>-46509822.66881</v>
      </c>
      <c r="P4" s="130">
        <v>10164730.18</v>
      </c>
      <c r="Q4" s="130">
        <v>274862768.471289</v>
      </c>
      <c r="R4" s="148">
        <v>0.216668734365567</v>
      </c>
      <c r="S4" s="1" t="s">
        <v>431</v>
      </c>
      <c r="T4" s="130" t="s">
        <v>432</v>
      </c>
      <c r="U4" s="130">
        <v>8130073.9</v>
      </c>
    </row>
    <row r="5" spans="1:21">
      <c r="A5" s="130" t="s">
        <v>433</v>
      </c>
      <c r="B5" s="219">
        <f>Q5/10000</f>
        <v>36630.801685</v>
      </c>
      <c r="C5" s="219">
        <f>(M5-P5)/10000</f>
        <v>-560.661623</v>
      </c>
      <c r="D5" s="220">
        <f t="shared" si="0"/>
        <v>4066.843182</v>
      </c>
      <c r="E5" s="220">
        <f t="shared" si="1"/>
        <v>3506.181559</v>
      </c>
      <c r="F5" s="221">
        <f>(C5+D5)/B5</f>
        <v>0.0957167574204567</v>
      </c>
      <c r="G5" s="1" t="s">
        <v>206</v>
      </c>
      <c r="H5" s="222" t="s">
        <v>12</v>
      </c>
      <c r="I5" s="231">
        <f>E5/'毛利-收入组成'!$AP$14</f>
        <v>0.0947756204106683</v>
      </c>
      <c r="J5" s="231"/>
      <c r="K5" s="232" t="s">
        <v>433</v>
      </c>
      <c r="L5" s="233" t="s">
        <v>12</v>
      </c>
      <c r="M5" s="130">
        <v>35061815.59</v>
      </c>
      <c r="N5" s="130">
        <v>40668432.31</v>
      </c>
      <c r="O5" s="130">
        <v>-5606616.71999997</v>
      </c>
      <c r="P5" s="130">
        <v>40668431.82</v>
      </c>
      <c r="Q5" s="130">
        <v>366308016.85</v>
      </c>
      <c r="R5" s="148">
        <v>0.0957167574204567</v>
      </c>
      <c r="S5" s="1" t="s">
        <v>27</v>
      </c>
      <c r="T5" s="130" t="s">
        <v>434</v>
      </c>
      <c r="U5" s="130">
        <v>627.2</v>
      </c>
    </row>
    <row r="6" spans="1:21">
      <c r="A6" s="130" t="s">
        <v>435</v>
      </c>
      <c r="B6" s="219">
        <f>Q6/10000</f>
        <v>33824.7567947095</v>
      </c>
      <c r="C6" s="219">
        <f>(M6-P6)/10000</f>
        <v>-1042.1467392905</v>
      </c>
      <c r="D6" s="220">
        <f t="shared" si="0"/>
        <v>3459.69232</v>
      </c>
      <c r="E6" s="220">
        <f t="shared" si="1"/>
        <v>2417.5455807095</v>
      </c>
      <c r="F6" s="221">
        <f>(C6+D6)/B6</f>
        <v>0.0714726670581006</v>
      </c>
      <c r="G6" s="1" t="s">
        <v>206</v>
      </c>
      <c r="H6" s="222" t="s">
        <v>12</v>
      </c>
      <c r="I6" s="231">
        <f>E6/'毛利-收入组成'!$AP$14</f>
        <v>0.0653486929947122</v>
      </c>
      <c r="J6" s="231"/>
      <c r="K6" s="232" t="s">
        <v>435</v>
      </c>
      <c r="L6" s="233" t="s">
        <v>12</v>
      </c>
      <c r="M6" s="130">
        <v>24175455.807095</v>
      </c>
      <c r="N6" s="130">
        <v>34596923.2</v>
      </c>
      <c r="O6" s="130">
        <v>-10421467.392905</v>
      </c>
      <c r="P6" s="130">
        <v>34596923.2</v>
      </c>
      <c r="Q6" s="130">
        <v>338247567.947095</v>
      </c>
      <c r="R6" s="148">
        <v>0.0714726670581007</v>
      </c>
      <c r="S6" s="1" t="s">
        <v>27</v>
      </c>
      <c r="T6" s="130" t="s">
        <v>436</v>
      </c>
      <c r="U6" s="130">
        <v>24128.86</v>
      </c>
    </row>
    <row r="7" spans="1:21">
      <c r="A7" s="130" t="s">
        <v>437</v>
      </c>
      <c r="B7" s="219">
        <v>39782.3052243966</v>
      </c>
      <c r="C7" s="219">
        <v>1526</v>
      </c>
      <c r="D7" s="220">
        <f t="shared" si="0"/>
        <v>0</v>
      </c>
      <c r="E7" s="220">
        <f t="shared" si="1"/>
        <v>1526</v>
      </c>
      <c r="F7" s="221">
        <f>IFERROR((C7+D7)/B7,0)</f>
        <v>0.0383587625551718</v>
      </c>
      <c r="G7" s="1" t="s">
        <v>206</v>
      </c>
      <c r="H7" s="222" t="s">
        <v>12</v>
      </c>
      <c r="I7" s="231">
        <f>E7/'毛利-收入组成'!$AP$14</f>
        <v>0.0412493176160362</v>
      </c>
      <c r="J7" s="231"/>
      <c r="K7" s="232" t="s">
        <v>437</v>
      </c>
      <c r="L7" s="233" t="s">
        <v>166</v>
      </c>
      <c r="M7" s="130">
        <v>14396802.01</v>
      </c>
      <c r="N7" s="130">
        <v>14396802.01</v>
      </c>
      <c r="O7" s="130">
        <v>0</v>
      </c>
      <c r="Q7" s="130">
        <v>0</v>
      </c>
      <c r="R7" s="148">
        <v>0</v>
      </c>
      <c r="S7" s="1" t="s">
        <v>438</v>
      </c>
      <c r="T7" s="130" t="s">
        <v>439</v>
      </c>
      <c r="U7" s="130">
        <v>412939.71</v>
      </c>
    </row>
    <row r="8" spans="1:21">
      <c r="A8" s="130" t="s">
        <v>440</v>
      </c>
      <c r="B8" s="219">
        <f>Q8/10000</f>
        <v>31963.5040907436</v>
      </c>
      <c r="C8" s="219">
        <f>(M8-P8)/10000</f>
        <v>896.339728563601</v>
      </c>
      <c r="D8" s="220">
        <f t="shared" si="0"/>
        <v>0</v>
      </c>
      <c r="E8" s="220">
        <f t="shared" si="1"/>
        <v>896.339728563601</v>
      </c>
      <c r="F8" s="221">
        <f>(C8+D8)/B8</f>
        <v>0.028042599022276</v>
      </c>
      <c r="G8" s="1" t="s">
        <v>206</v>
      </c>
      <c r="H8" s="222" t="s">
        <v>12</v>
      </c>
      <c r="I8" s="231">
        <f>E8/'毛利-收入组成'!$AP$14</f>
        <v>0.0242289660258136</v>
      </c>
      <c r="J8" s="231"/>
      <c r="K8" s="232" t="s">
        <v>440</v>
      </c>
      <c r="L8" s="233" t="s">
        <v>12</v>
      </c>
      <c r="M8" s="130">
        <v>8963397.28563601</v>
      </c>
      <c r="N8" s="130">
        <v>0</v>
      </c>
      <c r="O8" s="130">
        <v>8963397.28563601</v>
      </c>
      <c r="Q8" s="130">
        <v>319635040.907436</v>
      </c>
      <c r="R8" s="148">
        <v>0.028042599022276</v>
      </c>
      <c r="T8" s="130" t="s">
        <v>441</v>
      </c>
      <c r="U8" s="130">
        <v>308113.5</v>
      </c>
    </row>
    <row r="9" spans="1:21">
      <c r="A9" s="130" t="s">
        <v>432</v>
      </c>
      <c r="B9" s="219">
        <f>Q9/10000</f>
        <v>1911.14387667701</v>
      </c>
      <c r="C9" s="219">
        <f>(M9-P9)/10000</f>
        <v>1.38111467700992</v>
      </c>
      <c r="D9" s="220">
        <f t="shared" si="0"/>
        <v>813.00739</v>
      </c>
      <c r="E9" s="220">
        <f t="shared" si="1"/>
        <v>814.38850467701</v>
      </c>
      <c r="F9" s="221">
        <f>(C9+D9)/B9</f>
        <v>0.426126214051986</v>
      </c>
      <c r="G9" s="1" t="s">
        <v>206</v>
      </c>
      <c r="H9" s="222" t="s">
        <v>14</v>
      </c>
      <c r="I9" s="231">
        <f>E9/'毛利-收入组成'!$AP$14</f>
        <v>0.0220137418691158</v>
      </c>
      <c r="J9" s="231"/>
      <c r="K9" s="232" t="s">
        <v>432</v>
      </c>
      <c r="L9" s="233" t="s">
        <v>14</v>
      </c>
      <c r="M9" s="130">
        <v>8143885.0467701</v>
      </c>
      <c r="N9" s="130">
        <v>8130073.9</v>
      </c>
      <c r="O9" s="130">
        <v>13811.1467700973</v>
      </c>
      <c r="P9" s="130">
        <v>8130073.9</v>
      </c>
      <c r="Q9" s="130">
        <v>19111438.7667701</v>
      </c>
      <c r="R9" s="148">
        <v>0.426126214051986</v>
      </c>
      <c r="S9" s="1" t="s">
        <v>431</v>
      </c>
      <c r="T9" s="130" t="s">
        <v>442</v>
      </c>
      <c r="U9" s="130">
        <v>759861.48</v>
      </c>
    </row>
    <row r="10" spans="1:21">
      <c r="A10" s="130" t="s">
        <v>443</v>
      </c>
      <c r="B10" s="219">
        <f>Q10/10000</f>
        <v>13204.8635048447</v>
      </c>
      <c r="C10" s="219">
        <f>(M10-P10)/10000</f>
        <v>606.9514934147</v>
      </c>
      <c r="D10" s="220">
        <f t="shared" si="0"/>
        <v>0</v>
      </c>
      <c r="E10" s="220">
        <f t="shared" si="1"/>
        <v>606.9514934147</v>
      </c>
      <c r="F10" s="221">
        <f>(C10+D10)/B10</f>
        <v>0.0459642383423363</v>
      </c>
      <c r="G10" s="1" t="s">
        <v>206</v>
      </c>
      <c r="H10" s="222" t="s">
        <v>14</v>
      </c>
      <c r="I10" s="231">
        <f>E10/'毛利-收入组成'!$AP$14</f>
        <v>0.0164065104386569</v>
      </c>
      <c r="J10" s="231"/>
      <c r="K10" s="232" t="s">
        <v>443</v>
      </c>
      <c r="L10" s="233" t="s">
        <v>14</v>
      </c>
      <c r="M10" s="130">
        <v>6069514.934147</v>
      </c>
      <c r="N10" s="130">
        <v>6579801.0077</v>
      </c>
      <c r="O10" s="130">
        <v>-510286.073552996</v>
      </c>
      <c r="Q10" s="130">
        <v>132048635.048447</v>
      </c>
      <c r="R10" s="148">
        <v>0.0459642383423363</v>
      </c>
      <c r="T10" s="130" t="s">
        <v>444</v>
      </c>
      <c r="U10" s="130">
        <v>26843.72</v>
      </c>
    </row>
    <row r="11" spans="1:21">
      <c r="A11" s="130" t="s">
        <v>445</v>
      </c>
      <c r="B11" s="219">
        <f>Q11/10000</f>
        <v>4654.54072338181</v>
      </c>
      <c r="C11" s="219">
        <f>(M11-P11)/10000</f>
        <v>750.11620307182</v>
      </c>
      <c r="D11" s="220">
        <f t="shared" si="0"/>
        <v>75.986148</v>
      </c>
      <c r="E11" s="220">
        <f t="shared" si="1"/>
        <v>826.10235107182</v>
      </c>
      <c r="F11" s="221">
        <f>(C11+D11)/B11</f>
        <v>0.177483107392732</v>
      </c>
      <c r="G11" s="1" t="s">
        <v>206</v>
      </c>
      <c r="H11" s="222" t="s">
        <v>14</v>
      </c>
      <c r="I11" s="231">
        <f>E11/'毛利-收入组成'!$AP$14</f>
        <v>0.0223303789401807</v>
      </c>
      <c r="J11" s="231"/>
      <c r="K11" s="232" t="s">
        <v>445</v>
      </c>
      <c r="L11" s="233" t="s">
        <v>14</v>
      </c>
      <c r="M11" s="130">
        <v>8261023.5107182</v>
      </c>
      <c r="N11" s="130">
        <v>799124.887</v>
      </c>
      <c r="O11" s="130">
        <v>7461898.6237182</v>
      </c>
      <c r="P11" s="130">
        <v>759861.48</v>
      </c>
      <c r="Q11" s="130">
        <v>46545407.2338181</v>
      </c>
      <c r="R11" s="148">
        <v>0.177483107392732</v>
      </c>
      <c r="S11" s="1" t="s">
        <v>431</v>
      </c>
      <c r="T11" s="130" t="s">
        <v>446</v>
      </c>
      <c r="U11" s="130">
        <v>1125</v>
      </c>
    </row>
    <row r="12" spans="1:21">
      <c r="A12" s="130" t="s">
        <v>447</v>
      </c>
      <c r="B12" s="219">
        <f>Q12/10000</f>
        <v>64468.0012644999</v>
      </c>
      <c r="C12" s="219">
        <f>(M12-P12)/10000</f>
        <v>499.026794099903</v>
      </c>
      <c r="D12" s="220">
        <f t="shared" si="0"/>
        <v>0</v>
      </c>
      <c r="E12" s="220">
        <f t="shared" si="1"/>
        <v>499.026794099903</v>
      </c>
      <c r="F12" s="221">
        <f>(C12+D12)/B12</f>
        <v>0.0077406897113576</v>
      </c>
      <c r="G12" s="1" t="s">
        <v>206</v>
      </c>
      <c r="H12" s="217" t="s">
        <v>14</v>
      </c>
      <c r="I12" s="231">
        <f>E12/'毛利-收入组成'!$AP$14</f>
        <v>0.013489197069947</v>
      </c>
      <c r="J12" s="231"/>
      <c r="K12" s="218" t="s">
        <v>447</v>
      </c>
      <c r="L12" s="1" t="s">
        <v>14</v>
      </c>
      <c r="M12" s="130">
        <v>4990267.94099903</v>
      </c>
      <c r="N12" s="130">
        <v>4499283.398</v>
      </c>
      <c r="O12" s="130">
        <v>490984.542999029</v>
      </c>
      <c r="Q12" s="130">
        <v>644680012.644999</v>
      </c>
      <c r="R12" s="148">
        <v>0.0077406897113576</v>
      </c>
      <c r="T12" s="130" t="s">
        <v>448</v>
      </c>
      <c r="U12" s="130">
        <v>9000.93</v>
      </c>
    </row>
    <row r="13" spans="1:21">
      <c r="A13" s="1" t="s">
        <v>15</v>
      </c>
      <c r="B13" s="2">
        <f>SUM(B3:B12)</f>
        <v>288414.470792765</v>
      </c>
      <c r="C13" s="2">
        <f>SUM(C3:C12)</f>
        <v>13944.206600118</v>
      </c>
      <c r="D13" s="2">
        <f>SUM(D3:D12)</f>
        <v>9432.002058</v>
      </c>
      <c r="E13" s="2">
        <f>SUM(E3:E12)</f>
        <v>23376.208658118</v>
      </c>
      <c r="F13" s="148">
        <f>E13/'毛利-收入组成'!AP14</f>
        <v>0.631882474179191</v>
      </c>
      <c r="I13" s="234"/>
      <c r="J13" s="234"/>
      <c r="R13" s="148"/>
      <c r="T13" s="130" t="s">
        <v>449</v>
      </c>
      <c r="U13" s="130">
        <v>34596923.2</v>
      </c>
    </row>
    <row r="14" spans="1:21">
      <c r="A14" s="1" t="s">
        <v>450</v>
      </c>
      <c r="B14" s="1" t="s">
        <v>63</v>
      </c>
      <c r="C14" s="1" t="s">
        <v>425</v>
      </c>
      <c r="D14" s="1" t="s">
        <v>27</v>
      </c>
      <c r="E14" s="1" t="s">
        <v>426</v>
      </c>
      <c r="F14" s="1" t="s">
        <v>427</v>
      </c>
      <c r="G14" s="1" t="s">
        <v>11</v>
      </c>
      <c r="H14" s="217" t="s">
        <v>162</v>
      </c>
      <c r="I14" s="234"/>
      <c r="J14" s="234"/>
      <c r="K14" s="132" t="s">
        <v>451</v>
      </c>
      <c r="L14" s="133" t="s">
        <v>303</v>
      </c>
      <c r="M14" s="133" t="s">
        <v>452</v>
      </c>
      <c r="N14" s="133" t="s">
        <v>453</v>
      </c>
      <c r="O14" s="133" t="s">
        <v>454</v>
      </c>
      <c r="R14" s="148"/>
      <c r="T14" s="130" t="s">
        <v>455</v>
      </c>
      <c r="U14" s="130">
        <v>40668431.82</v>
      </c>
    </row>
    <row r="15" spans="1:21">
      <c r="A15" s="223" t="s">
        <v>429</v>
      </c>
      <c r="B15" s="133">
        <f t="shared" ref="B15:B23" si="2">L15/10000</f>
        <v>47498.618040654</v>
      </c>
      <c r="C15" s="133">
        <f t="shared" ref="C15:C24" si="3">M15/10000</f>
        <v>8439.2371935341</v>
      </c>
      <c r="D15" s="133">
        <f t="shared" ref="D15:D24" si="4">N15/10000</f>
        <v>0</v>
      </c>
      <c r="E15" s="220">
        <f t="shared" ref="E15:E24" si="5">C15+D15</f>
        <v>8439.2371935341</v>
      </c>
      <c r="F15" s="156">
        <f t="shared" ref="F15:F24" si="6">(C15+D15)/B15</f>
        <v>0.177673320649265</v>
      </c>
      <c r="G15" s="1" t="s">
        <v>169</v>
      </c>
      <c r="H15" s="217" t="s">
        <v>14</v>
      </c>
      <c r="I15" s="231">
        <f>E15/'毛利-收入组成'!AP26</f>
        <v>0.194438295586112</v>
      </c>
      <c r="J15" s="235">
        <f t="shared" ref="J15:J24" si="7">E15/12*10</f>
        <v>7032.69766127842</v>
      </c>
      <c r="K15" s="223" t="s">
        <v>429</v>
      </c>
      <c r="L15" s="133">
        <v>474986180.40654</v>
      </c>
      <c r="M15" s="133">
        <v>84392371.935341</v>
      </c>
      <c r="N15" s="133">
        <v>0</v>
      </c>
      <c r="O15" s="133">
        <v>84392371.935341</v>
      </c>
      <c r="T15" s="130" t="s">
        <v>319</v>
      </c>
      <c r="U15" s="130">
        <v>95102799.5</v>
      </c>
    </row>
    <row r="16" spans="1:21">
      <c r="A16" s="223" t="s">
        <v>430</v>
      </c>
      <c r="B16" s="133">
        <f t="shared" si="2"/>
        <v>26570.9561909804</v>
      </c>
      <c r="C16" s="133">
        <f t="shared" si="3"/>
        <v>6191.729670007</v>
      </c>
      <c r="D16" s="133">
        <f t="shared" si="4"/>
        <v>1358.457494</v>
      </c>
      <c r="E16" s="220">
        <f t="shared" si="5"/>
        <v>7550.187164007</v>
      </c>
      <c r="F16" s="156">
        <f t="shared" si="6"/>
        <v>0.284151880336543</v>
      </c>
      <c r="G16" s="1" t="s">
        <v>169</v>
      </c>
      <c r="H16" s="217" t="s">
        <v>14</v>
      </c>
      <c r="I16" s="236">
        <f>E16/'毛利-收入组成'!AP26</f>
        <v>0.173954765088299</v>
      </c>
      <c r="J16" s="235">
        <f t="shared" si="7"/>
        <v>6291.8226366725</v>
      </c>
      <c r="K16" s="223" t="s">
        <v>430</v>
      </c>
      <c r="L16" s="133">
        <v>265709561.909804</v>
      </c>
      <c r="M16" s="133">
        <v>61917296.70007</v>
      </c>
      <c r="N16" s="133">
        <v>13584574.94</v>
      </c>
      <c r="O16" s="133">
        <v>75501871.64007</v>
      </c>
      <c r="T16" s="130"/>
      <c r="U16" s="130"/>
    </row>
    <row r="17" spans="1:21">
      <c r="A17" s="223" t="s">
        <v>433</v>
      </c>
      <c r="B17" s="133">
        <f t="shared" si="2"/>
        <v>17061.092961</v>
      </c>
      <c r="C17" s="133">
        <f t="shared" si="3"/>
        <v>1420.01190566</v>
      </c>
      <c r="D17" s="133">
        <f t="shared" si="4"/>
        <v>1679.2228049</v>
      </c>
      <c r="E17" s="220">
        <f t="shared" si="5"/>
        <v>3099.23471056</v>
      </c>
      <c r="F17" s="156">
        <f t="shared" si="6"/>
        <v>0.181655109531643</v>
      </c>
      <c r="G17" s="1" t="s">
        <v>169</v>
      </c>
      <c r="H17" s="217" t="s">
        <v>12</v>
      </c>
      <c r="I17" s="234" t="s">
        <v>456</v>
      </c>
      <c r="J17" s="235">
        <f t="shared" si="7"/>
        <v>2582.69559213333</v>
      </c>
      <c r="K17" s="237" t="s">
        <v>433</v>
      </c>
      <c r="L17" s="238">
        <v>170610929.61</v>
      </c>
      <c r="M17" s="238">
        <v>14200119.0566</v>
      </c>
      <c r="N17" s="238">
        <v>16792228.049</v>
      </c>
      <c r="O17" s="238">
        <v>30992347.1056</v>
      </c>
      <c r="T17" s="130"/>
      <c r="U17" s="130"/>
    </row>
    <row r="18" spans="1:15">
      <c r="A18" s="223" t="s">
        <v>441</v>
      </c>
      <c r="B18" s="133">
        <f t="shared" si="2"/>
        <v>6560.14225844552</v>
      </c>
      <c r="C18" s="133">
        <f t="shared" si="3"/>
        <v>1822.67785244875</v>
      </c>
      <c r="D18" s="133">
        <f t="shared" si="4"/>
        <v>5.801781</v>
      </c>
      <c r="E18" s="220">
        <f t="shared" si="5"/>
        <v>1828.47963344875</v>
      </c>
      <c r="F18" s="156">
        <f t="shared" si="6"/>
        <v>0.278725607069689</v>
      </c>
      <c r="G18" s="1" t="s">
        <v>169</v>
      </c>
      <c r="H18" s="217" t="s">
        <v>14</v>
      </c>
      <c r="I18" s="234">
        <f>E18/'毛利-收入组成'!AP26</f>
        <v>0.0421277960659866</v>
      </c>
      <c r="J18" s="235">
        <f t="shared" si="7"/>
        <v>1523.73302787396</v>
      </c>
      <c r="K18" s="223" t="s">
        <v>441</v>
      </c>
      <c r="L18" s="133">
        <v>65601422.5844552</v>
      </c>
      <c r="M18" s="133">
        <v>18226778.5244875</v>
      </c>
      <c r="N18" s="133">
        <v>58017.81</v>
      </c>
      <c r="O18" s="133">
        <v>18284796.3344875</v>
      </c>
    </row>
    <row r="19" spans="1:15">
      <c r="A19" s="223" t="s">
        <v>435</v>
      </c>
      <c r="B19" s="133">
        <f t="shared" si="2"/>
        <v>958.551797</v>
      </c>
      <c r="C19" s="133">
        <f t="shared" si="3"/>
        <v>695.70036082</v>
      </c>
      <c r="D19" s="133">
        <f t="shared" si="4"/>
        <v>974.54367258</v>
      </c>
      <c r="E19" s="220">
        <f t="shared" si="5"/>
        <v>1670.2440334</v>
      </c>
      <c r="F19" s="156">
        <f t="shared" si="6"/>
        <v>1.74246612298615</v>
      </c>
      <c r="G19" s="1" t="s">
        <v>169</v>
      </c>
      <c r="H19" s="217" t="s">
        <v>12</v>
      </c>
      <c r="I19" s="234" t="s">
        <v>456</v>
      </c>
      <c r="J19" s="235">
        <f t="shared" si="7"/>
        <v>1391.87002783333</v>
      </c>
      <c r="K19" s="237" t="s">
        <v>435</v>
      </c>
      <c r="L19" s="238">
        <v>9585517.97</v>
      </c>
      <c r="M19" s="238">
        <v>6957003.6082</v>
      </c>
      <c r="N19" s="238">
        <v>9745436.7258</v>
      </c>
      <c r="O19" s="238">
        <v>16702440.334</v>
      </c>
    </row>
    <row r="20" spans="1:15">
      <c r="A20" s="223" t="s">
        <v>457</v>
      </c>
      <c r="B20" s="133">
        <f t="shared" si="2"/>
        <v>118513.243316751</v>
      </c>
      <c r="C20" s="133">
        <f t="shared" si="3"/>
        <v>1611.9327761993</v>
      </c>
      <c r="D20" s="133">
        <f t="shared" si="4"/>
        <v>0</v>
      </c>
      <c r="E20" s="220">
        <f t="shared" si="5"/>
        <v>1611.9327761993</v>
      </c>
      <c r="F20" s="156">
        <f t="shared" si="6"/>
        <v>0.0136012881859209</v>
      </c>
      <c r="G20" s="1" t="s">
        <v>169</v>
      </c>
      <c r="H20" s="217" t="s">
        <v>13</v>
      </c>
      <c r="I20" s="231">
        <f>E20/'毛利-收入组成'!$AP$26</f>
        <v>0.0371386008493417</v>
      </c>
      <c r="J20" s="235">
        <f t="shared" si="7"/>
        <v>1343.27731349942</v>
      </c>
      <c r="K20" s="223" t="s">
        <v>457</v>
      </c>
      <c r="L20" s="133">
        <v>1185132433.16751</v>
      </c>
      <c r="M20" s="133">
        <v>16119327.761993</v>
      </c>
      <c r="N20" s="133">
        <v>0</v>
      </c>
      <c r="O20" s="133">
        <v>16119327.761993</v>
      </c>
    </row>
    <row r="21" spans="1:15">
      <c r="A21" s="223" t="s">
        <v>458</v>
      </c>
      <c r="B21" s="133">
        <f t="shared" si="2"/>
        <v>372612.565767683</v>
      </c>
      <c r="C21" s="133">
        <f t="shared" si="3"/>
        <v>1598.80879518302</v>
      </c>
      <c r="D21" s="133">
        <f t="shared" si="4"/>
        <v>0</v>
      </c>
      <c r="E21" s="220">
        <f t="shared" si="5"/>
        <v>1598.80879518302</v>
      </c>
      <c r="F21" s="156">
        <f t="shared" si="6"/>
        <v>0.00429080750910544</v>
      </c>
      <c r="G21" s="1" t="s">
        <v>169</v>
      </c>
      <c r="H21" s="217" t="s">
        <v>13</v>
      </c>
      <c r="I21" s="231">
        <f>E21/'毛利-收入组成'!$AP$26</f>
        <v>0.0368362270160686</v>
      </c>
      <c r="J21" s="235">
        <f t="shared" si="7"/>
        <v>1332.34066265252</v>
      </c>
      <c r="K21" s="223" t="s">
        <v>458</v>
      </c>
      <c r="L21" s="133">
        <v>3726125657.67683</v>
      </c>
      <c r="M21" s="133">
        <v>15988087.9518302</v>
      </c>
      <c r="N21" s="133">
        <v>0</v>
      </c>
      <c r="O21" s="133">
        <v>15988087.9518302</v>
      </c>
    </row>
    <row r="22" spans="1:15">
      <c r="A22" s="223" t="s">
        <v>432</v>
      </c>
      <c r="B22" s="133">
        <f t="shared" si="2"/>
        <v>1382.74661197225</v>
      </c>
      <c r="C22" s="133">
        <f t="shared" si="3"/>
        <v>202.044832352251</v>
      </c>
      <c r="D22" s="133">
        <f t="shared" si="4"/>
        <v>1331.8207235</v>
      </c>
      <c r="E22" s="220">
        <f t="shared" si="5"/>
        <v>1533.86555585225</v>
      </c>
      <c r="F22" s="156">
        <f t="shared" si="6"/>
        <v>1.10928896340918</v>
      </c>
      <c r="G22" s="1" t="s">
        <v>169</v>
      </c>
      <c r="H22" s="217" t="s">
        <v>14</v>
      </c>
      <c r="I22" s="231">
        <f>E22/'毛利-收入组成'!$AP$26</f>
        <v>0.0353399480899364</v>
      </c>
      <c r="J22" s="235">
        <f t="shared" si="7"/>
        <v>1278.22129654354</v>
      </c>
      <c r="K22" s="223" t="s">
        <v>432</v>
      </c>
      <c r="L22" s="133">
        <v>13827466.1197225</v>
      </c>
      <c r="M22" s="133">
        <v>2020448.32352251</v>
      </c>
      <c r="N22" s="133">
        <v>13318207.235</v>
      </c>
      <c r="O22" s="133">
        <v>15338655.5585225</v>
      </c>
    </row>
    <row r="23" spans="1:15">
      <c r="A23" s="223" t="s">
        <v>442</v>
      </c>
      <c r="B23" s="133">
        <f t="shared" si="2"/>
        <v>5530.66115936144</v>
      </c>
      <c r="C23" s="133">
        <f t="shared" si="3"/>
        <v>1118.60976178144</v>
      </c>
      <c r="D23" s="133">
        <f t="shared" si="4"/>
        <v>89.695488</v>
      </c>
      <c r="E23" s="220">
        <f t="shared" si="5"/>
        <v>1208.30524978144</v>
      </c>
      <c r="F23" s="156">
        <f t="shared" si="6"/>
        <v>0.21847392471987</v>
      </c>
      <c r="G23" s="1" t="s">
        <v>169</v>
      </c>
      <c r="H23" s="217" t="s">
        <v>14</v>
      </c>
      <c r="I23" s="231">
        <f>E23/'毛利-收入组成'!$AP$26</f>
        <v>0.0278391053512822</v>
      </c>
      <c r="J23" s="235">
        <f t="shared" si="7"/>
        <v>1006.92104148453</v>
      </c>
      <c r="K23" s="223" t="s">
        <v>442</v>
      </c>
      <c r="L23" s="133">
        <v>55306611.5936144</v>
      </c>
      <c r="M23" s="133">
        <v>11186097.6178144</v>
      </c>
      <c r="N23" s="133">
        <v>896954.88</v>
      </c>
      <c r="O23" s="133">
        <v>12083052.4978144</v>
      </c>
    </row>
    <row r="24" spans="1:15">
      <c r="A24" s="223" t="s">
        <v>437</v>
      </c>
      <c r="B24" s="133">
        <v>35587.6586002465</v>
      </c>
      <c r="C24" s="133">
        <f t="shared" si="3"/>
        <v>1147.10407</v>
      </c>
      <c r="D24" s="133">
        <f t="shared" si="4"/>
        <v>0</v>
      </c>
      <c r="E24" s="220">
        <f t="shared" si="5"/>
        <v>1147.10407</v>
      </c>
      <c r="F24" s="156">
        <f t="shared" si="6"/>
        <v>0.0322331986738811</v>
      </c>
      <c r="G24" s="1" t="s">
        <v>169</v>
      </c>
      <c r="H24" s="217" t="s">
        <v>12</v>
      </c>
      <c r="I24" s="231">
        <f>E24/'毛利-收入组成'!$AP$26</f>
        <v>0.0264290427103506</v>
      </c>
      <c r="J24" s="235">
        <f t="shared" si="7"/>
        <v>955.920058333333</v>
      </c>
      <c r="K24" s="223" t="s">
        <v>437</v>
      </c>
      <c r="L24" s="133">
        <v>15689140</v>
      </c>
      <c r="M24" s="133">
        <v>11471040.7</v>
      </c>
      <c r="N24" s="133">
        <v>0</v>
      </c>
      <c r="O24" s="133">
        <v>11471040.7</v>
      </c>
    </row>
    <row r="25" spans="5:15">
      <c r="E25" s="2">
        <f>SUM(E15:E24)</f>
        <v>29687.3991819659</v>
      </c>
      <c r="F25" s="148">
        <f>E25/'毛利-收入组成'!AP26</f>
        <v>0.683991593665432</v>
      </c>
      <c r="K25" s="223"/>
      <c r="L25" s="133"/>
      <c r="M25" s="133"/>
      <c r="N25" s="133"/>
      <c r="O25" s="133"/>
    </row>
    <row r="26" spans="1:16">
      <c r="A26" s="1" t="s">
        <v>459</v>
      </c>
      <c r="B26" s="1" t="s">
        <v>63</v>
      </c>
      <c r="C26" s="1" t="s">
        <v>425</v>
      </c>
      <c r="D26" s="1" t="s">
        <v>27</v>
      </c>
      <c r="E26" s="1" t="s">
        <v>426</v>
      </c>
      <c r="F26" s="1" t="s">
        <v>427</v>
      </c>
      <c r="G26" s="1" t="s">
        <v>11</v>
      </c>
      <c r="H26" s="217" t="s">
        <v>162</v>
      </c>
      <c r="K26" s="132" t="s">
        <v>451</v>
      </c>
      <c r="L26" s="133" t="s">
        <v>303</v>
      </c>
      <c r="M26" s="133" t="s">
        <v>418</v>
      </c>
      <c r="N26" s="133" t="s">
        <v>453</v>
      </c>
      <c r="O26" s="133" t="s">
        <v>454</v>
      </c>
      <c r="P26" s="130" t="s">
        <v>162</v>
      </c>
    </row>
    <row r="27" spans="1:18">
      <c r="A27" s="198" t="s">
        <v>430</v>
      </c>
      <c r="B27" s="199">
        <v>444139524.33</v>
      </c>
      <c r="C27" s="224">
        <v>66714997.53</v>
      </c>
      <c r="D27" s="199">
        <v>5282272.98</v>
      </c>
      <c r="E27" s="199">
        <v>71997270.51</v>
      </c>
      <c r="F27" s="156">
        <f t="shared" ref="F27:F36" si="8">(C27+D27)/B27</f>
        <v>0.162105074117442</v>
      </c>
      <c r="G27" s="1" t="s">
        <v>168</v>
      </c>
      <c r="H27" s="225" t="s">
        <v>14</v>
      </c>
      <c r="I27" s="148">
        <f>E27/10000/'毛利-收入组成'!AP38</f>
        <v>0.165434433364933</v>
      </c>
      <c r="J27" s="2">
        <f>E27/10000-J16</f>
        <v>907.9044143275</v>
      </c>
      <c r="K27" s="227" t="s">
        <v>430</v>
      </c>
      <c r="L27" s="199">
        <v>444139524.33</v>
      </c>
      <c r="M27" s="199">
        <v>66714997.53</v>
      </c>
      <c r="N27" s="199">
        <v>5282272.98</v>
      </c>
      <c r="O27" s="199">
        <v>71997270.51</v>
      </c>
      <c r="P27" s="199" t="s">
        <v>14</v>
      </c>
      <c r="Q27" s="245">
        <v>1</v>
      </c>
      <c r="R27" s="226">
        <f t="shared" ref="R27:R39" si="9">O27/L27</f>
        <v>0.162105074117442</v>
      </c>
    </row>
    <row r="28" spans="1:18">
      <c r="A28" s="198" t="s">
        <v>429</v>
      </c>
      <c r="B28" s="199">
        <v>453475898.879</v>
      </c>
      <c r="C28" s="224">
        <v>68959566.649</v>
      </c>
      <c r="D28" s="199">
        <v>0</v>
      </c>
      <c r="E28" s="199">
        <v>68959566.649</v>
      </c>
      <c r="F28" s="156">
        <f t="shared" si="8"/>
        <v>0.152068868090827</v>
      </c>
      <c r="G28" s="1" t="s">
        <v>168</v>
      </c>
      <c r="H28" s="225" t="s">
        <v>14</v>
      </c>
      <c r="I28" s="148">
        <f>E28/10000/'毛利-收入组成'!AP38</f>
        <v>0.158454435187013</v>
      </c>
      <c r="J28" s="2">
        <f>E28/10000-J15</f>
        <v>-136.740996378416</v>
      </c>
      <c r="K28" s="198" t="s">
        <v>429</v>
      </c>
      <c r="L28" s="224">
        <v>453475898.879</v>
      </c>
      <c r="M28" s="199">
        <v>68959566.649</v>
      </c>
      <c r="N28" s="199">
        <v>0</v>
      </c>
      <c r="O28" s="199">
        <v>68959566.649</v>
      </c>
      <c r="P28" s="199" t="s">
        <v>14</v>
      </c>
      <c r="Q28" s="245">
        <v>2</v>
      </c>
      <c r="R28" s="226">
        <f t="shared" si="9"/>
        <v>0.152068868090827</v>
      </c>
    </row>
    <row r="29" spans="1:18">
      <c r="A29" s="198" t="s">
        <v>432</v>
      </c>
      <c r="B29" s="199">
        <v>345300.17</v>
      </c>
      <c r="C29" s="224">
        <v>29512.57</v>
      </c>
      <c r="D29" s="199">
        <v>20095548.85</v>
      </c>
      <c r="E29" s="199">
        <v>20125061.42</v>
      </c>
      <c r="F29" s="156">
        <f t="shared" si="8"/>
        <v>58.2828019459127</v>
      </c>
      <c r="G29" s="1" t="s">
        <v>168</v>
      </c>
      <c r="H29" s="225" t="s">
        <v>14</v>
      </c>
      <c r="I29" s="148">
        <f>E29/10000/E38</f>
        <v>0.0462431160079846</v>
      </c>
      <c r="J29" s="2">
        <f>E29/10000-J23</f>
        <v>1005.58510051547</v>
      </c>
      <c r="K29" s="198" t="s">
        <v>432</v>
      </c>
      <c r="L29" s="224">
        <v>345300.17</v>
      </c>
      <c r="M29" s="199">
        <v>29512.57</v>
      </c>
      <c r="N29" s="199">
        <v>20095548.85</v>
      </c>
      <c r="O29" s="199">
        <v>20125061.42</v>
      </c>
      <c r="P29" s="199" t="s">
        <v>14</v>
      </c>
      <c r="Q29" s="245">
        <v>3</v>
      </c>
      <c r="R29" s="226">
        <f t="shared" si="9"/>
        <v>58.2828019459127</v>
      </c>
    </row>
    <row r="30" spans="1:18">
      <c r="A30" s="198" t="s">
        <v>442</v>
      </c>
      <c r="B30" s="199">
        <v>75459404.54</v>
      </c>
      <c r="C30" s="224">
        <v>14552145.6</v>
      </c>
      <c r="D30" s="199">
        <v>805954.98</v>
      </c>
      <c r="E30" s="199">
        <v>15358100.58</v>
      </c>
      <c r="F30" s="156">
        <f t="shared" si="8"/>
        <v>0.203527985326983</v>
      </c>
      <c r="G30" s="1" t="s">
        <v>168</v>
      </c>
      <c r="H30" s="225" t="s">
        <v>14</v>
      </c>
      <c r="J30" s="2">
        <f>E30/10000-E23</f>
        <v>327.50480821856</v>
      </c>
      <c r="K30" s="227" t="s">
        <v>442</v>
      </c>
      <c r="L30" s="199">
        <v>75459404.54</v>
      </c>
      <c r="M30" s="199">
        <v>14552145.6</v>
      </c>
      <c r="N30" s="199">
        <v>805954.98</v>
      </c>
      <c r="O30" s="199">
        <v>15358100.58</v>
      </c>
      <c r="P30" s="199" t="s">
        <v>14</v>
      </c>
      <c r="Q30" s="245">
        <v>4</v>
      </c>
      <c r="R30" s="226">
        <f t="shared" si="9"/>
        <v>0.203527985326983</v>
      </c>
    </row>
    <row r="31" spans="1:18">
      <c r="A31" s="198" t="s">
        <v>460</v>
      </c>
      <c r="B31" s="199">
        <v>714826824.24</v>
      </c>
      <c r="C31" s="224">
        <v>13957983.34</v>
      </c>
      <c r="D31" s="199">
        <v>0</v>
      </c>
      <c r="E31" s="199">
        <v>13957983.34</v>
      </c>
      <c r="F31" s="156">
        <f t="shared" si="8"/>
        <v>0.019526384386652</v>
      </c>
      <c r="G31" s="1" t="s">
        <v>168</v>
      </c>
      <c r="H31" s="225" t="s">
        <v>14</v>
      </c>
      <c r="I31" s="148">
        <f>E31/10000/E38</f>
        <v>0.0320724806428509</v>
      </c>
      <c r="J31" s="2">
        <f>E31/10000-J17</f>
        <v>-1186.89725813333</v>
      </c>
      <c r="K31" s="198" t="s">
        <v>460</v>
      </c>
      <c r="L31" s="224">
        <v>714826824.24</v>
      </c>
      <c r="M31" s="199">
        <v>13957983.34</v>
      </c>
      <c r="N31" s="199">
        <v>0</v>
      </c>
      <c r="O31" s="199">
        <v>13957983.34</v>
      </c>
      <c r="P31" s="199" t="s">
        <v>14</v>
      </c>
      <c r="Q31" s="245">
        <v>5</v>
      </c>
      <c r="R31" s="226">
        <f t="shared" si="9"/>
        <v>0.019526384386652</v>
      </c>
    </row>
    <row r="32" spans="1:18">
      <c r="A32" s="198" t="s">
        <v>441</v>
      </c>
      <c r="B32" s="199">
        <v>100114480.102</v>
      </c>
      <c r="C32" s="224">
        <v>12278505.402</v>
      </c>
      <c r="D32" s="199">
        <v>1251321.44</v>
      </c>
      <c r="E32" s="199">
        <v>13529826.842</v>
      </c>
      <c r="F32" s="156">
        <f t="shared" si="8"/>
        <v>0.135143555939314</v>
      </c>
      <c r="G32" s="1" t="s">
        <v>168</v>
      </c>
      <c r="H32" s="225" t="s">
        <v>14</v>
      </c>
      <c r="J32" s="2"/>
      <c r="K32" s="198" t="s">
        <v>441</v>
      </c>
      <c r="L32" s="224">
        <v>100114480.102</v>
      </c>
      <c r="M32" s="199">
        <v>12278505.402</v>
      </c>
      <c r="N32" s="199">
        <v>1251321.44</v>
      </c>
      <c r="O32" s="199">
        <v>13529826.842</v>
      </c>
      <c r="P32" s="199" t="s">
        <v>14</v>
      </c>
      <c r="Q32" s="245">
        <v>6</v>
      </c>
      <c r="R32" s="226">
        <f t="shared" si="9"/>
        <v>0.135143555939314</v>
      </c>
    </row>
    <row r="33" spans="1:18">
      <c r="A33" s="198" t="s">
        <v>446</v>
      </c>
      <c r="B33" s="199">
        <v>121285797.97</v>
      </c>
      <c r="C33" s="224">
        <v>12826700.8</v>
      </c>
      <c r="D33" s="199">
        <v>0</v>
      </c>
      <c r="E33" s="199">
        <v>12826700.8</v>
      </c>
      <c r="F33" s="156">
        <f t="shared" si="8"/>
        <v>0.1057559995868</v>
      </c>
      <c r="G33" s="1" t="s">
        <v>168</v>
      </c>
      <c r="H33" s="225" t="s">
        <v>14</v>
      </c>
      <c r="J33" s="2">
        <f>E33/10000-J22</f>
        <v>4.4487834564577</v>
      </c>
      <c r="K33" s="198" t="s">
        <v>446</v>
      </c>
      <c r="L33" s="224">
        <v>121285797.97</v>
      </c>
      <c r="M33" s="199">
        <v>12826700.8</v>
      </c>
      <c r="N33" s="199">
        <v>0</v>
      </c>
      <c r="O33" s="199">
        <v>12826700.8</v>
      </c>
      <c r="P33" s="199" t="s">
        <v>14</v>
      </c>
      <c r="Q33" s="245">
        <v>7</v>
      </c>
      <c r="R33" s="226">
        <f t="shared" si="9"/>
        <v>0.1057559995868</v>
      </c>
    </row>
    <row r="34" spans="1:18">
      <c r="A34" s="198" t="s">
        <v>461</v>
      </c>
      <c r="B34" s="199">
        <v>236932694.52</v>
      </c>
      <c r="C34" s="224">
        <v>9108132.24</v>
      </c>
      <c r="D34" s="199">
        <v>2120185.05</v>
      </c>
      <c r="E34" s="199">
        <v>11228317.29</v>
      </c>
      <c r="F34" s="156">
        <f t="shared" si="8"/>
        <v>0.0473903245508069</v>
      </c>
      <c r="G34" s="1" t="s">
        <v>168</v>
      </c>
      <c r="H34" s="225" t="s">
        <v>14</v>
      </c>
      <c r="J34" s="2"/>
      <c r="K34" s="198" t="s">
        <v>461</v>
      </c>
      <c r="L34" s="224">
        <v>236932694.52</v>
      </c>
      <c r="M34" s="199">
        <v>9108132.24</v>
      </c>
      <c r="N34" s="199">
        <v>2120185.05</v>
      </c>
      <c r="O34" s="199">
        <v>11228317.29</v>
      </c>
      <c r="P34" s="199" t="s">
        <v>14</v>
      </c>
      <c r="Q34" s="245">
        <v>8</v>
      </c>
      <c r="R34" s="226">
        <f t="shared" si="9"/>
        <v>0.0473903245508069</v>
      </c>
    </row>
    <row r="35" spans="1:19">
      <c r="A35" s="198" t="s">
        <v>462</v>
      </c>
      <c r="B35" s="199">
        <v>274655894.66</v>
      </c>
      <c r="C35" s="224">
        <v>10889207.4</v>
      </c>
      <c r="D35" s="199">
        <v>0</v>
      </c>
      <c r="E35" s="199">
        <v>10889207.4</v>
      </c>
      <c r="F35" s="156">
        <f t="shared" si="8"/>
        <v>0.0396467274568415</v>
      </c>
      <c r="G35" s="1" t="s">
        <v>168</v>
      </c>
      <c r="H35" s="225" t="s">
        <v>166</v>
      </c>
      <c r="J35" s="2"/>
      <c r="K35" s="239" t="s">
        <v>462</v>
      </c>
      <c r="L35" s="240">
        <v>274655894.66</v>
      </c>
      <c r="M35" s="241">
        <v>10889207.4</v>
      </c>
      <c r="N35" s="241">
        <v>0</v>
      </c>
      <c r="O35" s="241">
        <v>10889207.4</v>
      </c>
      <c r="P35" s="199" t="s">
        <v>166</v>
      </c>
      <c r="Q35" s="245">
        <v>9</v>
      </c>
      <c r="R35" s="226">
        <f t="shared" si="9"/>
        <v>0.0396467274568415</v>
      </c>
      <c r="S35" s="246">
        <f>O35+O36+O37+O38</f>
        <v>35122111.09</v>
      </c>
    </row>
    <row r="36" spans="1:19">
      <c r="A36" s="198" t="s">
        <v>433</v>
      </c>
      <c r="B36" s="199">
        <v>5099247.56</v>
      </c>
      <c r="C36" s="224">
        <v>20184.56</v>
      </c>
      <c r="D36" s="199">
        <v>10617910.37</v>
      </c>
      <c r="E36" s="199">
        <v>10638094.93</v>
      </c>
      <c r="F36" s="156">
        <f t="shared" si="8"/>
        <v>2.0862087601803</v>
      </c>
      <c r="G36" s="1" t="s">
        <v>168</v>
      </c>
      <c r="H36" s="225" t="s">
        <v>166</v>
      </c>
      <c r="K36" s="239" t="s">
        <v>433</v>
      </c>
      <c r="L36" s="240">
        <v>5099247.56</v>
      </c>
      <c r="M36" s="241">
        <v>20184.56</v>
      </c>
      <c r="N36" s="241">
        <v>10617910.37</v>
      </c>
      <c r="O36" s="241">
        <v>10638094.93</v>
      </c>
      <c r="P36" s="199" t="s">
        <v>166</v>
      </c>
      <c r="Q36" s="245">
        <v>10</v>
      </c>
      <c r="R36" s="226">
        <f t="shared" si="9"/>
        <v>2.0862087601803</v>
      </c>
      <c r="S36" s="247">
        <f>S35/10000/'毛利-收入组成'!AP37</f>
        <v>0.0971801738244467</v>
      </c>
    </row>
    <row r="37" spans="1:18">
      <c r="A37" s="198"/>
      <c r="B37" s="199"/>
      <c r="C37" s="199"/>
      <c r="D37" s="199"/>
      <c r="E37" s="199">
        <f>SUM(E27:E36)</f>
        <v>249510129.761</v>
      </c>
      <c r="F37" s="156"/>
      <c r="H37" s="225"/>
      <c r="K37" s="239" t="s">
        <v>435</v>
      </c>
      <c r="L37" s="240">
        <v>0</v>
      </c>
      <c r="M37" s="241">
        <v>0</v>
      </c>
      <c r="N37" s="241">
        <v>7253180.56</v>
      </c>
      <c r="O37" s="241">
        <v>7253180.56</v>
      </c>
      <c r="P37" s="199" t="s">
        <v>166</v>
      </c>
      <c r="Q37" s="245">
        <v>16</v>
      </c>
      <c r="R37" s="226" t="e">
        <f t="shared" si="9"/>
        <v>#DIV/0!</v>
      </c>
    </row>
    <row r="38" spans="1:18">
      <c r="A38" s="198"/>
      <c r="B38" s="199"/>
      <c r="C38" s="199"/>
      <c r="D38" s="199"/>
      <c r="E38" s="199">
        <f>'毛利-收入组成'!AP38</f>
        <v>43520.1239824001</v>
      </c>
      <c r="F38" s="156"/>
      <c r="H38" s="225"/>
      <c r="K38" s="239" t="s">
        <v>437</v>
      </c>
      <c r="L38" s="241">
        <v>0</v>
      </c>
      <c r="M38" s="241">
        <v>6341628.2</v>
      </c>
      <c r="N38" s="241">
        <v>0</v>
      </c>
      <c r="O38" s="241">
        <v>6341628.2</v>
      </c>
      <c r="P38" s="199" t="s">
        <v>166</v>
      </c>
      <c r="Q38" s="245">
        <v>18</v>
      </c>
      <c r="R38" s="226" t="e">
        <f t="shared" si="9"/>
        <v>#DIV/0!</v>
      </c>
    </row>
    <row r="39" spans="1:18">
      <c r="A39" s="198"/>
      <c r="B39" s="199"/>
      <c r="C39" s="199"/>
      <c r="D39" s="199"/>
      <c r="E39" s="226">
        <f>E37/10000/E38</f>
        <v>0.573321275145962</v>
      </c>
      <c r="F39" s="156"/>
      <c r="H39" s="225"/>
      <c r="K39" s="198" t="s">
        <v>463</v>
      </c>
      <c r="L39" s="224">
        <v>19565504</v>
      </c>
      <c r="M39" s="199">
        <v>9997223.93</v>
      </c>
      <c r="N39" s="199">
        <v>-242109.47</v>
      </c>
      <c r="O39" s="199">
        <v>9755114.46</v>
      </c>
      <c r="P39" s="199" t="s">
        <v>166</v>
      </c>
      <c r="Q39" s="245">
        <v>11</v>
      </c>
      <c r="R39" s="226">
        <f t="shared" si="9"/>
        <v>0.498587435314725</v>
      </c>
    </row>
    <row r="40" spans="1:18">
      <c r="A40" s="198"/>
      <c r="B40" s="199"/>
      <c r="C40" s="199"/>
      <c r="D40" s="199"/>
      <c r="E40" s="199"/>
      <c r="F40" s="156"/>
      <c r="H40" s="225"/>
      <c r="K40" s="198"/>
      <c r="L40" s="224"/>
      <c r="M40" s="199"/>
      <c r="N40" s="199"/>
      <c r="O40" s="199"/>
      <c r="P40" s="199"/>
      <c r="Q40" s="245"/>
      <c r="R40" s="226"/>
    </row>
    <row r="41" spans="1:21">
      <c r="A41" s="1" t="s">
        <v>464</v>
      </c>
      <c r="B41" s="1" t="s">
        <v>63</v>
      </c>
      <c r="C41" s="1" t="s">
        <v>425</v>
      </c>
      <c r="D41" s="1" t="s">
        <v>27</v>
      </c>
      <c r="E41" s="1" t="s">
        <v>426</v>
      </c>
      <c r="F41" s="1" t="s">
        <v>427</v>
      </c>
      <c r="G41" s="1" t="s">
        <v>11</v>
      </c>
      <c r="H41" s="217" t="s">
        <v>162</v>
      </c>
      <c r="K41" s="227" t="s">
        <v>451</v>
      </c>
      <c r="L41" s="17" t="s">
        <v>303</v>
      </c>
      <c r="M41" s="17" t="s">
        <v>418</v>
      </c>
      <c r="N41" s="17" t="s">
        <v>453</v>
      </c>
      <c r="O41" s="17" t="s">
        <v>454</v>
      </c>
      <c r="P41" s="227" t="s">
        <v>162</v>
      </c>
      <c r="Q41" s="245" t="s">
        <v>465</v>
      </c>
      <c r="R41" s="227" t="s">
        <v>51</v>
      </c>
      <c r="U41" s="2"/>
    </row>
    <row r="42" spans="1:21">
      <c r="A42" s="227" t="s">
        <v>430</v>
      </c>
      <c r="B42" s="17">
        <v>700269135.86</v>
      </c>
      <c r="C42" s="17">
        <v>92884857.78</v>
      </c>
      <c r="D42" s="17">
        <v>1707435</v>
      </c>
      <c r="E42" s="17">
        <v>94592292.78</v>
      </c>
      <c r="F42" s="221">
        <f t="shared" ref="F42:F51" si="10">E42/B42</f>
        <v>0.135079911331279</v>
      </c>
      <c r="G42" s="1" t="s">
        <v>119</v>
      </c>
      <c r="H42" s="228" t="s">
        <v>14</v>
      </c>
      <c r="K42" s="125" t="s">
        <v>430</v>
      </c>
      <c r="L42" s="18">
        <v>700269135.86</v>
      </c>
      <c r="M42" s="18">
        <v>92884857.78</v>
      </c>
      <c r="N42" s="18">
        <v>1707435</v>
      </c>
      <c r="O42" s="18">
        <v>94592292.78</v>
      </c>
      <c r="P42" s="18" t="s">
        <v>14</v>
      </c>
      <c r="Q42" s="248">
        <v>1</v>
      </c>
      <c r="R42" s="226">
        <v>0.132641655934083</v>
      </c>
      <c r="S42" s="2"/>
      <c r="T42" s="125"/>
      <c r="U42" s="2"/>
    </row>
    <row r="43" spans="1:21">
      <c r="A43" s="227" t="s">
        <v>429</v>
      </c>
      <c r="B43" s="17">
        <v>446935319.87</v>
      </c>
      <c r="C43" s="17">
        <v>47303157.64</v>
      </c>
      <c r="D43" s="17">
        <v>884283.02</v>
      </c>
      <c r="E43" s="17">
        <v>48187440.66</v>
      </c>
      <c r="F43" s="221">
        <f t="shared" si="10"/>
        <v>0.107817481675013</v>
      </c>
      <c r="G43" s="1" t="s">
        <v>119</v>
      </c>
      <c r="H43" s="228" t="s">
        <v>14</v>
      </c>
      <c r="K43" s="125" t="s">
        <v>429</v>
      </c>
      <c r="L43" s="18">
        <v>446935319.87</v>
      </c>
      <c r="M43" s="18">
        <v>47303157.64</v>
      </c>
      <c r="N43" s="18">
        <v>884283.02</v>
      </c>
      <c r="O43" s="18">
        <v>48187440.66</v>
      </c>
      <c r="P43" s="18" t="s">
        <v>14</v>
      </c>
      <c r="Q43" s="248">
        <v>2</v>
      </c>
      <c r="R43" s="226">
        <v>0.105838933592805</v>
      </c>
      <c r="S43" s="2"/>
      <c r="T43" s="125"/>
      <c r="U43" s="2"/>
    </row>
    <row r="44" spans="1:21">
      <c r="A44" s="227" t="s">
        <v>466</v>
      </c>
      <c r="B44" s="17">
        <v>27979712.72</v>
      </c>
      <c r="C44" s="17">
        <v>1835060.19</v>
      </c>
      <c r="D44" s="17">
        <v>17789370.81</v>
      </c>
      <c r="E44" s="17">
        <v>19624431</v>
      </c>
      <c r="F44" s="221">
        <f t="shared" si="10"/>
        <v>0.701380718107673</v>
      </c>
      <c r="G44" s="1" t="s">
        <v>119</v>
      </c>
      <c r="H44" s="228" t="s">
        <v>14</v>
      </c>
      <c r="K44" s="125" t="s">
        <v>466</v>
      </c>
      <c r="L44" s="18">
        <v>27979712.72</v>
      </c>
      <c r="M44" s="18">
        <v>1835060.19</v>
      </c>
      <c r="N44" s="18">
        <v>17789370.81</v>
      </c>
      <c r="O44" s="18">
        <v>19624431</v>
      </c>
      <c r="P44" s="18" t="s">
        <v>14</v>
      </c>
      <c r="Q44" s="248">
        <v>3</v>
      </c>
      <c r="R44" s="226">
        <v>0.065585383537133</v>
      </c>
      <c r="S44" s="2"/>
      <c r="T44" s="125"/>
      <c r="U44" s="2"/>
    </row>
    <row r="45" spans="1:21">
      <c r="A45" s="227" t="s">
        <v>441</v>
      </c>
      <c r="B45" s="17">
        <v>115260259.86</v>
      </c>
      <c r="C45" s="17">
        <v>16980835.24</v>
      </c>
      <c r="D45" s="17">
        <v>727716.45</v>
      </c>
      <c r="E45" s="17">
        <v>17708551.69</v>
      </c>
      <c r="F45" s="221">
        <f t="shared" si="10"/>
        <v>0.153639699507094</v>
      </c>
      <c r="G45" s="1" t="s">
        <v>119</v>
      </c>
      <c r="H45" s="228" t="s">
        <v>14</v>
      </c>
      <c r="K45" s="125" t="s">
        <v>441</v>
      </c>
      <c r="L45" s="18">
        <v>115260259.86</v>
      </c>
      <c r="M45" s="18">
        <v>16980835.24</v>
      </c>
      <c r="N45" s="18">
        <v>727716.45</v>
      </c>
      <c r="O45" s="18">
        <v>17708551.69</v>
      </c>
      <c r="P45" s="18" t="s">
        <v>14</v>
      </c>
      <c r="Q45" s="248">
        <v>4</v>
      </c>
      <c r="R45" s="226">
        <v>0.147326019051368</v>
      </c>
      <c r="S45" s="2"/>
      <c r="T45" s="125"/>
      <c r="U45" s="2"/>
    </row>
    <row r="46" spans="1:21">
      <c r="A46" s="227" t="s">
        <v>467</v>
      </c>
      <c r="B46" s="17">
        <v>21299492.59</v>
      </c>
      <c r="C46" s="17">
        <v>10205895.57</v>
      </c>
      <c r="D46" s="17">
        <v>5829749.27</v>
      </c>
      <c r="E46" s="17">
        <v>16035644.84</v>
      </c>
      <c r="F46" s="221">
        <f t="shared" si="10"/>
        <v>0.752865110388998</v>
      </c>
      <c r="G46" s="1" t="s">
        <v>119</v>
      </c>
      <c r="H46" s="228" t="s">
        <v>166</v>
      </c>
      <c r="K46" s="125" t="s">
        <v>467</v>
      </c>
      <c r="L46" s="18">
        <v>21299492.59</v>
      </c>
      <c r="M46" s="18">
        <v>10205895.57</v>
      </c>
      <c r="N46" s="18">
        <v>5829749.27</v>
      </c>
      <c r="O46" s="18">
        <v>16035644.84</v>
      </c>
      <c r="P46" s="18" t="s">
        <v>166</v>
      </c>
      <c r="Q46" s="248">
        <v>5</v>
      </c>
      <c r="R46" s="226">
        <v>0.479161441375914</v>
      </c>
      <c r="S46" s="2"/>
      <c r="T46" s="125"/>
      <c r="U46" s="2"/>
    </row>
    <row r="47" spans="1:21">
      <c r="A47" s="227" t="s">
        <v>468</v>
      </c>
      <c r="B47" s="17">
        <v>131774516.01</v>
      </c>
      <c r="C47" s="17">
        <v>13391492.82</v>
      </c>
      <c r="D47" s="17">
        <v>0</v>
      </c>
      <c r="E47" s="17">
        <v>13391492.82</v>
      </c>
      <c r="F47" s="221">
        <f t="shared" si="10"/>
        <v>0.101624299033538</v>
      </c>
      <c r="G47" s="1" t="s">
        <v>119</v>
      </c>
      <c r="H47" s="228" t="s">
        <v>20</v>
      </c>
      <c r="K47" s="125" t="s">
        <v>468</v>
      </c>
      <c r="L47" s="18">
        <v>131774516.01</v>
      </c>
      <c r="M47" s="18">
        <v>13391492.82</v>
      </c>
      <c r="N47" s="18">
        <v>0</v>
      </c>
      <c r="O47" s="18">
        <v>13391492.82</v>
      </c>
      <c r="P47" s="18" t="s">
        <v>20</v>
      </c>
      <c r="Q47" s="248">
        <v>7</v>
      </c>
      <c r="R47" s="226">
        <v>0.101624299033538</v>
      </c>
      <c r="S47" s="2"/>
      <c r="T47" s="125"/>
      <c r="U47" s="2"/>
    </row>
    <row r="48" spans="1:21">
      <c r="A48" s="227" t="s">
        <v>462</v>
      </c>
      <c r="B48" s="17">
        <v>459050596.6546</v>
      </c>
      <c r="C48" s="17">
        <v>12819739.1646</v>
      </c>
      <c r="D48" s="17">
        <v>0</v>
      </c>
      <c r="E48" s="17">
        <v>12819739.1646</v>
      </c>
      <c r="F48" s="221">
        <f t="shared" si="10"/>
        <v>0.0279266365364205</v>
      </c>
      <c r="G48" s="1" t="s">
        <v>119</v>
      </c>
      <c r="H48" s="228" t="s">
        <v>166</v>
      </c>
      <c r="K48" s="125" t="s">
        <v>462</v>
      </c>
      <c r="L48" s="18">
        <v>459050596.6546</v>
      </c>
      <c r="M48" s="18">
        <v>12819739.1646</v>
      </c>
      <c r="N48" s="18">
        <v>0</v>
      </c>
      <c r="O48" s="18">
        <v>12819739.1646</v>
      </c>
      <c r="P48" s="18" t="s">
        <v>166</v>
      </c>
      <c r="Q48" s="248">
        <v>8</v>
      </c>
      <c r="R48" s="226">
        <v>0.0279266365364205</v>
      </c>
      <c r="S48" s="2"/>
      <c r="T48" s="125"/>
      <c r="U48" s="2"/>
    </row>
    <row r="49" spans="1:21">
      <c r="A49" s="227" t="s">
        <v>460</v>
      </c>
      <c r="B49" s="17">
        <v>643644018.51</v>
      </c>
      <c r="C49" s="17">
        <v>12627481.15</v>
      </c>
      <c r="D49" s="17">
        <v>0</v>
      </c>
      <c r="E49" s="17">
        <v>12627481.15</v>
      </c>
      <c r="F49" s="221">
        <f t="shared" si="10"/>
        <v>0.0196187345595659</v>
      </c>
      <c r="G49" s="1" t="s">
        <v>119</v>
      </c>
      <c r="H49" s="228" t="s">
        <v>14</v>
      </c>
      <c r="K49" s="125" t="s">
        <v>460</v>
      </c>
      <c r="L49" s="18">
        <v>643644018.51</v>
      </c>
      <c r="M49" s="18">
        <v>12627481.15</v>
      </c>
      <c r="N49" s="18">
        <v>0</v>
      </c>
      <c r="O49" s="18">
        <v>12627481.15</v>
      </c>
      <c r="P49" s="18" t="s">
        <v>14</v>
      </c>
      <c r="Q49" s="248">
        <v>9</v>
      </c>
      <c r="R49" s="226">
        <v>0.0196187345595659</v>
      </c>
      <c r="S49" s="2"/>
      <c r="T49" s="125"/>
      <c r="U49" s="2"/>
    </row>
    <row r="50" spans="1:21">
      <c r="A50" s="227" t="s">
        <v>469</v>
      </c>
      <c r="B50" s="17">
        <v>368697304.94</v>
      </c>
      <c r="C50" s="17">
        <v>8388055.3</v>
      </c>
      <c r="D50" s="17">
        <v>0</v>
      </c>
      <c r="E50" s="17">
        <v>8388055.3</v>
      </c>
      <c r="F50" s="221">
        <f t="shared" si="10"/>
        <v>0.0227505197016968</v>
      </c>
      <c r="G50" s="1" t="s">
        <v>119</v>
      </c>
      <c r="H50" s="228" t="s">
        <v>20</v>
      </c>
      <c r="K50" s="125" t="s">
        <v>469</v>
      </c>
      <c r="L50" s="18">
        <v>368697304.94</v>
      </c>
      <c r="M50" s="18">
        <v>8388055.3</v>
      </c>
      <c r="N50" s="18">
        <v>0</v>
      </c>
      <c r="O50" s="18">
        <v>8388055.3</v>
      </c>
      <c r="P50" s="18" t="s">
        <v>20</v>
      </c>
      <c r="Q50" s="248">
        <v>10</v>
      </c>
      <c r="R50" s="226">
        <v>0.0227505197016968</v>
      </c>
      <c r="S50" s="2"/>
      <c r="T50" s="125"/>
      <c r="U50" s="2"/>
    </row>
    <row r="51" spans="1:21">
      <c r="A51" s="227" t="s">
        <v>470</v>
      </c>
      <c r="B51" s="17">
        <v>742610464.5488</v>
      </c>
      <c r="C51" s="17">
        <v>7707490.6118</v>
      </c>
      <c r="D51" s="17">
        <v>0</v>
      </c>
      <c r="E51" s="17">
        <v>7707490.6118</v>
      </c>
      <c r="F51" s="221">
        <f t="shared" si="10"/>
        <v>0.0103789146258301</v>
      </c>
      <c r="G51" s="1" t="s">
        <v>119</v>
      </c>
      <c r="H51" s="228" t="s">
        <v>20</v>
      </c>
      <c r="K51" s="125" t="s">
        <v>470</v>
      </c>
      <c r="L51" s="18">
        <v>742610464.5488</v>
      </c>
      <c r="M51" s="18">
        <v>7707490.6118</v>
      </c>
      <c r="N51" s="18">
        <v>0</v>
      </c>
      <c r="O51" s="18">
        <v>7707490.6118</v>
      </c>
      <c r="P51" s="18" t="s">
        <v>20</v>
      </c>
      <c r="Q51" s="248">
        <v>11</v>
      </c>
      <c r="R51" s="226">
        <v>0.0103789146258301</v>
      </c>
      <c r="S51" s="2"/>
      <c r="T51" s="125"/>
      <c r="U51" s="2"/>
    </row>
    <row r="52" spans="5:21">
      <c r="E52" s="2">
        <f>SUM(E42:E51)</f>
        <v>251082620.0164</v>
      </c>
      <c r="S52" s="2"/>
      <c r="T52" s="125"/>
      <c r="U52" s="2"/>
    </row>
    <row r="53" spans="5:21">
      <c r="E53" s="229">
        <f>'毛利-收入组成'!AP50</f>
        <v>47538.617733</v>
      </c>
      <c r="K53" s="242" t="s">
        <v>462</v>
      </c>
      <c r="L53" s="243">
        <v>459050596.6546</v>
      </c>
      <c r="M53" s="243">
        <v>12819739.1646</v>
      </c>
      <c r="N53" s="243">
        <v>0</v>
      </c>
      <c r="O53" s="243">
        <v>12819739.1646</v>
      </c>
      <c r="P53" s="18" t="s">
        <v>166</v>
      </c>
      <c r="Q53" s="248"/>
      <c r="R53" s="226"/>
      <c r="T53" s="125"/>
      <c r="U53" s="2"/>
    </row>
    <row r="54" spans="5:21">
      <c r="E54" s="230">
        <f>E52/10000/E53</f>
        <v>0.528165588294136</v>
      </c>
      <c r="K54" s="242" t="s">
        <v>435</v>
      </c>
      <c r="L54" s="243">
        <v>491657</v>
      </c>
      <c r="M54" s="243">
        <v>-19162.6</v>
      </c>
      <c r="N54" s="243">
        <v>6348044.33</v>
      </c>
      <c r="O54" s="243">
        <v>6328881.73</v>
      </c>
      <c r="P54" s="18" t="s">
        <v>166</v>
      </c>
      <c r="Q54" s="130">
        <f>O54-前十大供应商!N15</f>
        <v>4225523.8980003</v>
      </c>
      <c r="T54" s="125"/>
      <c r="U54" s="2"/>
    </row>
    <row r="55" spans="11:21">
      <c r="K55" s="242" t="s">
        <v>433</v>
      </c>
      <c r="L55" s="243">
        <v>1494870</v>
      </c>
      <c r="M55" s="243">
        <v>-68250</v>
      </c>
      <c r="N55" s="243">
        <v>6057158.53</v>
      </c>
      <c r="O55" s="243">
        <v>5988908.53</v>
      </c>
      <c r="P55" s="18" t="s">
        <v>166</v>
      </c>
      <c r="T55" s="125"/>
      <c r="U55" s="2"/>
    </row>
    <row r="56" spans="11:21">
      <c r="K56" s="242" t="s">
        <v>437</v>
      </c>
      <c r="L56" s="243">
        <v>0</v>
      </c>
      <c r="M56" s="243">
        <v>668892.06</v>
      </c>
      <c r="N56" s="243">
        <v>0</v>
      </c>
      <c r="O56" s="243">
        <v>668892.06</v>
      </c>
      <c r="P56" s="18" t="s">
        <v>166</v>
      </c>
      <c r="T56" s="125"/>
      <c r="U56" s="2"/>
    </row>
    <row r="57" spans="11:21">
      <c r="K57" s="242" t="s">
        <v>471</v>
      </c>
      <c r="L57" s="243">
        <v>3295973.78</v>
      </c>
      <c r="M57" s="243">
        <v>-23089.22</v>
      </c>
      <c r="N57" s="243">
        <v>0</v>
      </c>
      <c r="O57" s="243">
        <v>-23089.22</v>
      </c>
      <c r="P57" s="18" t="s">
        <v>166</v>
      </c>
      <c r="T57" s="125"/>
      <c r="U57" s="2"/>
    </row>
    <row r="58" spans="11:21">
      <c r="K58" s="242" t="s">
        <v>472</v>
      </c>
      <c r="L58" s="243">
        <v>27230695.83</v>
      </c>
      <c r="M58" s="243">
        <v>-257292.44</v>
      </c>
      <c r="N58" s="243">
        <v>0</v>
      </c>
      <c r="O58" s="243">
        <v>-257292.44</v>
      </c>
      <c r="P58" s="18" t="s">
        <v>166</v>
      </c>
      <c r="T58" s="125"/>
      <c r="U58" s="2"/>
    </row>
    <row r="59" spans="11:21">
      <c r="K59" s="242" t="s">
        <v>473</v>
      </c>
      <c r="L59" s="243">
        <v>233956840.14</v>
      </c>
      <c r="M59" s="243">
        <v>-2224503.66</v>
      </c>
      <c r="N59" s="243">
        <v>0</v>
      </c>
      <c r="O59" s="243">
        <v>-2224503.66</v>
      </c>
      <c r="P59" s="18" t="s">
        <v>166</v>
      </c>
      <c r="T59" s="125"/>
      <c r="U59" s="2"/>
    </row>
    <row r="60" spans="12:21">
      <c r="L60" s="130">
        <f>SUM(L53:L59)</f>
        <v>725520633.4046</v>
      </c>
      <c r="M60" s="130">
        <f>SUM(M53:M59)</f>
        <v>10896333.3046</v>
      </c>
      <c r="N60" s="130">
        <f>SUM(N53:N59)</f>
        <v>12405202.86</v>
      </c>
      <c r="O60" s="130">
        <f>SUM(O53:O59)</f>
        <v>23301536.1646</v>
      </c>
      <c r="T60" s="125"/>
      <c r="U60" s="2"/>
    </row>
    <row r="61" spans="15:21">
      <c r="O61" s="244">
        <f>O60/10000</f>
        <v>2330.15361646</v>
      </c>
      <c r="T61" s="125"/>
      <c r="U61" s="2"/>
    </row>
    <row r="62" spans="15:21">
      <c r="O62" s="148" t="e">
        <f>O61/前十大供应商!E13</f>
        <v>#DIV/0!</v>
      </c>
      <c r="T62" s="125"/>
      <c r="U62" s="2"/>
    </row>
    <row r="63" spans="10:21">
      <c r="J63" s="218"/>
      <c r="O63" s="148"/>
      <c r="T63" s="125"/>
      <c r="U63" s="2"/>
    </row>
    <row r="64" spans="13:21">
      <c r="M64" s="130" t="s">
        <v>474</v>
      </c>
      <c r="T64" s="125"/>
      <c r="U64" s="2"/>
    </row>
    <row r="65" ht="24" spans="1:21">
      <c r="A65" s="1" t="s">
        <v>475</v>
      </c>
      <c r="B65" s="1" t="s">
        <v>63</v>
      </c>
      <c r="C65" s="1" t="s">
        <v>425</v>
      </c>
      <c r="D65" s="1" t="s">
        <v>27</v>
      </c>
      <c r="E65" s="1" t="s">
        <v>426</v>
      </c>
      <c r="F65" s="1" t="s">
        <v>427</v>
      </c>
      <c r="G65" s="1" t="s">
        <v>11</v>
      </c>
      <c r="H65" s="217" t="s">
        <v>162</v>
      </c>
      <c r="K65" s="135" t="s">
        <v>451</v>
      </c>
      <c r="L65" s="249" t="s">
        <v>303</v>
      </c>
      <c r="M65" s="249" t="s">
        <v>422</v>
      </c>
      <c r="N65" s="249" t="s">
        <v>453</v>
      </c>
      <c r="O65" s="249" t="s">
        <v>454</v>
      </c>
      <c r="P65" s="137" t="s">
        <v>162</v>
      </c>
      <c r="Q65" s="254" t="s">
        <v>465</v>
      </c>
      <c r="R65" s="255" t="s">
        <v>51</v>
      </c>
      <c r="T65" s="125"/>
      <c r="U65" s="2"/>
    </row>
    <row r="66" spans="1:21">
      <c r="A66" s="125" t="s">
        <v>430</v>
      </c>
      <c r="B66" s="18">
        <v>26140955.15</v>
      </c>
      <c r="C66" s="18">
        <v>5064329.73</v>
      </c>
      <c r="D66" s="18">
        <v>859856.01</v>
      </c>
      <c r="E66" s="18">
        <v>5924185.74</v>
      </c>
      <c r="F66" s="151">
        <f t="shared" ref="F66:F75" si="11">E66/B66</f>
        <v>0.22662468551766</v>
      </c>
      <c r="G66" s="1" t="s">
        <v>118</v>
      </c>
      <c r="H66" s="228" t="s">
        <v>14</v>
      </c>
      <c r="K66" s="125" t="s">
        <v>430</v>
      </c>
      <c r="L66" s="18">
        <v>26140955.15</v>
      </c>
      <c r="M66" s="18">
        <v>5064329.73</v>
      </c>
      <c r="N66" s="18">
        <v>859856.01</v>
      </c>
      <c r="O66" s="18">
        <v>5924185.74</v>
      </c>
      <c r="P66" s="250" t="s">
        <v>14</v>
      </c>
      <c r="Q66" s="248">
        <v>1</v>
      </c>
      <c r="R66" s="151">
        <f t="shared" ref="R66:R80" si="12">O66/L66</f>
        <v>0.22662468551766</v>
      </c>
      <c r="T66" s="125"/>
      <c r="U66" s="2"/>
    </row>
    <row r="67" spans="1:21">
      <c r="A67" s="125" t="s">
        <v>441</v>
      </c>
      <c r="B67" s="18">
        <v>9922307.71</v>
      </c>
      <c r="C67" s="18">
        <v>2623754.81</v>
      </c>
      <c r="D67" s="18">
        <v>0</v>
      </c>
      <c r="E67" s="18">
        <v>2623754.81</v>
      </c>
      <c r="F67" s="151">
        <f t="shared" si="11"/>
        <v>0.264429897427561</v>
      </c>
      <c r="G67" s="1" t="s">
        <v>96</v>
      </c>
      <c r="H67" s="228" t="s">
        <v>14</v>
      </c>
      <c r="K67" s="125" t="s">
        <v>441</v>
      </c>
      <c r="L67" s="18">
        <v>9922307.71</v>
      </c>
      <c r="M67" s="18">
        <v>2623754.81</v>
      </c>
      <c r="N67" s="18">
        <v>0</v>
      </c>
      <c r="O67" s="18">
        <v>2623754.81</v>
      </c>
      <c r="P67" s="250" t="s">
        <v>14</v>
      </c>
      <c r="Q67" s="248">
        <v>2</v>
      </c>
      <c r="R67" s="151">
        <f t="shared" si="12"/>
        <v>0.264429897427561</v>
      </c>
      <c r="T67" s="125"/>
      <c r="U67" s="2"/>
    </row>
    <row r="68" spans="1:21">
      <c r="A68" s="125" t="s">
        <v>460</v>
      </c>
      <c r="B68" s="18">
        <v>7088577.26</v>
      </c>
      <c r="C68" s="18">
        <v>1296110.41</v>
      </c>
      <c r="D68" s="18">
        <v>0</v>
      </c>
      <c r="E68" s="18">
        <v>1296110.41</v>
      </c>
      <c r="F68" s="151">
        <f t="shared" si="11"/>
        <v>0.182844929590286</v>
      </c>
      <c r="G68" s="1" t="s">
        <v>476</v>
      </c>
      <c r="H68" s="228" t="s">
        <v>14</v>
      </c>
      <c r="K68" s="125" t="s">
        <v>460</v>
      </c>
      <c r="L68" s="18">
        <v>7088577.26</v>
      </c>
      <c r="M68" s="18">
        <v>1296110.41</v>
      </c>
      <c r="N68" s="18">
        <v>0</v>
      </c>
      <c r="O68" s="18">
        <v>1296110.41</v>
      </c>
      <c r="P68" s="250" t="s">
        <v>14</v>
      </c>
      <c r="Q68" s="248">
        <v>3</v>
      </c>
      <c r="R68" s="151">
        <f t="shared" si="12"/>
        <v>0.182844929590286</v>
      </c>
      <c r="T68" s="125"/>
      <c r="U68" s="2"/>
    </row>
    <row r="69" spans="1:21">
      <c r="A69" s="125" t="s">
        <v>466</v>
      </c>
      <c r="B69" s="18">
        <v>2229376.07</v>
      </c>
      <c r="C69" s="18">
        <v>-205824.23</v>
      </c>
      <c r="D69" s="18">
        <v>1399356.57</v>
      </c>
      <c r="E69" s="18">
        <v>1193532.34</v>
      </c>
      <c r="F69" s="151">
        <f t="shared" si="11"/>
        <v>0.535366085633098</v>
      </c>
      <c r="G69" s="1" t="s">
        <v>477</v>
      </c>
      <c r="H69" s="228" t="s">
        <v>14</v>
      </c>
      <c r="K69" s="125" t="s">
        <v>466</v>
      </c>
      <c r="L69" s="18">
        <v>2229376.07</v>
      </c>
      <c r="M69" s="18">
        <v>-205824.23</v>
      </c>
      <c r="N69" s="18">
        <v>1399356.57</v>
      </c>
      <c r="O69" s="18">
        <v>1193532.34</v>
      </c>
      <c r="P69" s="250" t="s">
        <v>14</v>
      </c>
      <c r="Q69" s="248">
        <v>4</v>
      </c>
      <c r="R69" s="151">
        <f t="shared" si="12"/>
        <v>0.535366085633098</v>
      </c>
      <c r="T69" s="125"/>
      <c r="U69" s="2"/>
    </row>
    <row r="70" spans="1:21">
      <c r="A70" s="125" t="s">
        <v>469</v>
      </c>
      <c r="B70" s="18">
        <v>50423468</v>
      </c>
      <c r="C70" s="18">
        <v>1184658</v>
      </c>
      <c r="D70" s="18">
        <v>0</v>
      </c>
      <c r="E70" s="18">
        <v>1184658</v>
      </c>
      <c r="F70" s="151">
        <f t="shared" si="11"/>
        <v>0.0234941793372879</v>
      </c>
      <c r="G70" s="1" t="s">
        <v>478</v>
      </c>
      <c r="H70" s="228" t="s">
        <v>20</v>
      </c>
      <c r="K70" s="125" t="s">
        <v>469</v>
      </c>
      <c r="L70" s="18">
        <v>50423468</v>
      </c>
      <c r="M70" s="18">
        <v>1184658</v>
      </c>
      <c r="N70" s="18">
        <v>0</v>
      </c>
      <c r="O70" s="18">
        <v>1184658</v>
      </c>
      <c r="P70" s="250" t="s">
        <v>20</v>
      </c>
      <c r="Q70" s="248">
        <v>5</v>
      </c>
      <c r="R70" s="151">
        <f t="shared" si="12"/>
        <v>0.0234941793372879</v>
      </c>
      <c r="T70" s="125"/>
      <c r="U70" s="2"/>
    </row>
    <row r="71" spans="1:21">
      <c r="A71" s="125" t="s">
        <v>429</v>
      </c>
      <c r="B71" s="18">
        <v>30332134.31</v>
      </c>
      <c r="C71" s="18">
        <v>933704.39</v>
      </c>
      <c r="D71" s="18">
        <v>186430.36</v>
      </c>
      <c r="E71" s="18">
        <v>1120134.75</v>
      </c>
      <c r="F71" s="151">
        <f t="shared" si="11"/>
        <v>0.0369289789683778</v>
      </c>
      <c r="G71" s="1" t="s">
        <v>479</v>
      </c>
      <c r="H71" s="228" t="s">
        <v>14</v>
      </c>
      <c r="K71" s="125" t="s">
        <v>429</v>
      </c>
      <c r="L71" s="18">
        <v>30332134.31</v>
      </c>
      <c r="M71" s="18">
        <v>933704.39</v>
      </c>
      <c r="N71" s="18">
        <v>186430.36</v>
      </c>
      <c r="O71" s="18">
        <v>1120134.75</v>
      </c>
      <c r="P71" s="250" t="s">
        <v>14</v>
      </c>
      <c r="Q71" s="248">
        <v>6</v>
      </c>
      <c r="R71" s="151">
        <f t="shared" si="12"/>
        <v>0.0369289789683778</v>
      </c>
      <c r="T71" s="125"/>
      <c r="U71" s="2"/>
    </row>
    <row r="72" spans="1:18">
      <c r="A72" s="125" t="s">
        <v>429</v>
      </c>
      <c r="B72" s="18">
        <v>3431187.51</v>
      </c>
      <c r="C72" s="18">
        <v>878099.4</v>
      </c>
      <c r="D72" s="18">
        <v>0</v>
      </c>
      <c r="E72" s="18">
        <v>878099.4</v>
      </c>
      <c r="F72" s="151">
        <f t="shared" si="11"/>
        <v>0.255917054209608</v>
      </c>
      <c r="G72" s="1" t="s">
        <v>480</v>
      </c>
      <c r="H72" s="228" t="s">
        <v>165</v>
      </c>
      <c r="K72" s="125" t="s">
        <v>429</v>
      </c>
      <c r="L72" s="18">
        <v>3431187.51</v>
      </c>
      <c r="M72" s="18">
        <v>878099.4</v>
      </c>
      <c r="N72" s="18">
        <v>0</v>
      </c>
      <c r="O72" s="18">
        <v>878099.4</v>
      </c>
      <c r="P72" s="250" t="s">
        <v>165</v>
      </c>
      <c r="Q72" s="248">
        <v>7</v>
      </c>
      <c r="R72" s="151">
        <f t="shared" si="12"/>
        <v>0.255917054209608</v>
      </c>
    </row>
    <row r="73" spans="1:18">
      <c r="A73" s="125" t="s">
        <v>481</v>
      </c>
      <c r="B73" s="18">
        <v>100246894.67</v>
      </c>
      <c r="C73" s="18">
        <v>849756.170000002</v>
      </c>
      <c r="D73" s="18">
        <v>0</v>
      </c>
      <c r="E73" s="18">
        <v>849756.170000002</v>
      </c>
      <c r="F73" s="151">
        <f t="shared" si="11"/>
        <v>0.00847663334407805</v>
      </c>
      <c r="G73" s="1" t="s">
        <v>482</v>
      </c>
      <c r="H73" s="228" t="s">
        <v>165</v>
      </c>
      <c r="K73" s="125" t="s">
        <v>481</v>
      </c>
      <c r="L73" s="18">
        <v>100246894.67</v>
      </c>
      <c r="M73" s="18">
        <v>849756.170000002</v>
      </c>
      <c r="N73" s="18">
        <v>0</v>
      </c>
      <c r="O73" s="18">
        <v>849756.170000002</v>
      </c>
      <c r="P73" s="250" t="s">
        <v>165</v>
      </c>
      <c r="Q73" s="248">
        <v>8</v>
      </c>
      <c r="R73" s="151">
        <f t="shared" si="12"/>
        <v>0.00847663334407805</v>
      </c>
    </row>
    <row r="74" spans="1:18">
      <c r="A74" s="125" t="s">
        <v>442</v>
      </c>
      <c r="B74" s="18">
        <v>5369200.96</v>
      </c>
      <c r="C74" s="18">
        <v>781879.38</v>
      </c>
      <c r="D74" s="18">
        <v>0</v>
      </c>
      <c r="E74" s="18">
        <v>781879.38</v>
      </c>
      <c r="F74" s="151">
        <f t="shared" si="11"/>
        <v>0.145623042576525</v>
      </c>
      <c r="G74" s="1" t="s">
        <v>483</v>
      </c>
      <c r="H74" s="228" t="s">
        <v>14</v>
      </c>
      <c r="K74" s="125" t="s">
        <v>442</v>
      </c>
      <c r="L74" s="18">
        <v>5369200.96</v>
      </c>
      <c r="M74" s="18">
        <v>781879.38</v>
      </c>
      <c r="N74" s="18">
        <v>0</v>
      </c>
      <c r="O74" s="18">
        <v>781879.38</v>
      </c>
      <c r="P74" s="250" t="s">
        <v>14</v>
      </c>
      <c r="Q74" s="248">
        <v>9</v>
      </c>
      <c r="R74" s="151">
        <f t="shared" si="12"/>
        <v>0.145623042576525</v>
      </c>
    </row>
    <row r="75" spans="1:18">
      <c r="A75" s="125" t="s">
        <v>468</v>
      </c>
      <c r="B75" s="18">
        <v>2029953.9</v>
      </c>
      <c r="C75" s="18">
        <v>639695.23</v>
      </c>
      <c r="D75" s="18">
        <v>0</v>
      </c>
      <c r="E75" s="18">
        <v>639695.23</v>
      </c>
      <c r="F75" s="151">
        <f t="shared" si="11"/>
        <v>0.315127959309815</v>
      </c>
      <c r="G75" s="1" t="s">
        <v>484</v>
      </c>
      <c r="H75" s="228" t="s">
        <v>20</v>
      </c>
      <c r="K75" s="125" t="s">
        <v>468</v>
      </c>
      <c r="L75" s="18">
        <v>2029953.9</v>
      </c>
      <c r="M75" s="18">
        <v>639695.23</v>
      </c>
      <c r="N75" s="18">
        <v>0</v>
      </c>
      <c r="O75" s="18">
        <v>639695.23</v>
      </c>
      <c r="P75" s="250" t="s">
        <v>20</v>
      </c>
      <c r="Q75" s="248">
        <v>10</v>
      </c>
      <c r="R75" s="151">
        <f t="shared" si="12"/>
        <v>0.315127959309815</v>
      </c>
    </row>
    <row r="76" spans="11:18">
      <c r="K76" s="125" t="s">
        <v>485</v>
      </c>
      <c r="L76" s="18">
        <v>41422326.98</v>
      </c>
      <c r="M76" s="18">
        <v>639247.360000007</v>
      </c>
      <c r="N76" s="18">
        <v>0</v>
      </c>
      <c r="O76" s="18">
        <v>639247.360000007</v>
      </c>
      <c r="P76" s="250" t="s">
        <v>20</v>
      </c>
      <c r="Q76" s="248">
        <v>11</v>
      </c>
      <c r="R76" s="151">
        <f t="shared" si="12"/>
        <v>0.0154324347907508</v>
      </c>
    </row>
    <row r="77" spans="11:18">
      <c r="K77" s="125" t="s">
        <v>467</v>
      </c>
      <c r="L77" s="18">
        <v>2355596.26</v>
      </c>
      <c r="M77" s="18">
        <v>6463.32999999961</v>
      </c>
      <c r="N77" s="18">
        <v>541171.6</v>
      </c>
      <c r="O77" s="18">
        <v>547634.93</v>
      </c>
      <c r="P77" s="250" t="s">
        <v>166</v>
      </c>
      <c r="Q77" s="248">
        <v>12</v>
      </c>
      <c r="R77" s="151">
        <f t="shared" si="12"/>
        <v>0.232482509545163</v>
      </c>
    </row>
    <row r="78" spans="11:18">
      <c r="K78" s="125" t="s">
        <v>470</v>
      </c>
      <c r="L78" s="18">
        <v>49664137.91</v>
      </c>
      <c r="M78" s="18">
        <v>440413.249999993</v>
      </c>
      <c r="N78" s="18">
        <v>0</v>
      </c>
      <c r="O78" s="18">
        <v>440413.249999993</v>
      </c>
      <c r="P78" s="250" t="s">
        <v>20</v>
      </c>
      <c r="Q78" s="248">
        <v>13</v>
      </c>
      <c r="R78" s="151">
        <f t="shared" si="12"/>
        <v>0.0088678323742999</v>
      </c>
    </row>
    <row r="79" spans="11:18">
      <c r="K79" s="125" t="s">
        <v>486</v>
      </c>
      <c r="L79" s="18">
        <v>9949.98</v>
      </c>
      <c r="M79" s="18">
        <v>59.2899999999991</v>
      </c>
      <c r="N79" s="18">
        <v>420462.47</v>
      </c>
      <c r="O79" s="18">
        <v>420521.76</v>
      </c>
      <c r="P79" s="250" t="s">
        <v>14</v>
      </c>
      <c r="Q79" s="248">
        <v>14</v>
      </c>
      <c r="R79" s="151">
        <f t="shared" si="12"/>
        <v>42.2635784192531</v>
      </c>
    </row>
    <row r="80" spans="11:18">
      <c r="K80" s="125" t="s">
        <v>487</v>
      </c>
      <c r="L80" s="18">
        <v>21710801.51</v>
      </c>
      <c r="M80" s="18">
        <v>395182.510000002</v>
      </c>
      <c r="N80" s="18">
        <v>0</v>
      </c>
      <c r="O80" s="18">
        <v>395182.510000002</v>
      </c>
      <c r="P80" s="250" t="s">
        <v>165</v>
      </c>
      <c r="Q80" s="248">
        <v>15</v>
      </c>
      <c r="R80" s="151">
        <f t="shared" si="12"/>
        <v>0.0182021151921996</v>
      </c>
    </row>
    <row r="83" spans="11:16">
      <c r="K83" s="251" t="s">
        <v>435</v>
      </c>
      <c r="L83" s="252">
        <v>1079036</v>
      </c>
      <c r="M83" s="252">
        <v>-40899.3999999999</v>
      </c>
      <c r="N83" s="252">
        <v>220876.41</v>
      </c>
      <c r="O83" s="252">
        <v>179977.01</v>
      </c>
      <c r="P83" s="253" t="s">
        <v>166</v>
      </c>
    </row>
    <row r="84" spans="11:16">
      <c r="K84" s="251" t="s">
        <v>433</v>
      </c>
      <c r="L84" s="252">
        <v>2986176.6</v>
      </c>
      <c r="M84" s="252">
        <v>-116054.4</v>
      </c>
      <c r="N84" s="252">
        <v>219023.03</v>
      </c>
      <c r="O84" s="252">
        <v>102968.63</v>
      </c>
      <c r="P84" s="253" t="s">
        <v>166</v>
      </c>
    </row>
    <row r="85" spans="11:16">
      <c r="K85" s="251" t="s">
        <v>462</v>
      </c>
      <c r="L85" s="252">
        <v>45049448.02</v>
      </c>
      <c r="M85" s="252">
        <v>59503.7299999958</v>
      </c>
      <c r="N85" s="252">
        <v>0</v>
      </c>
      <c r="O85" s="252">
        <v>59503.7299999958</v>
      </c>
      <c r="P85" s="253" t="s">
        <v>166</v>
      </c>
    </row>
    <row r="86" spans="11:16">
      <c r="K86" s="251" t="s">
        <v>473</v>
      </c>
      <c r="L86" s="252">
        <v>16893156.82</v>
      </c>
      <c r="M86" s="252">
        <v>-200386.449999999</v>
      </c>
      <c r="N86" s="252">
        <v>0</v>
      </c>
      <c r="O86" s="252">
        <v>-200386.449999999</v>
      </c>
      <c r="P86" s="253" t="s">
        <v>166</v>
      </c>
    </row>
    <row r="87" spans="12:15">
      <c r="L87" s="2">
        <f>SUM(L83:L86)</f>
        <v>66007817.44</v>
      </c>
      <c r="M87" s="2">
        <f>SUM(M83:M86)</f>
        <v>-297836.520000003</v>
      </c>
      <c r="N87" s="2">
        <f>SUM(N83:N86)</f>
        <v>439899.44</v>
      </c>
      <c r="O87" s="2">
        <f>SUM(O83:O86)</f>
        <v>142062.919999997</v>
      </c>
    </row>
    <row r="88" spans="15:15">
      <c r="O88" s="130">
        <f>O87/10000</f>
        <v>14.2062919999997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opLeftCell="B1" workbookViewId="0">
      <pane ySplit="1" topLeftCell="A2" activePane="bottomLeft" state="frozen"/>
      <selection/>
      <selection pane="bottomLeft" activeCell="I23" sqref="I23"/>
    </sheetView>
  </sheetViews>
  <sheetFormatPr defaultColWidth="9" defaultRowHeight="13.5"/>
  <cols>
    <col min="1" max="1" width="29.725" customWidth="1"/>
    <col min="2" max="2" width="9.63333333333333" customWidth="1"/>
    <col min="3" max="3" width="9.5" hidden="1" customWidth="1"/>
    <col min="4" max="4" width="8.90833333333333" customWidth="1"/>
    <col min="5" max="5" width="11.125" customWidth="1"/>
    <col min="6" max="6" width="10.375" customWidth="1"/>
    <col min="7" max="7" width="10.875" hidden="1" customWidth="1"/>
    <col min="8" max="9" width="8.90833333333333" customWidth="1"/>
    <col min="10" max="10" width="12.5" style="172" customWidth="1"/>
    <col min="11" max="11" width="10.5" style="172" customWidth="1"/>
    <col min="12" max="12" width="26.125" customWidth="1"/>
    <col min="13" max="13" width="17" customWidth="1"/>
    <col min="14" max="14" width="15.9083333333333" style="14" customWidth="1"/>
    <col min="15" max="15" width="16.3666666666667" customWidth="1"/>
    <col min="16" max="16" width="17.3666666666667"/>
    <col min="17" max="17" width="18.3666666666667" customWidth="1"/>
    <col min="18" max="18" width="18.5416666666667"/>
    <col min="19" max="19" width="17" customWidth="1"/>
    <col min="20" max="23" width="12.8166666666667"/>
  </cols>
  <sheetData>
    <row r="1" ht="33.75" spans="1:18">
      <c r="A1" s="173" t="s">
        <v>488</v>
      </c>
      <c r="B1" s="174" t="s">
        <v>489</v>
      </c>
      <c r="C1" s="174" t="s">
        <v>490</v>
      </c>
      <c r="D1" s="174" t="s">
        <v>65</v>
      </c>
      <c r="E1" s="175" t="s">
        <v>491</v>
      </c>
      <c r="F1" s="176" t="s">
        <v>492</v>
      </c>
      <c r="G1" s="176" t="s">
        <v>493</v>
      </c>
      <c r="H1" s="176" t="s">
        <v>65</v>
      </c>
      <c r="I1" s="176" t="s">
        <v>494</v>
      </c>
      <c r="J1" s="184" t="s">
        <v>495</v>
      </c>
      <c r="K1" s="185"/>
      <c r="L1" s="125" t="s">
        <v>451</v>
      </c>
      <c r="M1" t="s">
        <v>496</v>
      </c>
      <c r="N1" s="186" t="s">
        <v>497</v>
      </c>
      <c r="O1" t="s">
        <v>498</v>
      </c>
      <c r="P1" t="s">
        <v>492</v>
      </c>
      <c r="Q1" t="s">
        <v>499</v>
      </c>
      <c r="R1" t="s">
        <v>420</v>
      </c>
    </row>
    <row r="2" ht="21" customHeight="1" spans="1:18">
      <c r="A2" s="3" t="str">
        <f t="shared" ref="A2:A11" si="0">L2</f>
        <v>深圳市腾讯计算机系统有限公司</v>
      </c>
      <c r="B2" s="157">
        <f t="shared" ref="B2:B11" si="1">N2/10000</f>
        <v>1512.21632650441</v>
      </c>
      <c r="C2" s="157">
        <f t="shared" ref="C2:C11" si="2">M2/10000</f>
        <v>18294.2023897221</v>
      </c>
      <c r="D2" s="177">
        <f t="shared" ref="D2:D11" si="3">B2/C2</f>
        <v>0.082660959701309</v>
      </c>
      <c r="E2" s="177">
        <f t="shared" ref="E2:E11" si="4">B2/$B$13</f>
        <v>0.0910476446408857</v>
      </c>
      <c r="F2" s="157">
        <f t="shared" ref="F2:F11" si="5">P2/10000</f>
        <v>1922.91594529262</v>
      </c>
      <c r="G2" s="157">
        <f t="shared" ref="G2:G11" si="6">O2/10000</f>
        <v>23969.9944200626</v>
      </c>
      <c r="H2" s="177">
        <f>F2/G2</f>
        <v>0.080221793613901</v>
      </c>
      <c r="I2" s="177">
        <f t="shared" ref="I2:I11" si="7">F2/$F$13</f>
        <v>0.114047846121223</v>
      </c>
      <c r="J2" s="187">
        <f t="shared" ref="J2:J11" si="8">B2-F2</f>
        <v>-410.69961878821</v>
      </c>
      <c r="K2" s="187">
        <f>J2+J10</f>
        <v>-1565.46967250728</v>
      </c>
      <c r="L2" s="188" t="s">
        <v>429</v>
      </c>
      <c r="M2" s="189">
        <v>182942023.897221</v>
      </c>
      <c r="N2" s="190">
        <v>15122163.2650441</v>
      </c>
      <c r="O2" s="191">
        <v>239699944.200626</v>
      </c>
      <c r="P2" s="191">
        <v>19229159.4529262</v>
      </c>
      <c r="Q2" s="191">
        <f t="shared" ref="Q2:Q11" si="9">M2-O2</f>
        <v>-56757920.303405</v>
      </c>
      <c r="R2" s="4">
        <f t="shared" ref="R2:R11" si="10">N2-P2</f>
        <v>-4106996.1878821</v>
      </c>
    </row>
    <row r="3" ht="21" customHeight="1" spans="1:18">
      <c r="A3" s="3" t="str">
        <f t="shared" si="0"/>
        <v>北京度友科技有限公司</v>
      </c>
      <c r="B3" s="157">
        <f t="shared" si="1"/>
        <v>1462.543434</v>
      </c>
      <c r="C3" s="157">
        <f t="shared" si="2"/>
        <v>2610.56471899999</v>
      </c>
      <c r="D3" s="177">
        <f t="shared" si="3"/>
        <v>0.560240251220527</v>
      </c>
      <c r="E3" s="177">
        <f t="shared" si="4"/>
        <v>0.0880569350540631</v>
      </c>
      <c r="F3" s="157">
        <f t="shared" si="5"/>
        <v>1075.99320932</v>
      </c>
      <c r="G3" s="157">
        <f t="shared" si="6"/>
        <v>2251.09824402</v>
      </c>
      <c r="H3" s="177">
        <f>F3/G3</f>
        <v>0.477985895186208</v>
      </c>
      <c r="I3" s="177">
        <f t="shared" si="7"/>
        <v>0.0638169901624764</v>
      </c>
      <c r="J3" s="187">
        <f t="shared" si="8"/>
        <v>386.55022468</v>
      </c>
      <c r="K3" s="187"/>
      <c r="L3" s="188" t="s">
        <v>466</v>
      </c>
      <c r="M3" s="189">
        <v>26105647.1899999</v>
      </c>
      <c r="N3" s="190">
        <v>14625434.34</v>
      </c>
      <c r="O3" s="191">
        <v>22510982.4402</v>
      </c>
      <c r="P3" s="191">
        <v>10759932.0932</v>
      </c>
      <c r="Q3" s="191">
        <f t="shared" si="9"/>
        <v>3594664.7497999</v>
      </c>
      <c r="R3" s="4">
        <f t="shared" si="10"/>
        <v>3865502.2468</v>
      </c>
    </row>
    <row r="4" ht="21" customHeight="1" spans="1:18">
      <c r="A4" s="3" t="str">
        <f t="shared" si="0"/>
        <v>瑞幸咖啡（中国）有限公司</v>
      </c>
      <c r="B4" s="157">
        <f t="shared" si="1"/>
        <v>995.621649303585</v>
      </c>
      <c r="C4" s="157">
        <f t="shared" si="2"/>
        <v>229.880734303585</v>
      </c>
      <c r="D4" s="177">
        <f t="shared" si="3"/>
        <v>4.33103562297112</v>
      </c>
      <c r="E4" s="177">
        <f t="shared" si="4"/>
        <v>0.0599444699371198</v>
      </c>
      <c r="F4" s="157">
        <f t="shared" si="5"/>
        <v>103.92827054</v>
      </c>
      <c r="G4" s="157">
        <f t="shared" si="6"/>
        <v>9270.16164735999</v>
      </c>
      <c r="H4" s="177">
        <f>F4/G4</f>
        <v>0.011211052675613</v>
      </c>
      <c r="I4" s="177">
        <f t="shared" si="7"/>
        <v>0.00616396958754588</v>
      </c>
      <c r="J4" s="187">
        <f t="shared" si="8"/>
        <v>891.693378763585</v>
      </c>
      <c r="K4" s="187"/>
      <c r="L4" s="188" t="s">
        <v>500</v>
      </c>
      <c r="M4" s="189">
        <v>2298807.34303585</v>
      </c>
      <c r="N4" s="190">
        <v>9956216.49303585</v>
      </c>
      <c r="O4" s="191">
        <v>92701616.4735999</v>
      </c>
      <c r="P4" s="191">
        <v>1039282.7054</v>
      </c>
      <c r="Q4" s="191">
        <f t="shared" si="9"/>
        <v>-90402809.130564</v>
      </c>
      <c r="R4" s="4">
        <f t="shared" si="10"/>
        <v>8916933.78763585</v>
      </c>
    </row>
    <row r="5" ht="21" customHeight="1" spans="1:18">
      <c r="A5" s="3" t="str">
        <f t="shared" si="0"/>
        <v>支付宝（中国）网络技术有限公司</v>
      </c>
      <c r="B5" s="157">
        <f t="shared" si="1"/>
        <v>811.624814670473</v>
      </c>
      <c r="C5" s="157">
        <f t="shared" si="2"/>
        <v>85344.172630649</v>
      </c>
      <c r="D5" s="177">
        <f t="shared" si="3"/>
        <v>0.00951002030546372</v>
      </c>
      <c r="E5" s="177">
        <f t="shared" si="4"/>
        <v>0.048866373423344</v>
      </c>
      <c r="F5" s="157">
        <f t="shared" si="5"/>
        <v>616.97412180011</v>
      </c>
      <c r="G5" s="157">
        <f t="shared" si="6"/>
        <v>39511.5087451606</v>
      </c>
      <c r="H5" s="177">
        <f>F5/G5</f>
        <v>0.0156150484098048</v>
      </c>
      <c r="I5" s="177">
        <f t="shared" si="7"/>
        <v>0.0365926393590375</v>
      </c>
      <c r="J5" s="187">
        <f t="shared" si="8"/>
        <v>194.650692870363</v>
      </c>
      <c r="K5" s="187"/>
      <c r="L5" s="188" t="s">
        <v>470</v>
      </c>
      <c r="M5" s="189">
        <v>853441726.30649</v>
      </c>
      <c r="N5" s="190">
        <v>8116248.14670473</v>
      </c>
      <c r="O5" s="191">
        <v>395115087.451606</v>
      </c>
      <c r="P5" s="191">
        <v>6169741.2180011</v>
      </c>
      <c r="Q5" s="191">
        <f t="shared" si="9"/>
        <v>458326638.854884</v>
      </c>
      <c r="R5" s="4">
        <f t="shared" si="10"/>
        <v>1946506.92870363</v>
      </c>
    </row>
    <row r="6" ht="21" customHeight="1" spans="1:18">
      <c r="A6" s="3" t="str">
        <f t="shared" si="0"/>
        <v>深圳市脸萌科技有限公司</v>
      </c>
      <c r="B6" s="157">
        <f t="shared" si="1"/>
        <v>675.703645178805</v>
      </c>
      <c r="C6" s="157">
        <f t="shared" si="2"/>
        <v>4281.81243834817</v>
      </c>
      <c r="D6" s="177">
        <f t="shared" si="3"/>
        <v>0.157807857048376</v>
      </c>
      <c r="E6" s="177">
        <f t="shared" si="4"/>
        <v>0.0406828205002927</v>
      </c>
      <c r="F6" s="157">
        <f t="shared" si="5"/>
        <v>0.138510019999999</v>
      </c>
      <c r="G6" s="157">
        <f t="shared" si="6"/>
        <v>15.57961002</v>
      </c>
      <c r="H6" s="177" t="s">
        <v>501</v>
      </c>
      <c r="I6" s="177">
        <f t="shared" si="7"/>
        <v>8.21500777809792e-6</v>
      </c>
      <c r="J6" s="187">
        <f t="shared" si="8"/>
        <v>675.565135158805</v>
      </c>
      <c r="K6" s="187"/>
      <c r="L6" s="192" t="s">
        <v>502</v>
      </c>
      <c r="M6" s="189">
        <v>42818124.3834817</v>
      </c>
      <c r="N6" s="190">
        <v>6757036.45178805</v>
      </c>
      <c r="O6" s="191">
        <v>155796.1002</v>
      </c>
      <c r="P6" s="191">
        <v>1385.10019999999</v>
      </c>
      <c r="Q6" s="191">
        <f t="shared" si="9"/>
        <v>42662328.2832817</v>
      </c>
      <c r="R6" s="4">
        <f t="shared" si="10"/>
        <v>6755651.35158805</v>
      </c>
    </row>
    <row r="7" ht="21" customHeight="1" spans="1:18">
      <c r="A7" s="3" t="str">
        <f t="shared" si="0"/>
        <v>沭阳惠联信息技术有限公司</v>
      </c>
      <c r="B7" s="157">
        <f t="shared" si="1"/>
        <v>609.69977863286</v>
      </c>
      <c r="C7" s="157">
        <f t="shared" si="2"/>
        <v>19642.2313761928</v>
      </c>
      <c r="D7" s="177">
        <f t="shared" si="3"/>
        <v>0.0310402503135077</v>
      </c>
      <c r="E7" s="177">
        <f t="shared" si="4"/>
        <v>0.0367088542886655</v>
      </c>
      <c r="F7" s="157">
        <f t="shared" si="5"/>
        <v>0</v>
      </c>
      <c r="G7" s="157">
        <f t="shared" si="6"/>
        <v>0</v>
      </c>
      <c r="H7" s="177" t="s">
        <v>501</v>
      </c>
      <c r="I7" s="177">
        <f t="shared" si="7"/>
        <v>0</v>
      </c>
      <c r="J7" s="187">
        <f t="shared" si="8"/>
        <v>609.69977863286</v>
      </c>
      <c r="K7" s="187"/>
      <c r="L7" s="188" t="s">
        <v>503</v>
      </c>
      <c r="M7" s="189">
        <v>196422313.761928</v>
      </c>
      <c r="N7" s="190">
        <v>6096997.7863286</v>
      </c>
      <c r="O7" s="191">
        <v>0</v>
      </c>
      <c r="P7" s="191">
        <v>0</v>
      </c>
      <c r="Q7" s="191">
        <f t="shared" si="9"/>
        <v>196422313.761928</v>
      </c>
      <c r="R7" s="4">
        <f t="shared" si="10"/>
        <v>6096997.7863286</v>
      </c>
    </row>
    <row r="8" ht="21" customHeight="1" spans="1:18">
      <c r="A8" s="3" t="str">
        <f t="shared" si="0"/>
        <v>耐克商业（中国）有限公司</v>
      </c>
      <c r="B8" s="157">
        <f t="shared" si="1"/>
        <v>449.2932</v>
      </c>
      <c r="C8" s="157">
        <f t="shared" si="2"/>
        <v>18979.2322</v>
      </c>
      <c r="D8" s="177">
        <f t="shared" si="3"/>
        <v>0.0236728859874532</v>
      </c>
      <c r="E8" s="177">
        <f t="shared" si="4"/>
        <v>0.0270510818433801</v>
      </c>
      <c r="F8" s="157">
        <f t="shared" si="5"/>
        <v>394.448</v>
      </c>
      <c r="G8" s="157">
        <f t="shared" si="6"/>
        <v>21283.269</v>
      </c>
      <c r="H8" s="177">
        <f>F8/G8</f>
        <v>0.0185332431780099</v>
      </c>
      <c r="I8" s="177">
        <f t="shared" si="7"/>
        <v>0.0233946496293567</v>
      </c>
      <c r="J8" s="187">
        <f t="shared" si="8"/>
        <v>54.8452</v>
      </c>
      <c r="K8" s="187"/>
      <c r="L8" s="188" t="s">
        <v>469</v>
      </c>
      <c r="M8" s="189">
        <v>189792322</v>
      </c>
      <c r="N8" s="190">
        <v>4492932</v>
      </c>
      <c r="O8" s="191">
        <v>212832690</v>
      </c>
      <c r="P8" s="191">
        <v>3944480</v>
      </c>
      <c r="Q8" s="191">
        <f t="shared" si="9"/>
        <v>-23040368</v>
      </c>
      <c r="R8" s="4">
        <f t="shared" si="10"/>
        <v>548452</v>
      </c>
    </row>
    <row r="9" ht="21" customHeight="1" spans="1:18">
      <c r="A9" s="3" t="str">
        <f t="shared" si="0"/>
        <v>厦门沃购电子商务有限公司</v>
      </c>
      <c r="B9" s="157">
        <f t="shared" si="1"/>
        <v>448.51334</v>
      </c>
      <c r="C9" s="157">
        <f t="shared" si="2"/>
        <v>18925.30804</v>
      </c>
      <c r="D9" s="177">
        <f t="shared" si="3"/>
        <v>0.0236991302361914</v>
      </c>
      <c r="E9" s="177">
        <f t="shared" si="4"/>
        <v>0.0270041279685243</v>
      </c>
      <c r="F9" s="157">
        <f t="shared" si="5"/>
        <v>106.4558</v>
      </c>
      <c r="G9" s="157">
        <f t="shared" si="6"/>
        <v>14346.735565</v>
      </c>
      <c r="H9" s="177">
        <f>F9/G9</f>
        <v>0.0074202106477593</v>
      </c>
      <c r="I9" s="177">
        <f t="shared" si="7"/>
        <v>0.00631387696733885</v>
      </c>
      <c r="J9" s="187">
        <f t="shared" si="8"/>
        <v>342.05754</v>
      </c>
      <c r="K9" s="187"/>
      <c r="L9" s="188" t="s">
        <v>504</v>
      </c>
      <c r="M9" s="189">
        <v>189253080.4</v>
      </c>
      <c r="N9" s="190">
        <v>4485133.4</v>
      </c>
      <c r="O9" s="191">
        <v>143467355.65</v>
      </c>
      <c r="P9" s="191">
        <v>1064558</v>
      </c>
      <c r="Q9" s="191">
        <f t="shared" si="9"/>
        <v>45785724.75</v>
      </c>
      <c r="R9" s="4">
        <f t="shared" si="10"/>
        <v>3420575.4</v>
      </c>
    </row>
    <row r="10" ht="21" customHeight="1" spans="1:18">
      <c r="A10" s="3" t="str">
        <f t="shared" si="0"/>
        <v>北京爱奇艺科技有限公司</v>
      </c>
      <c r="B10" s="157">
        <f t="shared" si="1"/>
        <v>411.363005322184</v>
      </c>
      <c r="C10" s="157">
        <f t="shared" si="2"/>
        <v>8390.94125704088</v>
      </c>
      <c r="D10" s="177">
        <f t="shared" si="3"/>
        <v>0.0490246556042813</v>
      </c>
      <c r="E10" s="177">
        <f t="shared" si="4"/>
        <v>0.0247673775706136</v>
      </c>
      <c r="F10" s="157">
        <f t="shared" si="5"/>
        <v>1566.13305904125</v>
      </c>
      <c r="G10" s="157">
        <f t="shared" si="6"/>
        <v>19730.5626905393</v>
      </c>
      <c r="H10" s="177">
        <f>F10/G10</f>
        <v>0.0793759956877561</v>
      </c>
      <c r="I10" s="177">
        <f t="shared" si="7"/>
        <v>0.0928871085395862</v>
      </c>
      <c r="J10" s="187">
        <f t="shared" si="8"/>
        <v>-1154.77005371907</v>
      </c>
      <c r="K10" s="187"/>
      <c r="L10" s="188" t="s">
        <v>430</v>
      </c>
      <c r="M10" s="189">
        <v>83909412.5704088</v>
      </c>
      <c r="N10" s="190">
        <v>4113630.05322184</v>
      </c>
      <c r="O10" s="191">
        <v>197305626.905393</v>
      </c>
      <c r="P10" s="191">
        <v>15661330.5904125</v>
      </c>
      <c r="Q10" s="191">
        <f t="shared" si="9"/>
        <v>-113396214.334984</v>
      </c>
      <c r="R10" s="4">
        <f t="shared" si="10"/>
        <v>-11547700.5371907</v>
      </c>
    </row>
    <row r="11" ht="21" customHeight="1" spans="1:18">
      <c r="A11" s="3" t="str">
        <f t="shared" si="0"/>
        <v>拉扎斯网络科技（上海）有限公司</v>
      </c>
      <c r="B11" s="157">
        <f t="shared" si="1"/>
        <v>366.89257978</v>
      </c>
      <c r="C11" s="157">
        <f t="shared" si="2"/>
        <v>748.41138178</v>
      </c>
      <c r="D11" s="177">
        <f t="shared" si="3"/>
        <v>0.490228487583117</v>
      </c>
      <c r="E11" s="177">
        <f t="shared" si="4"/>
        <v>0.0220898985414372</v>
      </c>
      <c r="F11" s="157">
        <f t="shared" si="5"/>
        <v>20.3990011666691</v>
      </c>
      <c r="G11" s="157">
        <f t="shared" si="6"/>
        <v>242.599189166668</v>
      </c>
      <c r="H11" s="177">
        <f>F11/G11</f>
        <v>0.0840851992817453</v>
      </c>
      <c r="I11" s="177">
        <f t="shared" si="7"/>
        <v>0.00120986159159905</v>
      </c>
      <c r="J11" s="187">
        <f t="shared" si="8"/>
        <v>346.493578613331</v>
      </c>
      <c r="K11" s="187"/>
      <c r="L11" s="188" t="s">
        <v>505</v>
      </c>
      <c r="M11" s="189">
        <v>7484113.8178</v>
      </c>
      <c r="N11" s="190">
        <v>3668925.7978</v>
      </c>
      <c r="O11" s="191">
        <v>2425991.89166668</v>
      </c>
      <c r="P11" s="191">
        <v>203990.011666691</v>
      </c>
      <c r="Q11" s="191">
        <f t="shared" si="9"/>
        <v>5058121.92613332</v>
      </c>
      <c r="R11" s="4">
        <f t="shared" si="10"/>
        <v>3464935.78613331</v>
      </c>
    </row>
    <row r="12" ht="21" customHeight="1" spans="1:17">
      <c r="A12" s="3" t="s">
        <v>506</v>
      </c>
      <c r="B12" s="157">
        <f>SUM(B2:B11)</f>
        <v>7743.47177339232</v>
      </c>
      <c r="C12" s="157"/>
      <c r="D12" s="177"/>
      <c r="E12" s="177">
        <f>B12/B13</f>
        <v>0.466219583768326</v>
      </c>
      <c r="F12" s="157">
        <f>SUM(F2:F11)</f>
        <v>5807.38591718065</v>
      </c>
      <c r="G12" s="157"/>
      <c r="H12" s="177"/>
      <c r="I12" s="177">
        <f>F12/F13</f>
        <v>0.344435156965942</v>
      </c>
      <c r="J12" s="193">
        <f>SUM(J2:J11)</f>
        <v>1936.08585621167</v>
      </c>
      <c r="K12" s="194"/>
      <c r="M12" s="3"/>
      <c r="P12" s="195"/>
      <c r="Q12" s="164"/>
    </row>
    <row r="13" ht="21" customHeight="1" spans="1:18">
      <c r="A13" s="178" t="s">
        <v>507</v>
      </c>
      <c r="B13" s="179">
        <f>'毛利-收入组成'!AP69</f>
        <v>16609.0658629222</v>
      </c>
      <c r="C13" s="180"/>
      <c r="D13" s="180"/>
      <c r="E13" s="180"/>
      <c r="F13" s="181">
        <f>'毛利-收入组成'!AP57</f>
        <v>16860.6072862501</v>
      </c>
      <c r="G13" s="182"/>
      <c r="H13" s="182"/>
      <c r="I13" s="182"/>
      <c r="J13" s="196">
        <f>B13-F13</f>
        <v>-251.541423327857</v>
      </c>
      <c r="K13" s="194"/>
      <c r="R13" s="215"/>
    </row>
    <row r="14" ht="18" customHeight="1" spans="1:14">
      <c r="A14" s="3"/>
      <c r="B14" s="3"/>
      <c r="C14" s="3"/>
      <c r="D14" s="3"/>
      <c r="E14" s="3"/>
      <c r="F14" s="3"/>
      <c r="G14" s="3"/>
      <c r="H14" s="3"/>
      <c r="I14" s="3"/>
      <c r="J14" s="194"/>
      <c r="K14" s="194"/>
      <c r="L14" s="188"/>
      <c r="M14" s="14"/>
      <c r="N14" s="197"/>
    </row>
    <row r="15" ht="22" customHeight="1" spans="1:18">
      <c r="A15" s="3"/>
      <c r="B15" s="157"/>
      <c r="C15" s="3"/>
      <c r="D15" s="3"/>
      <c r="E15" s="3"/>
      <c r="F15" s="3"/>
      <c r="G15" s="3"/>
      <c r="H15" s="3"/>
      <c r="I15" s="3"/>
      <c r="J15" s="194"/>
      <c r="K15" s="196">
        <f>K2+[38]合并毛利波动!$K$30/10000+[38]合并毛利波动!$K$564/10000</f>
        <v>-3473.25959602148</v>
      </c>
      <c r="L15" s="198" t="s">
        <v>462</v>
      </c>
      <c r="M15" s="199">
        <v>180941319.582</v>
      </c>
      <c r="N15" s="199">
        <v>2103357.8319997</v>
      </c>
      <c r="O15" s="199">
        <v>288572371.975333</v>
      </c>
      <c r="P15" s="199">
        <v>6452694.31199992</v>
      </c>
      <c r="Q15" s="191">
        <f>M15-O15</f>
        <v>-107631052.393333</v>
      </c>
      <c r="R15" s="4">
        <f>N15-P15</f>
        <v>-4349336.48000022</v>
      </c>
    </row>
    <row r="16" ht="22" customHeight="1" spans="1:19">
      <c r="A16" s="3"/>
      <c r="B16" s="3"/>
      <c r="C16" s="3"/>
      <c r="D16" s="3"/>
      <c r="E16" s="3"/>
      <c r="F16" s="3"/>
      <c r="G16" s="3"/>
      <c r="H16" s="3"/>
      <c r="I16" s="3"/>
      <c r="J16" s="194"/>
      <c r="K16" s="194"/>
      <c r="L16" s="200" t="s">
        <v>473</v>
      </c>
      <c r="M16" s="190">
        <v>65397901.13</v>
      </c>
      <c r="N16" s="197">
        <v>611519.621600099</v>
      </c>
      <c r="O16" s="190">
        <v>36972720.76</v>
      </c>
      <c r="P16" s="190">
        <v>-356510.138199898</v>
      </c>
      <c r="Q16" s="191">
        <f>M16-O16</f>
        <v>28425180.37</v>
      </c>
      <c r="R16" s="4">
        <f>N16-P16</f>
        <v>968029.759799997</v>
      </c>
      <c r="S16" s="3"/>
    </row>
    <row r="17" ht="22" customHeight="1" spans="1:19">
      <c r="A17" s="3"/>
      <c r="B17" s="183"/>
      <c r="C17" s="3"/>
      <c r="D17" s="3"/>
      <c r="E17" s="3"/>
      <c r="F17" s="3"/>
      <c r="G17" s="3"/>
      <c r="H17" s="3"/>
      <c r="I17" s="3"/>
      <c r="J17" s="194"/>
      <c r="K17" s="194"/>
      <c r="L17" s="201" t="s">
        <v>435</v>
      </c>
      <c r="M17" s="202">
        <v>970</v>
      </c>
      <c r="N17" s="203">
        <v>1408965.47</v>
      </c>
      <c r="O17" s="204">
        <v>1079036</v>
      </c>
      <c r="P17" s="204">
        <v>6323153.05</v>
      </c>
      <c r="Q17" s="204">
        <f>M17-O17</f>
        <v>-1078066</v>
      </c>
      <c r="R17" s="216">
        <f>N17-P17</f>
        <v>-4914187.58</v>
      </c>
      <c r="S17" s="6"/>
    </row>
    <row r="18" ht="22" customHeight="1" spans="1:19">
      <c r="A18" s="3"/>
      <c r="B18" s="3"/>
      <c r="C18" s="3"/>
      <c r="D18" s="3"/>
      <c r="E18" s="3"/>
      <c r="F18" s="3"/>
      <c r="G18" s="3"/>
      <c r="H18" s="3"/>
      <c r="I18" s="3"/>
      <c r="J18" s="194"/>
      <c r="K18" s="194"/>
      <c r="L18" s="201" t="s">
        <v>433</v>
      </c>
      <c r="M18" s="202">
        <v>216134.25</v>
      </c>
      <c r="N18" s="203">
        <v>2452924.27</v>
      </c>
      <c r="O18" s="204">
        <v>12979505.5</v>
      </c>
      <c r="P18" s="204">
        <v>3199324.5365</v>
      </c>
      <c r="Q18" s="204">
        <f>M18-O18</f>
        <v>-12763371.25</v>
      </c>
      <c r="R18" s="216">
        <f>N18-P18</f>
        <v>-746400.2665</v>
      </c>
      <c r="S18" s="4"/>
    </row>
    <row r="19" ht="22" customHeight="1" spans="1:19">
      <c r="A19" s="3"/>
      <c r="B19" s="3"/>
      <c r="C19" s="3"/>
      <c r="D19" s="3"/>
      <c r="E19" s="3"/>
      <c r="F19" s="3"/>
      <c r="G19" s="3"/>
      <c r="H19" s="3"/>
      <c r="I19" s="3"/>
      <c r="J19" s="205"/>
      <c r="K19" s="205"/>
      <c r="L19" s="206" t="s">
        <v>508</v>
      </c>
      <c r="M19" s="207">
        <v>680</v>
      </c>
      <c r="N19" s="207">
        <v>7786.679999999</v>
      </c>
      <c r="O19" s="208">
        <v>32614.85</v>
      </c>
      <c r="P19" s="209">
        <v>-27868.480000001</v>
      </c>
      <c r="Q19" s="204">
        <f>M19-O19</f>
        <v>-31934.85</v>
      </c>
      <c r="R19" s="216">
        <f>N19-P19</f>
        <v>35655.16</v>
      </c>
      <c r="S19" s="4"/>
    </row>
    <row r="20" ht="18" customHeight="1" spans="10:19">
      <c r="J20" s="205"/>
      <c r="K20" s="205"/>
      <c r="L20" s="210" t="s">
        <v>71</v>
      </c>
      <c r="M20" s="211">
        <f t="shared" ref="M20:R20" si="11">SUM(M15:M19)</f>
        <v>246557004.962</v>
      </c>
      <c r="N20" s="211">
        <f t="shared" si="11"/>
        <v>6584553.8735998</v>
      </c>
      <c r="O20" s="211">
        <f t="shared" si="11"/>
        <v>339636249.085333</v>
      </c>
      <c r="P20" s="211">
        <f t="shared" si="11"/>
        <v>15590793.2803</v>
      </c>
      <c r="Q20" s="211">
        <f t="shared" si="11"/>
        <v>-93079244.123333</v>
      </c>
      <c r="R20" s="211">
        <f t="shared" si="11"/>
        <v>-9006239.40670022</v>
      </c>
      <c r="S20" s="3"/>
    </row>
    <row r="21" ht="18" customHeight="1" spans="9:19">
      <c r="I21" s="6"/>
      <c r="J21" s="205"/>
      <c r="K21" s="205"/>
      <c r="L21" t="s">
        <v>304</v>
      </c>
      <c r="M21" s="212">
        <f t="shared" ref="M21:R21" si="12">M20/10000</f>
        <v>24655.7004962</v>
      </c>
      <c r="N21" s="212">
        <f t="shared" si="12"/>
        <v>658.45538735998</v>
      </c>
      <c r="O21" s="212">
        <f t="shared" si="12"/>
        <v>33963.6249085333</v>
      </c>
      <c r="P21" s="212">
        <f t="shared" si="12"/>
        <v>1559.07932803</v>
      </c>
      <c r="Q21" s="212">
        <f t="shared" si="12"/>
        <v>-9307.9244123333</v>
      </c>
      <c r="R21" s="212">
        <f t="shared" si="12"/>
        <v>-900.623940670022</v>
      </c>
      <c r="S21" s="3"/>
    </row>
    <row r="22" ht="18" customHeight="1" spans="9:19">
      <c r="I22" s="6"/>
      <c r="J22" s="213"/>
      <c r="K22" s="213"/>
      <c r="M22" s="14"/>
      <c r="N22" s="214"/>
      <c r="O22" s="4"/>
      <c r="P22" s="4"/>
      <c r="Q22" s="4"/>
      <c r="R22" s="3"/>
      <c r="S22" s="3"/>
    </row>
    <row r="23" spans="15:19">
      <c r="O23" s="4"/>
      <c r="P23" s="4"/>
      <c r="R23" s="4"/>
      <c r="S23" s="3"/>
    </row>
    <row r="24" ht="15" customHeight="1" spans="11:19">
      <c r="K24" s="194"/>
      <c r="L24" s="3" t="s">
        <v>509</v>
      </c>
      <c r="M24" s="4">
        <f>970</f>
        <v>970</v>
      </c>
      <c r="N24" s="4">
        <v>-32</v>
      </c>
      <c r="O24" s="4">
        <f>1079036</f>
        <v>1079036</v>
      </c>
      <c r="P24" s="4">
        <f>-40899.4</f>
        <v>-40899.4</v>
      </c>
      <c r="Q24" s="4">
        <f>M24-O24</f>
        <v>-1078066</v>
      </c>
      <c r="R24" s="4">
        <f>N24-P24</f>
        <v>40867.4</v>
      </c>
      <c r="S24" s="4"/>
    </row>
    <row r="25" ht="15" customHeight="1" spans="11:19">
      <c r="K25" s="194"/>
      <c r="L25" s="3" t="s">
        <v>510</v>
      </c>
      <c r="M25" s="4">
        <v>216134.25</v>
      </c>
      <c r="N25" s="4">
        <v>154.14</v>
      </c>
      <c r="O25" s="4">
        <v>12979505.5</v>
      </c>
      <c r="P25" s="4">
        <v>-185913.6135</v>
      </c>
      <c r="Q25" s="4">
        <f>M25-O25</f>
        <v>-12763371.25</v>
      </c>
      <c r="R25" s="4">
        <f>N25-P25</f>
        <v>186067.7535</v>
      </c>
      <c r="S25" s="4"/>
    </row>
    <row r="26" ht="15" customHeight="1" spans="11:19">
      <c r="K26" s="194"/>
      <c r="L26" s="3" t="s">
        <v>511</v>
      </c>
      <c r="M26" s="4">
        <v>680</v>
      </c>
      <c r="N26" s="4"/>
      <c r="O26" s="4">
        <v>32614.85</v>
      </c>
      <c r="P26" s="4">
        <v>-1405.15</v>
      </c>
      <c r="Q26" s="4">
        <f>M26-O26</f>
        <v>-31934.85</v>
      </c>
      <c r="R26" s="4">
        <f>N26-P26</f>
        <v>1405.15</v>
      </c>
      <c r="S26" s="4"/>
    </row>
    <row r="27" spans="11:19">
      <c r="K27" s="194"/>
      <c r="L27" s="3" t="s">
        <v>512</v>
      </c>
      <c r="M27" s="4">
        <f t="shared" ref="M27:R27" si="13">SUM(M17:M19)-SUM(M24:M26)</f>
        <v>0</v>
      </c>
      <c r="N27" s="4">
        <f t="shared" si="13"/>
        <v>3869554.28</v>
      </c>
      <c r="O27" s="4">
        <f t="shared" si="13"/>
        <v>0</v>
      </c>
      <c r="P27" s="4">
        <f t="shared" si="13"/>
        <v>9722827.27</v>
      </c>
      <c r="Q27" s="4">
        <f t="shared" si="13"/>
        <v>0</v>
      </c>
      <c r="R27" s="4">
        <f t="shared" si="13"/>
        <v>-5853272.99</v>
      </c>
      <c r="S27" s="4"/>
    </row>
    <row r="28" spans="11:19">
      <c r="K28" s="194"/>
      <c r="L28" s="3"/>
      <c r="M28" s="4"/>
      <c r="N28" s="4"/>
      <c r="O28" s="4"/>
      <c r="P28" s="4"/>
      <c r="Q28" s="4"/>
      <c r="R28" s="4"/>
      <c r="S28" s="4"/>
    </row>
    <row r="29" spans="12:19">
      <c r="L29" s="3" t="s">
        <v>513</v>
      </c>
      <c r="M29" s="4">
        <f t="shared" ref="M29:R29" si="14">M20-M27</f>
        <v>246557004.962</v>
      </c>
      <c r="N29" s="4">
        <f t="shared" si="14"/>
        <v>2714999.5935998</v>
      </c>
      <c r="O29" s="4">
        <f t="shared" si="14"/>
        <v>339636249.085333</v>
      </c>
      <c r="P29" s="4">
        <f t="shared" si="14"/>
        <v>5867966.0103</v>
      </c>
      <c r="Q29" s="4">
        <f t="shared" si="14"/>
        <v>-93079244.123333</v>
      </c>
      <c r="R29" s="4">
        <f t="shared" si="14"/>
        <v>-3152966.41670022</v>
      </c>
      <c r="S29" s="4"/>
    </row>
    <row r="30" spans="12:19">
      <c r="L30" s="3"/>
      <c r="M30" s="4"/>
      <c r="N30" s="4"/>
      <c r="O30" s="4"/>
      <c r="P30" s="4"/>
      <c r="Q30" s="4"/>
      <c r="R30" s="4">
        <f>R15+R16+R24+R25+R26</f>
        <v>-3152966.41670022</v>
      </c>
      <c r="S30" s="4"/>
    </row>
    <row r="31" spans="13:19">
      <c r="M31" s="6"/>
      <c r="N31" s="4"/>
      <c r="O31" s="6"/>
      <c r="P31" s="6"/>
      <c r="Q31" s="6"/>
      <c r="R31" s="6"/>
      <c r="S31" s="6"/>
    </row>
    <row r="32" spans="13:19">
      <c r="M32" s="6"/>
      <c r="N32" s="4"/>
      <c r="O32" s="6"/>
      <c r="P32" s="6"/>
      <c r="Q32" s="6"/>
      <c r="R32" s="6"/>
      <c r="S32" s="6"/>
    </row>
    <row r="33" spans="15:16">
      <c r="O33" s="20">
        <v>1079036</v>
      </c>
      <c r="P33" s="20">
        <v>-40899.3999999999</v>
      </c>
    </row>
    <row r="34" spans="15:16">
      <c r="O34" s="20">
        <v>12966895.5</v>
      </c>
      <c r="P34" s="20">
        <v>-186074.46</v>
      </c>
    </row>
    <row r="35" spans="15:16">
      <c r="O35" s="20"/>
      <c r="P35" s="20"/>
    </row>
  </sheetData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30"/>
  <sheetViews>
    <sheetView workbookViewId="0">
      <selection activeCell="N33" sqref="N33"/>
    </sheetView>
  </sheetViews>
  <sheetFormatPr defaultColWidth="9" defaultRowHeight="13.5"/>
  <cols>
    <col min="1" max="1" width="9" style="164"/>
    <col min="2" max="2" width="22.2583333333333" style="164" customWidth="1"/>
    <col min="3" max="3" width="28.1333333333333" style="164" customWidth="1"/>
    <col min="4" max="4" width="21.2583333333333" style="164" customWidth="1"/>
    <col min="5" max="5" width="16.7583333333333" style="164" customWidth="1"/>
    <col min="6" max="6" width="10.8833333333333" style="164" customWidth="1"/>
    <col min="7" max="8" width="9" style="164"/>
    <col min="9" max="9" width="12.6333333333333" style="164"/>
    <col min="10" max="13" width="9" style="164"/>
    <col min="14" max="14" width="12.6333333333333" style="165"/>
    <col min="15" max="16384" width="9" style="164"/>
  </cols>
  <sheetData>
    <row r="1" spans="2:11">
      <c r="B1" s="164" t="s">
        <v>514</v>
      </c>
      <c r="C1" s="164" t="s">
        <v>514</v>
      </c>
      <c r="F1" s="164" t="s">
        <v>320</v>
      </c>
      <c r="K1" s="164" t="s">
        <v>321</v>
      </c>
    </row>
    <row r="2" spans="2:14">
      <c r="B2" s="164" t="s">
        <v>515</v>
      </c>
      <c r="C2" s="164" t="s">
        <v>516</v>
      </c>
      <c r="F2" s="164">
        <v>30</v>
      </c>
      <c r="G2" s="164">
        <v>30</v>
      </c>
      <c r="H2" s="164" t="s">
        <v>517</v>
      </c>
      <c r="I2" s="164" t="s">
        <v>518</v>
      </c>
      <c r="K2" s="164">
        <v>25</v>
      </c>
      <c r="M2" s="164">
        <f t="shared" ref="M2:M16" si="0">F2-K2</f>
        <v>5</v>
      </c>
      <c r="N2" s="165">
        <f t="shared" ref="N2:N16" si="1">M2/K2</f>
        <v>0.2</v>
      </c>
    </row>
    <row r="3" spans="2:14">
      <c r="B3" s="164" t="s">
        <v>515</v>
      </c>
      <c r="C3" s="164" t="s">
        <v>519</v>
      </c>
      <c r="F3" s="164">
        <v>78</v>
      </c>
      <c r="G3" s="164">
        <v>78</v>
      </c>
      <c r="H3" s="164" t="s">
        <v>517</v>
      </c>
      <c r="I3" s="164" t="s">
        <v>518</v>
      </c>
      <c r="K3" s="164">
        <v>68</v>
      </c>
      <c r="M3" s="164">
        <f t="shared" si="0"/>
        <v>10</v>
      </c>
      <c r="N3" s="165">
        <f t="shared" si="1"/>
        <v>0.147058823529412</v>
      </c>
    </row>
    <row r="4" spans="2:14">
      <c r="B4" s="164" t="s">
        <v>515</v>
      </c>
      <c r="C4" s="164" t="s">
        <v>520</v>
      </c>
      <c r="F4" s="164">
        <v>153</v>
      </c>
      <c r="G4" s="164">
        <v>153</v>
      </c>
      <c r="H4" s="164" t="s">
        <v>517</v>
      </c>
      <c r="I4" s="164" t="s">
        <v>518</v>
      </c>
      <c r="K4" s="164">
        <v>130</v>
      </c>
      <c r="M4" s="164">
        <f t="shared" si="0"/>
        <v>23</v>
      </c>
      <c r="N4" s="165">
        <f t="shared" si="1"/>
        <v>0.176923076923077</v>
      </c>
    </row>
    <row r="5" spans="2:14">
      <c r="B5" s="164" t="s">
        <v>515</v>
      </c>
      <c r="C5" s="164" t="s">
        <v>521</v>
      </c>
      <c r="F5" s="164">
        <v>248</v>
      </c>
      <c r="G5" s="164">
        <v>248</v>
      </c>
      <c r="H5" s="164" t="s">
        <v>517</v>
      </c>
      <c r="I5" s="164" t="s">
        <v>518</v>
      </c>
      <c r="K5" s="164">
        <v>248</v>
      </c>
      <c r="M5" s="164">
        <f t="shared" si="0"/>
        <v>0</v>
      </c>
      <c r="N5" s="165">
        <f t="shared" si="1"/>
        <v>0</v>
      </c>
    </row>
    <row r="6" spans="2:14">
      <c r="B6" s="164" t="s">
        <v>515</v>
      </c>
      <c r="C6" s="164" t="s">
        <v>522</v>
      </c>
      <c r="F6" s="164">
        <v>25</v>
      </c>
      <c r="G6" s="164">
        <v>25</v>
      </c>
      <c r="H6" s="164" t="s">
        <v>517</v>
      </c>
      <c r="I6" s="164" t="s">
        <v>518</v>
      </c>
      <c r="K6" s="164">
        <v>19.8</v>
      </c>
      <c r="M6" s="164">
        <f t="shared" si="0"/>
        <v>5.2</v>
      </c>
      <c r="N6" s="165">
        <f t="shared" si="1"/>
        <v>0.262626262626263</v>
      </c>
    </row>
    <row r="7" spans="2:14">
      <c r="B7" s="164" t="s">
        <v>515</v>
      </c>
      <c r="C7" s="164" t="s">
        <v>523</v>
      </c>
      <c r="F7" s="164">
        <v>68</v>
      </c>
      <c r="G7" s="164">
        <v>58</v>
      </c>
      <c r="H7" s="164" t="s">
        <v>517</v>
      </c>
      <c r="I7" s="164" t="s">
        <v>518</v>
      </c>
      <c r="K7" s="164">
        <v>58</v>
      </c>
      <c r="M7" s="164">
        <f t="shared" si="0"/>
        <v>10</v>
      </c>
      <c r="N7" s="165">
        <f t="shared" si="1"/>
        <v>0.172413793103448</v>
      </c>
    </row>
    <row r="8" spans="2:14">
      <c r="B8" s="164" t="s">
        <v>515</v>
      </c>
      <c r="C8" s="164" t="s">
        <v>524</v>
      </c>
      <c r="F8" s="164">
        <v>248</v>
      </c>
      <c r="G8" s="164">
        <v>248</v>
      </c>
      <c r="H8" s="164" t="s">
        <v>517</v>
      </c>
      <c r="I8" s="164" t="s">
        <v>518</v>
      </c>
      <c r="K8" s="164">
        <v>198</v>
      </c>
      <c r="M8" s="164">
        <f t="shared" si="0"/>
        <v>50</v>
      </c>
      <c r="N8" s="165">
        <f t="shared" si="1"/>
        <v>0.252525252525253</v>
      </c>
    </row>
    <row r="9" spans="2:14">
      <c r="B9" s="164" t="s">
        <v>515</v>
      </c>
      <c r="C9" s="164" t="s">
        <v>525</v>
      </c>
      <c r="F9" s="164">
        <v>60</v>
      </c>
      <c r="G9" s="164">
        <v>60</v>
      </c>
      <c r="H9" s="164" t="s">
        <v>517</v>
      </c>
      <c r="I9" s="164" t="s">
        <v>526</v>
      </c>
      <c r="K9" s="164">
        <v>60</v>
      </c>
      <c r="M9" s="164">
        <f t="shared" si="0"/>
        <v>0</v>
      </c>
      <c r="N9" s="165">
        <f t="shared" si="1"/>
        <v>0</v>
      </c>
    </row>
    <row r="10" spans="2:14">
      <c r="B10" s="164" t="s">
        <v>515</v>
      </c>
      <c r="C10" s="164" t="s">
        <v>527</v>
      </c>
      <c r="F10" s="164">
        <v>168</v>
      </c>
      <c r="G10" s="164">
        <v>138</v>
      </c>
      <c r="H10" s="164" t="s">
        <v>517</v>
      </c>
      <c r="I10" s="164" t="s">
        <v>526</v>
      </c>
      <c r="K10" s="164">
        <v>168</v>
      </c>
      <c r="M10" s="164">
        <f t="shared" si="0"/>
        <v>0</v>
      </c>
      <c r="N10" s="165">
        <f t="shared" si="1"/>
        <v>0</v>
      </c>
    </row>
    <row r="11" spans="2:14">
      <c r="B11" s="164" t="s">
        <v>515</v>
      </c>
      <c r="C11" s="164" t="s">
        <v>528</v>
      </c>
      <c r="F11" s="164">
        <v>328</v>
      </c>
      <c r="G11" s="164" t="s">
        <v>529</v>
      </c>
      <c r="H11" s="164" t="s">
        <v>517</v>
      </c>
      <c r="I11" s="164" t="s">
        <v>526</v>
      </c>
      <c r="K11" s="164">
        <v>328</v>
      </c>
      <c r="M11" s="164">
        <f t="shared" si="0"/>
        <v>0</v>
      </c>
      <c r="N11" s="165">
        <f t="shared" si="1"/>
        <v>0</v>
      </c>
    </row>
    <row r="12" spans="2:14">
      <c r="B12" s="164" t="s">
        <v>515</v>
      </c>
      <c r="C12" s="164" t="s">
        <v>530</v>
      </c>
      <c r="F12" s="164">
        <v>618</v>
      </c>
      <c r="G12" s="164">
        <v>418</v>
      </c>
      <c r="H12" s="164" t="s">
        <v>517</v>
      </c>
      <c r="I12" s="164" t="s">
        <v>526</v>
      </c>
      <c r="K12" s="164">
        <v>618</v>
      </c>
      <c r="M12" s="164">
        <f t="shared" si="0"/>
        <v>0</v>
      </c>
      <c r="N12" s="165">
        <f t="shared" si="1"/>
        <v>0</v>
      </c>
    </row>
    <row r="13" spans="2:14">
      <c r="B13" s="164" t="s">
        <v>515</v>
      </c>
      <c r="C13" s="164" t="s">
        <v>531</v>
      </c>
      <c r="D13" s="164" t="s">
        <v>532</v>
      </c>
      <c r="E13" s="164" t="s">
        <v>533</v>
      </c>
      <c r="F13" s="164">
        <v>49.8</v>
      </c>
      <c r="G13" s="164">
        <v>49.8</v>
      </c>
      <c r="H13" s="164" t="s">
        <v>517</v>
      </c>
      <c r="I13" s="164" t="s">
        <v>526</v>
      </c>
      <c r="K13" s="164">
        <v>49.8</v>
      </c>
      <c r="M13" s="164">
        <f t="shared" si="0"/>
        <v>0</v>
      </c>
      <c r="N13" s="165">
        <f t="shared" si="1"/>
        <v>0</v>
      </c>
    </row>
    <row r="14" spans="2:14">
      <c r="B14" s="164" t="s">
        <v>515</v>
      </c>
      <c r="C14" s="164" t="s">
        <v>534</v>
      </c>
      <c r="D14" s="164" t="s">
        <v>532</v>
      </c>
      <c r="E14" s="164" t="s">
        <v>535</v>
      </c>
      <c r="F14" s="164">
        <v>148</v>
      </c>
      <c r="G14" s="164">
        <v>120</v>
      </c>
      <c r="H14" s="164" t="s">
        <v>517</v>
      </c>
      <c r="I14" s="164" t="s">
        <v>526</v>
      </c>
      <c r="K14" s="164">
        <v>148</v>
      </c>
      <c r="M14" s="164">
        <f t="shared" si="0"/>
        <v>0</v>
      </c>
      <c r="N14" s="165">
        <f t="shared" si="1"/>
        <v>0</v>
      </c>
    </row>
    <row r="15" spans="2:14">
      <c r="B15" s="164" t="s">
        <v>515</v>
      </c>
      <c r="C15" s="164" t="s">
        <v>534</v>
      </c>
      <c r="D15" s="164" t="s">
        <v>532</v>
      </c>
      <c r="E15" s="164" t="s">
        <v>536</v>
      </c>
      <c r="F15" s="164">
        <v>268</v>
      </c>
      <c r="G15" s="164">
        <v>268</v>
      </c>
      <c r="H15" s="164" t="s">
        <v>517</v>
      </c>
      <c r="I15" s="164" t="s">
        <v>526</v>
      </c>
      <c r="K15" s="164">
        <v>268</v>
      </c>
      <c r="M15" s="164">
        <f t="shared" si="0"/>
        <v>0</v>
      </c>
      <c r="N15" s="165">
        <f t="shared" si="1"/>
        <v>0</v>
      </c>
    </row>
    <row r="16" spans="2:14">
      <c r="B16" s="164" t="s">
        <v>515</v>
      </c>
      <c r="C16" s="164" t="s">
        <v>534</v>
      </c>
      <c r="D16" s="164" t="s">
        <v>532</v>
      </c>
      <c r="E16" s="164" t="s">
        <v>537</v>
      </c>
      <c r="F16" s="164">
        <v>498</v>
      </c>
      <c r="G16" s="164">
        <v>360</v>
      </c>
      <c r="H16" s="164" t="s">
        <v>517</v>
      </c>
      <c r="I16" s="164" t="s">
        <v>526</v>
      </c>
      <c r="K16" s="164">
        <v>498</v>
      </c>
      <c r="M16" s="164">
        <f t="shared" si="0"/>
        <v>0</v>
      </c>
      <c r="N16" s="165">
        <f t="shared" si="1"/>
        <v>0</v>
      </c>
    </row>
    <row r="17" spans="2:9">
      <c r="B17" s="164" t="s">
        <v>515</v>
      </c>
      <c r="C17" s="164" t="s">
        <v>538</v>
      </c>
      <c r="D17" s="164" t="s">
        <v>532</v>
      </c>
      <c r="E17" s="164" t="s">
        <v>533</v>
      </c>
      <c r="F17" s="164">
        <v>60</v>
      </c>
      <c r="G17" s="164">
        <v>60</v>
      </c>
      <c r="H17" s="164" t="s">
        <v>517</v>
      </c>
      <c r="I17" s="164" t="s">
        <v>526</v>
      </c>
    </row>
    <row r="18" spans="2:9">
      <c r="B18" s="164" t="s">
        <v>515</v>
      </c>
      <c r="C18" s="164" t="s">
        <v>538</v>
      </c>
      <c r="D18" s="164" t="s">
        <v>532</v>
      </c>
      <c r="E18" s="164" t="s">
        <v>535</v>
      </c>
      <c r="F18" s="164">
        <v>168</v>
      </c>
      <c r="G18" s="164">
        <v>138</v>
      </c>
      <c r="H18" s="164" t="s">
        <v>517</v>
      </c>
      <c r="I18" s="164" t="s">
        <v>526</v>
      </c>
    </row>
    <row r="19" spans="2:9">
      <c r="B19" s="164" t="s">
        <v>515</v>
      </c>
      <c r="C19" s="164" t="s">
        <v>538</v>
      </c>
      <c r="D19" s="164" t="s">
        <v>532</v>
      </c>
      <c r="E19" s="164" t="s">
        <v>536</v>
      </c>
      <c r="F19" s="164">
        <v>328</v>
      </c>
      <c r="G19" s="164" t="s">
        <v>529</v>
      </c>
      <c r="H19" s="164" t="s">
        <v>517</v>
      </c>
      <c r="I19" s="164" t="s">
        <v>526</v>
      </c>
    </row>
    <row r="20" spans="2:9">
      <c r="B20" s="164" t="s">
        <v>515</v>
      </c>
      <c r="C20" s="164" t="s">
        <v>538</v>
      </c>
      <c r="D20" s="164" t="s">
        <v>532</v>
      </c>
      <c r="E20" s="164" t="s">
        <v>537</v>
      </c>
      <c r="F20" s="164">
        <v>618</v>
      </c>
      <c r="G20" s="164">
        <v>418</v>
      </c>
      <c r="H20" s="164" t="s">
        <v>517</v>
      </c>
      <c r="I20" s="164" t="s">
        <v>526</v>
      </c>
    </row>
    <row r="21" spans="2:8">
      <c r="B21" s="164" t="s">
        <v>515</v>
      </c>
      <c r="C21" s="164" t="s">
        <v>539</v>
      </c>
      <c r="F21" s="164">
        <v>30</v>
      </c>
      <c r="G21" s="164">
        <v>30</v>
      </c>
      <c r="H21" s="164" t="s">
        <v>540</v>
      </c>
    </row>
    <row r="22" spans="2:8">
      <c r="B22" s="164" t="s">
        <v>515</v>
      </c>
      <c r="C22" s="164" t="s">
        <v>541</v>
      </c>
      <c r="F22" s="164">
        <v>90</v>
      </c>
      <c r="G22" s="164">
        <v>78</v>
      </c>
      <c r="H22" s="164" t="s">
        <v>540</v>
      </c>
    </row>
    <row r="23" spans="2:8">
      <c r="B23" s="164" t="s">
        <v>515</v>
      </c>
      <c r="C23" s="164" t="s">
        <v>542</v>
      </c>
      <c r="F23" s="164">
        <v>160</v>
      </c>
      <c r="G23" s="164">
        <v>153</v>
      </c>
      <c r="H23" s="164" t="s">
        <v>540</v>
      </c>
    </row>
    <row r="24" spans="2:8">
      <c r="B24" s="164" t="s">
        <v>515</v>
      </c>
      <c r="C24" s="164" t="s">
        <v>543</v>
      </c>
      <c r="F24" s="164">
        <v>300</v>
      </c>
      <c r="G24" s="164">
        <v>248</v>
      </c>
      <c r="H24" s="164" t="s">
        <v>540</v>
      </c>
    </row>
    <row r="25" spans="2:9">
      <c r="B25" s="164" t="s">
        <v>515</v>
      </c>
      <c r="C25" s="164" t="s">
        <v>544</v>
      </c>
      <c r="F25" s="164">
        <v>10</v>
      </c>
      <c r="G25" s="164" t="s">
        <v>529</v>
      </c>
      <c r="H25" s="164" t="s">
        <v>517</v>
      </c>
      <c r="I25" s="164" t="s">
        <v>526</v>
      </c>
    </row>
    <row r="26" spans="2:9">
      <c r="B26" s="164" t="s">
        <v>515</v>
      </c>
      <c r="C26" s="164" t="s">
        <v>545</v>
      </c>
      <c r="F26" s="164">
        <v>200</v>
      </c>
      <c r="G26" s="164" t="s">
        <v>529</v>
      </c>
      <c r="H26" s="164" t="s">
        <v>517</v>
      </c>
      <c r="I26" s="164" t="s">
        <v>526</v>
      </c>
    </row>
    <row r="27" spans="2:9">
      <c r="B27" s="164" t="s">
        <v>546</v>
      </c>
      <c r="C27" s="164" t="s">
        <v>516</v>
      </c>
      <c r="F27" s="164">
        <v>30</v>
      </c>
      <c r="G27" s="164">
        <v>30</v>
      </c>
      <c r="H27" s="164" t="s">
        <v>517</v>
      </c>
      <c r="I27" s="164" t="s">
        <v>518</v>
      </c>
    </row>
    <row r="28" spans="2:9">
      <c r="B28" s="164" t="s">
        <v>546</v>
      </c>
      <c r="C28" s="164" t="s">
        <v>519</v>
      </c>
      <c r="F28" s="164">
        <v>90</v>
      </c>
      <c r="G28" s="164">
        <v>90</v>
      </c>
      <c r="H28" s="164" t="s">
        <v>517</v>
      </c>
      <c r="I28" s="164" t="s">
        <v>518</v>
      </c>
    </row>
    <row r="29" spans="2:9">
      <c r="B29" s="164" t="s">
        <v>546</v>
      </c>
      <c r="C29" s="164" t="s">
        <v>521</v>
      </c>
      <c r="F29" s="164">
        <v>360</v>
      </c>
      <c r="G29" s="164">
        <v>360</v>
      </c>
      <c r="H29" s="164" t="s">
        <v>517</v>
      </c>
      <c r="I29" s="164" t="s">
        <v>518</v>
      </c>
    </row>
    <row r="30" spans="2:2">
      <c r="B30" s="164" t="s">
        <v>547</v>
      </c>
    </row>
    <row r="36" ht="14.25" spans="2:2">
      <c r="B36" s="164" t="s">
        <v>548</v>
      </c>
    </row>
    <row r="37" ht="29.25" spans="2:9">
      <c r="B37" s="166" t="s">
        <v>549</v>
      </c>
      <c r="C37" s="166" t="s">
        <v>550</v>
      </c>
      <c r="D37" s="166" t="s">
        <v>551</v>
      </c>
      <c r="E37" s="164" t="s">
        <v>552</v>
      </c>
      <c r="F37" s="164" t="s">
        <v>553</v>
      </c>
      <c r="G37" s="164" t="s">
        <v>554</v>
      </c>
      <c r="H37" s="164" t="s">
        <v>555</v>
      </c>
      <c r="I37" s="164" t="s">
        <v>556</v>
      </c>
    </row>
    <row r="38" ht="15" spans="2:9">
      <c r="B38" s="167" t="s">
        <v>557</v>
      </c>
      <c r="C38" s="167" t="s">
        <v>558</v>
      </c>
      <c r="D38" s="167" t="s">
        <v>559</v>
      </c>
      <c r="E38" s="168">
        <v>68</v>
      </c>
      <c r="F38" s="168">
        <v>78</v>
      </c>
      <c r="G38" s="164">
        <f>68*0.64</f>
        <v>43.52</v>
      </c>
      <c r="H38" s="164">
        <f>78*0.6</f>
        <v>46.8</v>
      </c>
      <c r="I38" s="170">
        <f>(H38-G38)/G38</f>
        <v>0.0753676470588234</v>
      </c>
    </row>
    <row r="39" ht="15" spans="2:9">
      <c r="B39" s="167" t="s">
        <v>557</v>
      </c>
      <c r="C39" s="167" t="s">
        <v>560</v>
      </c>
      <c r="D39" s="167" t="s">
        <v>561</v>
      </c>
      <c r="E39" s="168">
        <v>138</v>
      </c>
      <c r="F39" s="168">
        <v>148</v>
      </c>
      <c r="G39" s="164">
        <f>E39*0.6</f>
        <v>82.8</v>
      </c>
      <c r="H39" s="164">
        <f>F39*0.6</f>
        <v>88.8</v>
      </c>
      <c r="I39" s="170">
        <f>(H39-G39)/G39</f>
        <v>0.072463768115942</v>
      </c>
    </row>
    <row r="40" ht="15" spans="2:9">
      <c r="B40" s="167" t="s">
        <v>557</v>
      </c>
      <c r="C40" s="167" t="s">
        <v>562</v>
      </c>
      <c r="D40" s="167" t="s">
        <v>563</v>
      </c>
      <c r="E40" s="168">
        <v>253</v>
      </c>
      <c r="F40" s="168">
        <v>258</v>
      </c>
      <c r="G40" s="164">
        <f>E40*0.6</f>
        <v>151.8</v>
      </c>
      <c r="H40" s="164">
        <f>F40*0.6</f>
        <v>154.8</v>
      </c>
      <c r="I40" s="170">
        <f>(H40-G40)/G40</f>
        <v>0.0197628458498024</v>
      </c>
    </row>
    <row r="42" ht="14.25" spans="2:2">
      <c r="B42" s="169" t="s">
        <v>564</v>
      </c>
    </row>
    <row r="43" ht="14.25" spans="2:2">
      <c r="B43" s="169" t="s">
        <v>565</v>
      </c>
    </row>
    <row r="44" ht="14.25" spans="2:2">
      <c r="B44" s="169" t="s">
        <v>566</v>
      </c>
    </row>
    <row r="49" spans="2:2">
      <c r="B49" s="164" t="s">
        <v>567</v>
      </c>
    </row>
    <row r="77" spans="2:5">
      <c r="B77" s="164" t="s">
        <v>568</v>
      </c>
      <c r="C77" s="164">
        <v>46.8</v>
      </c>
      <c r="D77" s="164">
        <v>50.7</v>
      </c>
      <c r="E77" s="170">
        <f>D77/C77</f>
        <v>1.08333333333333</v>
      </c>
    </row>
    <row r="78" spans="2:5">
      <c r="B78" s="164" t="s">
        <v>569</v>
      </c>
      <c r="C78" s="164">
        <v>88.8</v>
      </c>
      <c r="D78" s="164">
        <v>96.2</v>
      </c>
      <c r="E78" s="170">
        <f>D78/C78</f>
        <v>1.08333333333333</v>
      </c>
    </row>
    <row r="79" spans="2:5">
      <c r="B79" s="164" t="s">
        <v>570</v>
      </c>
      <c r="C79" s="164">
        <v>154.8</v>
      </c>
      <c r="D79" s="164">
        <v>167.7</v>
      </c>
      <c r="E79" s="170">
        <f>D79/C79</f>
        <v>1.08333333333333</v>
      </c>
    </row>
    <row r="124" spans="3:5">
      <c r="C124" s="164" t="s">
        <v>571</v>
      </c>
      <c r="D124" s="164" t="s">
        <v>572</v>
      </c>
      <c r="E124" s="164" t="s">
        <v>573</v>
      </c>
    </row>
    <row r="125" spans="2:3">
      <c r="B125" s="164" t="s">
        <v>574</v>
      </c>
      <c r="C125" s="164">
        <v>5</v>
      </c>
    </row>
    <row r="126" spans="2:3">
      <c r="B126" s="164" t="s">
        <v>575</v>
      </c>
      <c r="C126" s="164">
        <v>10</v>
      </c>
    </row>
    <row r="127" spans="2:5">
      <c r="B127" s="164" t="s">
        <v>576</v>
      </c>
      <c r="C127" s="164">
        <v>20</v>
      </c>
      <c r="D127" s="164">
        <v>25</v>
      </c>
      <c r="E127" s="171">
        <f>(D127-C127)/C127</f>
        <v>0.25</v>
      </c>
    </row>
    <row r="128" spans="2:5">
      <c r="B128" s="164" t="s">
        <v>568</v>
      </c>
      <c r="C128" s="164">
        <v>58</v>
      </c>
      <c r="D128" s="164">
        <v>73</v>
      </c>
      <c r="E128" s="171">
        <f>(D128-C128)/C128</f>
        <v>0.258620689655172</v>
      </c>
    </row>
    <row r="129" spans="2:5">
      <c r="B129" s="164" t="s">
        <v>569</v>
      </c>
      <c r="C129" s="164">
        <v>110</v>
      </c>
      <c r="D129" s="164">
        <v>138</v>
      </c>
      <c r="E129" s="171">
        <f>(D129-C129)/C129</f>
        <v>0.254545454545455</v>
      </c>
    </row>
    <row r="130" spans="2:5">
      <c r="B130" s="164" t="s">
        <v>570</v>
      </c>
      <c r="C130" s="164">
        <v>218</v>
      </c>
      <c r="D130" s="164">
        <v>238</v>
      </c>
      <c r="E130" s="171">
        <f>(D130-C130)/C130</f>
        <v>0.0917431192660551</v>
      </c>
    </row>
  </sheetData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topLeftCell="H1" workbookViewId="0">
      <pane ySplit="1" topLeftCell="A38" activePane="bottomLeft" state="frozen"/>
      <selection/>
      <selection pane="bottomLeft" activeCell="AA53" sqref="AA53"/>
    </sheetView>
  </sheetViews>
  <sheetFormatPr defaultColWidth="9" defaultRowHeight="13.5"/>
  <cols>
    <col min="5" max="6" width="15.625" customWidth="1"/>
    <col min="7" max="8" width="13.875" customWidth="1"/>
    <col min="12" max="12" width="13.375" customWidth="1"/>
    <col min="16" max="16" width="9" style="21"/>
    <col min="17" max="17" width="9.375" style="11"/>
    <col min="18" max="18" width="18.625" style="20" hidden="1" customWidth="1"/>
    <col min="19" max="20" width="18.625" style="20" customWidth="1"/>
    <col min="21" max="21" width="9" style="127"/>
    <col min="22" max="22" width="15" style="4"/>
    <col min="23" max="25" width="10.125" style="4"/>
    <col min="26" max="26" width="12.625" style="4"/>
    <col min="28" max="28" width="10.125"/>
  </cols>
  <sheetData>
    <row r="1" ht="21" spans="1:22">
      <c r="A1" s="128" t="s">
        <v>84</v>
      </c>
      <c r="B1" s="129" t="s">
        <v>451</v>
      </c>
      <c r="C1" s="129" t="s">
        <v>162</v>
      </c>
      <c r="D1" s="130" t="s">
        <v>577</v>
      </c>
      <c r="E1" s="130" t="s">
        <v>578</v>
      </c>
      <c r="F1" s="130" t="s">
        <v>579</v>
      </c>
      <c r="G1" s="130" t="s">
        <v>580</v>
      </c>
      <c r="H1" s="130" t="s">
        <v>581</v>
      </c>
      <c r="I1" s="130" t="s">
        <v>27</v>
      </c>
      <c r="J1" s="130" t="s">
        <v>582</v>
      </c>
      <c r="K1" s="130" t="s">
        <v>583</v>
      </c>
      <c r="L1" s="130" t="s">
        <v>584</v>
      </c>
      <c r="M1" s="147" t="s">
        <v>51</v>
      </c>
      <c r="N1" s="142" t="s">
        <v>585</v>
      </c>
      <c r="O1" s="142" t="s">
        <v>302</v>
      </c>
      <c r="Q1" s="11" t="s">
        <v>84</v>
      </c>
      <c r="R1" s="20" t="s">
        <v>303</v>
      </c>
      <c r="S1" s="20" t="s">
        <v>422</v>
      </c>
      <c r="U1" s="127" t="s">
        <v>84</v>
      </c>
      <c r="V1" s="4" t="s">
        <v>422</v>
      </c>
    </row>
    <row r="2" spans="1:22">
      <c r="A2" s="128">
        <v>45658</v>
      </c>
      <c r="B2" s="129" t="s">
        <v>470</v>
      </c>
      <c r="C2" s="129" t="s">
        <v>20</v>
      </c>
      <c r="D2" s="130"/>
      <c r="E2" s="130">
        <v>90597596.2132329</v>
      </c>
      <c r="F2" s="130">
        <v>92113782.7771861</v>
      </c>
      <c r="G2" s="130">
        <v>-1516186.56395319</v>
      </c>
      <c r="H2" s="130">
        <v>-1516186.56395319</v>
      </c>
      <c r="I2" s="130"/>
      <c r="J2" s="130"/>
      <c r="K2" s="130">
        <v>0</v>
      </c>
      <c r="L2" s="130">
        <v>-1516186.56395319</v>
      </c>
      <c r="M2" s="148">
        <v>-0.0167353950582161</v>
      </c>
      <c r="N2" s="129" t="s">
        <v>586</v>
      </c>
      <c r="O2" s="129" t="s">
        <v>323</v>
      </c>
      <c r="Q2" s="24">
        <v>45658</v>
      </c>
      <c r="R2" s="20">
        <v>136241186.572233</v>
      </c>
      <c r="S2" s="20">
        <v>-747239.821253189</v>
      </c>
      <c r="U2" s="127">
        <v>45658</v>
      </c>
      <c r="V2" s="4">
        <v>-747239.821253189</v>
      </c>
    </row>
    <row r="3" spans="1:22">
      <c r="A3" s="128">
        <v>45658</v>
      </c>
      <c r="B3" s="129" t="s">
        <v>503</v>
      </c>
      <c r="C3" s="129" t="s">
        <v>20</v>
      </c>
      <c r="D3" s="130"/>
      <c r="E3" s="130">
        <v>20202421.6827999</v>
      </c>
      <c r="F3" s="130">
        <v>19844156.7859999</v>
      </c>
      <c r="G3" s="130">
        <v>358264.8968</v>
      </c>
      <c r="H3" s="130">
        <v>358264.8968</v>
      </c>
      <c r="I3" s="130"/>
      <c r="J3" s="130"/>
      <c r="K3" s="130">
        <v>0</v>
      </c>
      <c r="L3" s="130">
        <v>358264.8968</v>
      </c>
      <c r="M3" s="148">
        <v>0.017733759963293</v>
      </c>
      <c r="N3" s="129" t="s">
        <v>587</v>
      </c>
      <c r="O3" s="129" t="s">
        <v>323</v>
      </c>
      <c r="Q3" s="24">
        <v>45689</v>
      </c>
      <c r="R3" s="20">
        <v>108037503.378978</v>
      </c>
      <c r="S3" s="20">
        <v>4999639.9420639</v>
      </c>
      <c r="U3" s="127">
        <v>45689</v>
      </c>
      <c r="V3" s="4">
        <v>4999639.9420639</v>
      </c>
    </row>
    <row r="4" spans="1:22">
      <c r="A4" s="128">
        <v>45658</v>
      </c>
      <c r="B4" s="129" t="s">
        <v>588</v>
      </c>
      <c r="C4" s="129" t="s">
        <v>20</v>
      </c>
      <c r="D4" s="130"/>
      <c r="E4" s="130">
        <v>10003216.808</v>
      </c>
      <c r="F4" s="130">
        <v>9804994.8503</v>
      </c>
      <c r="G4" s="130">
        <v>198221.957700001</v>
      </c>
      <c r="H4" s="130">
        <v>198221.957700001</v>
      </c>
      <c r="I4" s="130"/>
      <c r="J4" s="130"/>
      <c r="K4" s="130">
        <v>0</v>
      </c>
      <c r="L4" s="130">
        <v>198221.957700001</v>
      </c>
      <c r="M4" s="148">
        <v>0.0198158214007193</v>
      </c>
      <c r="N4" s="129" t="s">
        <v>589</v>
      </c>
      <c r="O4" s="129" t="s">
        <v>323</v>
      </c>
      <c r="Q4" s="24">
        <v>45717</v>
      </c>
      <c r="R4" s="20">
        <v>199669043.182717</v>
      </c>
      <c r="S4" s="20">
        <v>2719599.25245508</v>
      </c>
      <c r="U4" s="127">
        <v>45717</v>
      </c>
      <c r="V4" s="4">
        <v>2719599.25245508</v>
      </c>
    </row>
    <row r="5" spans="1:22">
      <c r="A5" s="128">
        <v>45658</v>
      </c>
      <c r="B5" s="129" t="s">
        <v>590</v>
      </c>
      <c r="C5" s="129" t="s">
        <v>20</v>
      </c>
      <c r="D5" s="130"/>
      <c r="E5" s="130">
        <v>15437951.8681999</v>
      </c>
      <c r="F5" s="130">
        <v>15225491.9799999</v>
      </c>
      <c r="G5" s="130">
        <v>212459.8882</v>
      </c>
      <c r="H5" s="130">
        <v>212459.8882</v>
      </c>
      <c r="I5" s="130"/>
      <c r="J5" s="130"/>
      <c r="K5" s="130">
        <v>0</v>
      </c>
      <c r="L5" s="130">
        <v>212459.8882</v>
      </c>
      <c r="M5" s="148">
        <v>0.0137621810207634</v>
      </c>
      <c r="N5" s="129" t="s">
        <v>591</v>
      </c>
      <c r="O5" s="129" t="s">
        <v>323</v>
      </c>
      <c r="Q5" s="24">
        <v>45748</v>
      </c>
      <c r="R5" s="20">
        <v>176167078.212519</v>
      </c>
      <c r="S5" s="20">
        <v>2018298.54475272</v>
      </c>
      <c r="U5" s="127">
        <v>45748</v>
      </c>
      <c r="V5" s="4">
        <v>2018298.54475272</v>
      </c>
    </row>
    <row r="6" spans="1:22">
      <c r="A6" s="128">
        <v>45689</v>
      </c>
      <c r="B6" s="129" t="s">
        <v>470</v>
      </c>
      <c r="C6" s="129" t="s">
        <v>20</v>
      </c>
      <c r="D6" s="130"/>
      <c r="E6" s="130">
        <v>69109643.708478</v>
      </c>
      <c r="F6" s="130">
        <v>64799546.3999999</v>
      </c>
      <c r="G6" s="130">
        <v>4310097.3084781</v>
      </c>
      <c r="H6" s="130">
        <v>4310097.3084781</v>
      </c>
      <c r="I6" s="130"/>
      <c r="J6" s="130"/>
      <c r="K6" s="130">
        <v>0</v>
      </c>
      <c r="L6" s="130">
        <v>4310097.3084781</v>
      </c>
      <c r="M6" s="148">
        <v>0.0623660762405198</v>
      </c>
      <c r="N6" s="129" t="s">
        <v>586</v>
      </c>
      <c r="O6" s="129" t="s">
        <v>323</v>
      </c>
      <c r="Q6" s="11" t="s">
        <v>319</v>
      </c>
      <c r="R6" s="20">
        <v>620114811.346447</v>
      </c>
      <c r="S6" s="20">
        <v>8990297.91801852</v>
      </c>
      <c r="U6" s="127" t="s">
        <v>319</v>
      </c>
      <c r="V6" s="4">
        <v>8990297.91801852</v>
      </c>
    </row>
    <row r="7" spans="1:15">
      <c r="A7" s="128">
        <v>45689</v>
      </c>
      <c r="B7" s="129" t="s">
        <v>503</v>
      </c>
      <c r="C7" s="129" t="s">
        <v>20</v>
      </c>
      <c r="D7" s="130"/>
      <c r="E7" s="130">
        <v>24852032.382</v>
      </c>
      <c r="F7" s="130">
        <v>24532127.5690999</v>
      </c>
      <c r="G7" s="130">
        <v>319904.8129001</v>
      </c>
      <c r="H7" s="130">
        <v>319904.8129001</v>
      </c>
      <c r="I7" s="130"/>
      <c r="J7" s="130"/>
      <c r="K7" s="130">
        <v>0</v>
      </c>
      <c r="L7" s="130">
        <v>319904.8129001</v>
      </c>
      <c r="M7" s="148">
        <v>0.0128723803342459</v>
      </c>
      <c r="N7" s="129" t="s">
        <v>587</v>
      </c>
      <c r="O7" s="129" t="s">
        <v>323</v>
      </c>
    </row>
    <row r="8" spans="1:15">
      <c r="A8" s="128">
        <v>45689</v>
      </c>
      <c r="B8" s="129" t="s">
        <v>588</v>
      </c>
      <c r="C8" s="129" t="s">
        <v>20</v>
      </c>
      <c r="D8" s="130"/>
      <c r="E8" s="130">
        <v>8837897.64449999</v>
      </c>
      <c r="F8" s="130">
        <v>8661417.9911</v>
      </c>
      <c r="G8" s="130">
        <v>176479.653399989</v>
      </c>
      <c r="H8" s="130">
        <v>176479.653399989</v>
      </c>
      <c r="I8" s="130"/>
      <c r="J8" s="130"/>
      <c r="K8" s="130">
        <v>0</v>
      </c>
      <c r="L8" s="130">
        <v>176479.653399989</v>
      </c>
      <c r="M8" s="148">
        <v>0.0199685106683506</v>
      </c>
      <c r="N8" s="129" t="s">
        <v>589</v>
      </c>
      <c r="O8" s="129" t="s">
        <v>323</v>
      </c>
    </row>
    <row r="9" spans="1:15">
      <c r="A9" s="128">
        <v>45689</v>
      </c>
      <c r="B9" s="129" t="s">
        <v>590</v>
      </c>
      <c r="C9" s="129" t="s">
        <v>20</v>
      </c>
      <c r="D9" s="130"/>
      <c r="E9" s="130">
        <v>5237929.64399999</v>
      </c>
      <c r="F9" s="130">
        <v>5044771.47671428</v>
      </c>
      <c r="G9" s="130">
        <v>193158.16728571</v>
      </c>
      <c r="H9" s="130">
        <v>193158.16728571</v>
      </c>
      <c r="I9" s="130"/>
      <c r="J9" s="130"/>
      <c r="K9" s="130">
        <v>0</v>
      </c>
      <c r="L9" s="130">
        <v>193158.16728571</v>
      </c>
      <c r="M9" s="148">
        <v>0.0368768159203839</v>
      </c>
      <c r="N9" s="129" t="s">
        <v>591</v>
      </c>
      <c r="O9" s="129" t="s">
        <v>323</v>
      </c>
    </row>
    <row r="10" spans="1:15">
      <c r="A10" s="128">
        <v>45717</v>
      </c>
      <c r="B10" s="129" t="s">
        <v>590</v>
      </c>
      <c r="C10" s="129" t="s">
        <v>20</v>
      </c>
      <c r="D10" s="130"/>
      <c r="E10" s="130">
        <v>25774731.4176</v>
      </c>
      <c r="F10" s="130">
        <v>25535316.5297619</v>
      </c>
      <c r="G10" s="130">
        <v>239414.887838093</v>
      </c>
      <c r="H10" s="130">
        <v>239414.887838093</v>
      </c>
      <c r="I10" s="130"/>
      <c r="J10" s="130"/>
      <c r="K10" s="130">
        <v>0</v>
      </c>
      <c r="L10" s="130">
        <v>239414.887838093</v>
      </c>
      <c r="M10" s="148">
        <v>0.00928874423399854</v>
      </c>
      <c r="N10" s="129" t="s">
        <v>591</v>
      </c>
      <c r="O10" s="129" t="s">
        <v>323</v>
      </c>
    </row>
    <row r="11" spans="1:15">
      <c r="A11" s="128">
        <v>45717</v>
      </c>
      <c r="B11" s="129" t="s">
        <v>588</v>
      </c>
      <c r="C11" s="129" t="s">
        <v>20</v>
      </c>
      <c r="D11" s="130"/>
      <c r="E11" s="130">
        <v>8366262.88109999</v>
      </c>
      <c r="F11" s="130">
        <v>8189757.5972</v>
      </c>
      <c r="G11" s="130">
        <v>176505.28389999</v>
      </c>
      <c r="H11" s="130">
        <v>176505.28389999</v>
      </c>
      <c r="I11" s="130"/>
      <c r="J11" s="130"/>
      <c r="K11" s="130">
        <v>0</v>
      </c>
      <c r="L11" s="130">
        <v>176505.28389999</v>
      </c>
      <c r="M11" s="148">
        <v>0.0210972672516338</v>
      </c>
      <c r="N11" s="129" t="s">
        <v>589</v>
      </c>
      <c r="O11" s="129" t="s">
        <v>323</v>
      </c>
    </row>
    <row r="12" spans="1:15">
      <c r="A12" s="128">
        <v>45717</v>
      </c>
      <c r="B12" s="129" t="s">
        <v>503</v>
      </c>
      <c r="C12" s="129" t="s">
        <v>20</v>
      </c>
      <c r="D12" s="130"/>
      <c r="E12" s="130">
        <v>73862586.6826619</v>
      </c>
      <c r="F12" s="130">
        <v>72618086.5763</v>
      </c>
      <c r="G12" s="130">
        <v>1244500.1063619</v>
      </c>
      <c r="H12" s="130">
        <v>1244500.1063619</v>
      </c>
      <c r="I12" s="130"/>
      <c r="J12" s="130"/>
      <c r="K12" s="130">
        <v>0</v>
      </c>
      <c r="L12" s="130">
        <v>1244500.1063619</v>
      </c>
      <c r="M12" s="148">
        <v>0.0168488562647919</v>
      </c>
      <c r="N12" s="129" t="s">
        <v>587</v>
      </c>
      <c r="O12" s="129" t="s">
        <v>323</v>
      </c>
    </row>
    <row r="13" spans="1:15">
      <c r="A13" s="128">
        <v>45717</v>
      </c>
      <c r="B13" s="129" t="s">
        <v>470</v>
      </c>
      <c r="C13" s="129" t="s">
        <v>20</v>
      </c>
      <c r="D13" s="130"/>
      <c r="E13" s="130">
        <v>91665462.201355</v>
      </c>
      <c r="F13" s="130">
        <v>90606283.2269999</v>
      </c>
      <c r="G13" s="130">
        <v>1059178.9743551</v>
      </c>
      <c r="H13" s="130">
        <v>1059178.9743551</v>
      </c>
      <c r="I13" s="130"/>
      <c r="J13" s="130"/>
      <c r="K13" s="130">
        <v>0</v>
      </c>
      <c r="L13" s="130">
        <v>1059178.9743551</v>
      </c>
      <c r="M13" s="148">
        <v>0.0115548315463514</v>
      </c>
      <c r="N13" s="129" t="s">
        <v>586</v>
      </c>
      <c r="O13" s="129" t="s">
        <v>323</v>
      </c>
    </row>
    <row r="14" spans="1:15">
      <c r="A14" s="131">
        <v>45748</v>
      </c>
      <c r="B14" s="132" t="s">
        <v>590</v>
      </c>
      <c r="C14" s="132" t="s">
        <v>20</v>
      </c>
      <c r="D14" s="133"/>
      <c r="E14" s="133">
        <v>20065149.7824</v>
      </c>
      <c r="F14" s="133">
        <v>19878292.9816667</v>
      </c>
      <c r="G14" s="133">
        <v>186856.800733333</v>
      </c>
      <c r="H14" s="133">
        <v>186856.800733333</v>
      </c>
      <c r="I14" s="133"/>
      <c r="J14" s="133"/>
      <c r="K14" s="133">
        <v>0</v>
      </c>
      <c r="L14" s="133">
        <v>186856.800733333</v>
      </c>
      <c r="M14" s="149">
        <v>0.00931250465407605</v>
      </c>
      <c r="N14" s="129" t="s">
        <v>591</v>
      </c>
      <c r="O14" s="129" t="s">
        <v>323</v>
      </c>
    </row>
    <row r="15" spans="1:15">
      <c r="A15" s="131">
        <v>45748</v>
      </c>
      <c r="B15" s="132" t="s">
        <v>588</v>
      </c>
      <c r="C15" s="132" t="s">
        <v>20</v>
      </c>
      <c r="D15" s="133"/>
      <c r="E15" s="133">
        <v>6679401.79229999</v>
      </c>
      <c r="F15" s="133">
        <v>6544012.9132</v>
      </c>
      <c r="G15" s="133">
        <v>135388.879099989</v>
      </c>
      <c r="H15" s="133">
        <v>135388.879099989</v>
      </c>
      <c r="I15" s="133"/>
      <c r="J15" s="133"/>
      <c r="K15" s="133">
        <v>0</v>
      </c>
      <c r="L15" s="133">
        <v>135388.879099989</v>
      </c>
      <c r="M15" s="149">
        <v>0.0202696114577304</v>
      </c>
      <c r="N15" s="129" t="s">
        <v>589</v>
      </c>
      <c r="O15" s="129" t="s">
        <v>323</v>
      </c>
    </row>
    <row r="16" spans="1:15">
      <c r="A16" s="131">
        <v>45748</v>
      </c>
      <c r="B16" s="132" t="s">
        <v>503</v>
      </c>
      <c r="C16" s="132" t="s">
        <v>20</v>
      </c>
      <c r="D16" s="133"/>
      <c r="E16" s="133">
        <v>53799523.7891666</v>
      </c>
      <c r="F16" s="133">
        <v>52857505.3298999</v>
      </c>
      <c r="G16" s="133">
        <v>942018.459266702</v>
      </c>
      <c r="H16" s="133">
        <v>942018.459266702</v>
      </c>
      <c r="I16" s="133"/>
      <c r="J16" s="133"/>
      <c r="K16" s="133">
        <v>0</v>
      </c>
      <c r="L16" s="133">
        <v>942018.459266702</v>
      </c>
      <c r="M16" s="149">
        <v>0.0175097917773092</v>
      </c>
      <c r="N16" s="129" t="s">
        <v>587</v>
      </c>
      <c r="O16" s="129" t="s">
        <v>323</v>
      </c>
    </row>
    <row r="17" spans="1:15">
      <c r="A17" s="131">
        <v>45748</v>
      </c>
      <c r="B17" s="132" t="s">
        <v>470</v>
      </c>
      <c r="C17" s="132" t="s">
        <v>20</v>
      </c>
      <c r="D17" s="133"/>
      <c r="E17" s="133">
        <v>95623002.8486527</v>
      </c>
      <c r="F17" s="133">
        <v>94868968.443</v>
      </c>
      <c r="G17" s="133">
        <v>754034.405652699</v>
      </c>
      <c r="H17" s="133">
        <v>754034.405652699</v>
      </c>
      <c r="I17" s="133"/>
      <c r="J17" s="133"/>
      <c r="K17" s="133">
        <v>0</v>
      </c>
      <c r="L17" s="133">
        <v>754034.405652699</v>
      </c>
      <c r="M17" s="149">
        <v>0.00788549180834811</v>
      </c>
      <c r="N17" s="129" t="s">
        <v>586</v>
      </c>
      <c r="O17" s="129" t="s">
        <v>323</v>
      </c>
    </row>
    <row r="22" ht="36" spans="1:26">
      <c r="A22" s="134" t="s">
        <v>592</v>
      </c>
      <c r="B22" s="135" t="s">
        <v>451</v>
      </c>
      <c r="C22" s="136" t="s">
        <v>162</v>
      </c>
      <c r="D22" s="137" t="s">
        <v>577</v>
      </c>
      <c r="E22" s="137" t="s">
        <v>578</v>
      </c>
      <c r="F22" s="137" t="s">
        <v>579</v>
      </c>
      <c r="G22" s="137" t="s">
        <v>580</v>
      </c>
      <c r="H22" s="137" t="s">
        <v>581</v>
      </c>
      <c r="I22" s="137" t="s">
        <v>27</v>
      </c>
      <c r="J22" s="137" t="s">
        <v>582</v>
      </c>
      <c r="K22" s="137" t="s">
        <v>583</v>
      </c>
      <c r="L22" s="137" t="s">
        <v>584</v>
      </c>
      <c r="M22" s="150" t="s">
        <v>51</v>
      </c>
      <c r="N22" s="135" t="s">
        <v>585</v>
      </c>
      <c r="O22" s="135" t="s">
        <v>302</v>
      </c>
      <c r="Q22" s="11" t="s">
        <v>592</v>
      </c>
      <c r="R22" s="20" t="s">
        <v>303</v>
      </c>
      <c r="S22" s="20" t="s">
        <v>422</v>
      </c>
      <c r="U22" s="127" t="s">
        <v>592</v>
      </c>
      <c r="V22" s="4" t="s">
        <v>422</v>
      </c>
      <c r="W22" s="4" t="s">
        <v>304</v>
      </c>
      <c r="Y22" s="4" t="s">
        <v>593</v>
      </c>
      <c r="Z22" s="4" t="s">
        <v>71</v>
      </c>
    </row>
    <row r="23" spans="1:26">
      <c r="A23" s="138" t="s">
        <v>594</v>
      </c>
      <c r="B23" s="125" t="s">
        <v>470</v>
      </c>
      <c r="C23" s="139" t="s">
        <v>20</v>
      </c>
      <c r="D23" s="18">
        <v>0</v>
      </c>
      <c r="E23" s="18">
        <v>49664137.91</v>
      </c>
      <c r="F23" s="18">
        <v>49223724.66</v>
      </c>
      <c r="G23" s="18">
        <v>440413.249999993</v>
      </c>
      <c r="H23" s="18">
        <v>440413.249999993</v>
      </c>
      <c r="I23" s="18">
        <v>0</v>
      </c>
      <c r="J23" s="18">
        <v>0</v>
      </c>
      <c r="K23" s="18">
        <v>0</v>
      </c>
      <c r="L23" s="18">
        <v>440413.249999993</v>
      </c>
      <c r="M23" s="151">
        <v>0.00886783237429989</v>
      </c>
      <c r="N23" s="125" t="s">
        <v>586</v>
      </c>
      <c r="O23" s="125" t="s">
        <v>323</v>
      </c>
      <c r="Q23" s="11" t="s">
        <v>594</v>
      </c>
      <c r="R23" s="20">
        <v>70673890.2</v>
      </c>
      <c r="S23" s="20">
        <v>747435.079999991</v>
      </c>
      <c r="U23" s="127" t="s">
        <v>594</v>
      </c>
      <c r="V23" s="4">
        <v>747435.079999991</v>
      </c>
      <c r="W23" s="157">
        <f t="shared" ref="W23:W35" si="0">V23/10000</f>
        <v>74.7435079999991</v>
      </c>
      <c r="X23" s="158">
        <v>202401</v>
      </c>
      <c r="Y23" s="159">
        <v>86.15111</v>
      </c>
      <c r="Z23" s="157">
        <f t="shared" ref="Z23:Z34" si="1">W23+Y23</f>
        <v>160.894617999999</v>
      </c>
    </row>
    <row r="24" spans="1:26">
      <c r="A24" s="138" t="s">
        <v>594</v>
      </c>
      <c r="B24" s="125" t="s">
        <v>590</v>
      </c>
      <c r="C24" s="139" t="s">
        <v>20</v>
      </c>
      <c r="D24" s="18">
        <v>0</v>
      </c>
      <c r="E24" s="18">
        <v>21009752.29</v>
      </c>
      <c r="F24" s="18">
        <v>20702730.46</v>
      </c>
      <c r="G24" s="18">
        <v>307021.829999998</v>
      </c>
      <c r="H24" s="18">
        <v>307021.829999998</v>
      </c>
      <c r="I24" s="18">
        <v>0</v>
      </c>
      <c r="J24" s="18">
        <v>0</v>
      </c>
      <c r="K24" s="18">
        <v>0</v>
      </c>
      <c r="L24" s="18">
        <v>307021.829999998</v>
      </c>
      <c r="M24" s="151">
        <v>0.0146133008025102</v>
      </c>
      <c r="N24" s="125" t="s">
        <v>591</v>
      </c>
      <c r="O24" s="125" t="s">
        <v>323</v>
      </c>
      <c r="Q24" s="11" t="s">
        <v>595</v>
      </c>
      <c r="R24" s="20">
        <v>72585836.9</v>
      </c>
      <c r="S24" s="20">
        <v>763396.77</v>
      </c>
      <c r="U24" s="127" t="s">
        <v>595</v>
      </c>
      <c r="V24" s="4">
        <v>763396.77</v>
      </c>
      <c r="W24" s="157">
        <f t="shared" si="0"/>
        <v>76.339677</v>
      </c>
      <c r="X24" s="158">
        <v>202402</v>
      </c>
      <c r="Y24" s="159">
        <v>37.8139</v>
      </c>
      <c r="Z24" s="157">
        <f t="shared" si="1"/>
        <v>114.153577</v>
      </c>
    </row>
    <row r="25" spans="1:26">
      <c r="A25" s="138" t="s">
        <v>595</v>
      </c>
      <c r="B25" s="125" t="s">
        <v>590</v>
      </c>
      <c r="C25" s="139" t="s">
        <v>20</v>
      </c>
      <c r="D25" s="18">
        <v>0</v>
      </c>
      <c r="E25" s="18">
        <v>18071089.08</v>
      </c>
      <c r="F25" s="18">
        <v>17839964.74</v>
      </c>
      <c r="G25" s="18">
        <v>231124.34</v>
      </c>
      <c r="H25" s="18">
        <v>231124.34</v>
      </c>
      <c r="I25" s="18">
        <v>0</v>
      </c>
      <c r="J25" s="18">
        <v>0</v>
      </c>
      <c r="K25" s="18">
        <v>0</v>
      </c>
      <c r="L25" s="18">
        <v>231124.34</v>
      </c>
      <c r="M25" s="152">
        <v>0.0127897294389299</v>
      </c>
      <c r="N25" s="125" t="s">
        <v>591</v>
      </c>
      <c r="O25" s="125" t="s">
        <v>323</v>
      </c>
      <c r="Q25" s="11" t="s">
        <v>596</v>
      </c>
      <c r="R25" s="20">
        <v>64736520.73</v>
      </c>
      <c r="S25" s="20">
        <v>831860.910000005</v>
      </c>
      <c r="U25" s="127" t="s">
        <v>596</v>
      </c>
      <c r="V25" s="4">
        <v>831860.910000005</v>
      </c>
      <c r="W25" s="157">
        <f t="shared" si="0"/>
        <v>83.1860910000005</v>
      </c>
      <c r="X25" s="158">
        <v>202403</v>
      </c>
      <c r="Y25" s="159">
        <v>285.913067</v>
      </c>
      <c r="Z25" s="157">
        <f t="shared" si="1"/>
        <v>369.099158000001</v>
      </c>
    </row>
    <row r="26" spans="1:26">
      <c r="A26" s="138" t="s">
        <v>595</v>
      </c>
      <c r="B26" s="125" t="s">
        <v>470</v>
      </c>
      <c r="C26" s="139" t="s">
        <v>20</v>
      </c>
      <c r="D26" s="18">
        <v>0</v>
      </c>
      <c r="E26" s="18">
        <v>54514747.82</v>
      </c>
      <c r="F26" s="18">
        <v>53982475.39</v>
      </c>
      <c r="G26" s="18">
        <v>532272.43</v>
      </c>
      <c r="H26" s="18">
        <v>532272.43</v>
      </c>
      <c r="I26" s="18">
        <v>0</v>
      </c>
      <c r="J26" s="18">
        <v>0</v>
      </c>
      <c r="K26" s="18">
        <v>0</v>
      </c>
      <c r="L26" s="18">
        <v>532272.43</v>
      </c>
      <c r="M26" s="152">
        <v>0.00976382449309842</v>
      </c>
      <c r="N26" s="125" t="s">
        <v>586</v>
      </c>
      <c r="O26" s="125" t="s">
        <v>323</v>
      </c>
      <c r="Q26" s="11" t="s">
        <v>597</v>
      </c>
      <c r="R26" s="20">
        <v>31100742.85</v>
      </c>
      <c r="S26" s="20">
        <v>215735.470000003</v>
      </c>
      <c r="U26" s="127" t="s">
        <v>597</v>
      </c>
      <c r="V26" s="4">
        <v>215735.470000003</v>
      </c>
      <c r="W26" s="157">
        <f t="shared" si="0"/>
        <v>21.5735470000003</v>
      </c>
      <c r="X26" s="158">
        <v>202404</v>
      </c>
      <c r="Y26" s="159">
        <v>252.457123</v>
      </c>
      <c r="Z26" s="157">
        <f t="shared" si="1"/>
        <v>274.03067</v>
      </c>
    </row>
    <row r="27" spans="1:26">
      <c r="A27" s="138" t="s">
        <v>596</v>
      </c>
      <c r="B27" s="125" t="s">
        <v>590</v>
      </c>
      <c r="C27" s="139" t="s">
        <v>20</v>
      </c>
      <c r="D27" s="18">
        <v>0</v>
      </c>
      <c r="E27" s="18">
        <v>15308238.21</v>
      </c>
      <c r="F27" s="18">
        <v>15066603.1</v>
      </c>
      <c r="G27" s="18">
        <v>241635.110000001</v>
      </c>
      <c r="H27" s="18">
        <v>241635.110000001</v>
      </c>
      <c r="I27" s="18">
        <v>0</v>
      </c>
      <c r="J27" s="18">
        <v>0</v>
      </c>
      <c r="K27" s="18">
        <v>0</v>
      </c>
      <c r="L27" s="18">
        <v>241635.109999999</v>
      </c>
      <c r="M27" s="151">
        <v>0.0157846452795693</v>
      </c>
      <c r="N27" s="125" t="s">
        <v>591</v>
      </c>
      <c r="O27" s="125" t="s">
        <v>323</v>
      </c>
      <c r="Q27" s="11" t="s">
        <v>598</v>
      </c>
      <c r="R27" s="20">
        <v>51237166.15</v>
      </c>
      <c r="S27" s="20">
        <v>-698655.390000005</v>
      </c>
      <c r="U27" s="127" t="s">
        <v>598</v>
      </c>
      <c r="V27" s="4">
        <v>-698655.390000005</v>
      </c>
      <c r="W27" s="157">
        <f t="shared" si="0"/>
        <v>-69.8655390000005</v>
      </c>
      <c r="X27" s="158">
        <v>202405</v>
      </c>
      <c r="Y27" s="159">
        <v>223.0468</v>
      </c>
      <c r="Z27" s="157">
        <f t="shared" si="1"/>
        <v>153.181260999999</v>
      </c>
    </row>
    <row r="28" spans="1:26">
      <c r="A28" s="138" t="s">
        <v>596</v>
      </c>
      <c r="B28" s="125" t="s">
        <v>470</v>
      </c>
      <c r="C28" s="139" t="s">
        <v>20</v>
      </c>
      <c r="D28" s="18">
        <v>0</v>
      </c>
      <c r="E28" s="18">
        <v>49428282.52</v>
      </c>
      <c r="F28" s="18">
        <v>48838056.72</v>
      </c>
      <c r="G28" s="18">
        <v>590225.800000004</v>
      </c>
      <c r="H28" s="18">
        <v>590225.800000004</v>
      </c>
      <c r="I28" s="18">
        <v>0</v>
      </c>
      <c r="J28" s="18">
        <v>0</v>
      </c>
      <c r="K28" s="18">
        <v>0</v>
      </c>
      <c r="L28" s="18">
        <v>590225.800000004</v>
      </c>
      <c r="M28" s="151">
        <v>0.0119410541881803</v>
      </c>
      <c r="N28" s="125" t="s">
        <v>586</v>
      </c>
      <c r="O28" s="125" t="s">
        <v>323</v>
      </c>
      <c r="Q28" s="11" t="s">
        <v>599</v>
      </c>
      <c r="R28" s="20">
        <v>107327956.7888</v>
      </c>
      <c r="S28" s="20">
        <v>826208.107099997</v>
      </c>
      <c r="U28" s="127" t="s">
        <v>599</v>
      </c>
      <c r="V28" s="4">
        <v>826208.107099997</v>
      </c>
      <c r="W28" s="157">
        <f t="shared" si="0"/>
        <v>82.6208107099997</v>
      </c>
      <c r="X28" s="158">
        <v>202406</v>
      </c>
      <c r="Y28" s="159">
        <v>251.7745</v>
      </c>
      <c r="Z28" s="157">
        <f t="shared" si="1"/>
        <v>334.39531071</v>
      </c>
    </row>
    <row r="29" spans="1:26">
      <c r="A29" s="138" t="s">
        <v>597</v>
      </c>
      <c r="B29" s="125" t="s">
        <v>470</v>
      </c>
      <c r="C29" s="139" t="s">
        <v>20</v>
      </c>
      <c r="D29" s="18">
        <v>0</v>
      </c>
      <c r="E29" s="18">
        <v>21109565.1</v>
      </c>
      <c r="F29" s="18">
        <v>20311963.15</v>
      </c>
      <c r="G29" s="18">
        <v>797601.950000003</v>
      </c>
      <c r="H29" s="18">
        <v>797601.950000003</v>
      </c>
      <c r="I29" s="18">
        <v>0</v>
      </c>
      <c r="J29" s="18">
        <v>0</v>
      </c>
      <c r="K29" s="18">
        <v>0</v>
      </c>
      <c r="L29" s="18">
        <v>797601.950000003</v>
      </c>
      <c r="M29" s="151">
        <v>0.0377839119954206</v>
      </c>
      <c r="N29" s="125" t="s">
        <v>586</v>
      </c>
      <c r="O29" s="125" t="s">
        <v>323</v>
      </c>
      <c r="Q29" s="11" t="s">
        <v>600</v>
      </c>
      <c r="R29" s="20">
        <v>131686548.027306</v>
      </c>
      <c r="S29" s="20">
        <v>5122150.46770091</v>
      </c>
      <c r="U29" s="127" t="s">
        <v>600</v>
      </c>
      <c r="V29" s="4">
        <v>5122150.46770091</v>
      </c>
      <c r="W29" s="157">
        <f t="shared" si="0"/>
        <v>512.215046770091</v>
      </c>
      <c r="X29" s="158">
        <v>202407</v>
      </c>
      <c r="Y29" s="159">
        <v>121.1368</v>
      </c>
      <c r="Z29" s="157">
        <f t="shared" si="1"/>
        <v>633.351846770091</v>
      </c>
    </row>
    <row r="30" spans="1:26">
      <c r="A30" s="138" t="s">
        <v>597</v>
      </c>
      <c r="B30" s="125" t="s">
        <v>590</v>
      </c>
      <c r="C30" s="139" t="s">
        <v>20</v>
      </c>
      <c r="D30" s="18">
        <v>0</v>
      </c>
      <c r="E30" s="18">
        <v>9991177.75</v>
      </c>
      <c r="F30" s="18">
        <v>10573044.23</v>
      </c>
      <c r="G30" s="18">
        <v>-581866.48</v>
      </c>
      <c r="H30" s="18">
        <v>-581866.48</v>
      </c>
      <c r="I30" s="18">
        <v>0</v>
      </c>
      <c r="J30" s="18">
        <v>0</v>
      </c>
      <c r="K30" s="18">
        <v>0</v>
      </c>
      <c r="L30" s="18">
        <v>-581866.48</v>
      </c>
      <c r="M30" s="151">
        <v>-0.0582380270434084</v>
      </c>
      <c r="N30" s="125" t="s">
        <v>591</v>
      </c>
      <c r="O30" s="125" t="s">
        <v>323</v>
      </c>
      <c r="Q30" s="11" t="s">
        <v>601</v>
      </c>
      <c r="R30" s="20">
        <v>109749404.112478</v>
      </c>
      <c r="S30" s="20">
        <v>945887.227178093</v>
      </c>
      <c r="U30" s="127" t="s">
        <v>601</v>
      </c>
      <c r="V30" s="4">
        <v>945887.227178093</v>
      </c>
      <c r="W30" s="157">
        <f t="shared" si="0"/>
        <v>94.5887227178093</v>
      </c>
      <c r="X30" s="158">
        <v>202408</v>
      </c>
      <c r="Y30" s="159">
        <v>44.793741</v>
      </c>
      <c r="Z30" s="157">
        <f t="shared" si="1"/>
        <v>139.382463717809</v>
      </c>
    </row>
    <row r="31" spans="1:26">
      <c r="A31" s="138" t="s">
        <v>598</v>
      </c>
      <c r="B31" s="125" t="s">
        <v>590</v>
      </c>
      <c r="C31" s="139" t="s">
        <v>20</v>
      </c>
      <c r="D31" s="18">
        <v>0</v>
      </c>
      <c r="E31" s="18">
        <v>27012687.25</v>
      </c>
      <c r="F31" s="18">
        <v>27925599.89</v>
      </c>
      <c r="G31" s="18">
        <v>-912912.640000001</v>
      </c>
      <c r="H31" s="18">
        <v>-912912.640000001</v>
      </c>
      <c r="I31" s="18">
        <v>0</v>
      </c>
      <c r="J31" s="18">
        <v>0</v>
      </c>
      <c r="K31" s="18">
        <v>0</v>
      </c>
      <c r="L31" s="18">
        <v>-912912.640000001</v>
      </c>
      <c r="M31" s="151">
        <v>-0.033795698723014</v>
      </c>
      <c r="N31" s="125" t="s">
        <v>591</v>
      </c>
      <c r="O31" s="125" t="s">
        <v>323</v>
      </c>
      <c r="Q31" s="11" t="s">
        <v>602</v>
      </c>
      <c r="R31" s="20">
        <v>54210431.4478342</v>
      </c>
      <c r="S31" s="20">
        <v>2074687.9115959</v>
      </c>
      <c r="U31" s="127" t="s">
        <v>602</v>
      </c>
      <c r="V31" s="4">
        <v>2074687.9115959</v>
      </c>
      <c r="W31" s="157">
        <f t="shared" si="0"/>
        <v>207.46879115959</v>
      </c>
      <c r="X31" s="158">
        <v>202409</v>
      </c>
      <c r="Y31" s="159">
        <v>-82.198278</v>
      </c>
      <c r="Z31" s="157">
        <f t="shared" si="1"/>
        <v>125.27051315959</v>
      </c>
    </row>
    <row r="32" spans="1:26">
      <c r="A32" s="138" t="s">
        <v>598</v>
      </c>
      <c r="B32" s="125" t="s">
        <v>470</v>
      </c>
      <c r="C32" s="139" t="s">
        <v>20</v>
      </c>
      <c r="D32" s="18">
        <v>0</v>
      </c>
      <c r="E32" s="18">
        <v>24224478.9</v>
      </c>
      <c r="F32" s="18">
        <v>24010221.65</v>
      </c>
      <c r="G32" s="18">
        <v>214257.249999996</v>
      </c>
      <c r="H32" s="18">
        <v>214257.249999996</v>
      </c>
      <c r="I32" s="18">
        <v>0</v>
      </c>
      <c r="J32" s="18">
        <v>0</v>
      </c>
      <c r="K32" s="18">
        <v>0</v>
      </c>
      <c r="L32" s="18">
        <v>214257.249999996</v>
      </c>
      <c r="M32" s="151">
        <v>0.00884465878025538</v>
      </c>
      <c r="N32" s="125" t="s">
        <v>586</v>
      </c>
      <c r="O32" s="125" t="s">
        <v>323</v>
      </c>
      <c r="Q32" s="11" t="s">
        <v>603</v>
      </c>
      <c r="R32" s="20">
        <v>104642604.7831</v>
      </c>
      <c r="S32" s="20">
        <v>1213608.3034004</v>
      </c>
      <c r="U32" s="127" t="s">
        <v>603</v>
      </c>
      <c r="V32" s="4">
        <v>1213608.3034004</v>
      </c>
      <c r="W32" s="157">
        <f t="shared" si="0"/>
        <v>121.36083034004</v>
      </c>
      <c r="X32" s="158">
        <v>202410</v>
      </c>
      <c r="Y32" s="159">
        <v>56.06441</v>
      </c>
      <c r="Z32" s="157">
        <f t="shared" si="1"/>
        <v>177.42524034004</v>
      </c>
    </row>
    <row r="33" spans="1:26">
      <c r="A33" s="755" t="s">
        <v>599</v>
      </c>
      <c r="B33" s="125" t="s">
        <v>470</v>
      </c>
      <c r="C33" s="139" t="s">
        <v>20</v>
      </c>
      <c r="D33" s="18"/>
      <c r="E33" s="18">
        <v>91622182.6662</v>
      </c>
      <c r="F33" s="18">
        <v>90850606.3135999</v>
      </c>
      <c r="G33" s="18">
        <v>771576.352600098</v>
      </c>
      <c r="H33" s="18">
        <v>771576.352600098</v>
      </c>
      <c r="I33" s="18"/>
      <c r="J33" s="18"/>
      <c r="K33" s="18">
        <v>0</v>
      </c>
      <c r="L33" s="18">
        <v>771576.352600098</v>
      </c>
      <c r="M33" s="151">
        <v>0.00842128325419972</v>
      </c>
      <c r="N33" s="125" t="s">
        <v>586</v>
      </c>
      <c r="O33" s="125" t="s">
        <v>323</v>
      </c>
      <c r="Q33" s="11" t="s">
        <v>604</v>
      </c>
      <c r="R33" s="20">
        <v>103927101.936453</v>
      </c>
      <c r="S33" s="20">
        <v>1139173.3265241</v>
      </c>
      <c r="U33" s="127" t="s">
        <v>604</v>
      </c>
      <c r="V33" s="4">
        <v>1139173.3265241</v>
      </c>
      <c r="W33" s="157">
        <f t="shared" si="0"/>
        <v>113.91733265241</v>
      </c>
      <c r="X33" s="158">
        <v>202411</v>
      </c>
      <c r="Y33" s="159">
        <v>63.384607</v>
      </c>
      <c r="Z33" s="157">
        <f t="shared" si="1"/>
        <v>177.30193965241</v>
      </c>
    </row>
    <row r="34" spans="1:26">
      <c r="A34" s="755" t="s">
        <v>599</v>
      </c>
      <c r="B34" s="125" t="s">
        <v>590</v>
      </c>
      <c r="C34" s="139" t="s">
        <v>20</v>
      </c>
      <c r="D34" s="18"/>
      <c r="E34" s="18">
        <v>15705774.1225999</v>
      </c>
      <c r="F34" s="18">
        <v>15651142.3681</v>
      </c>
      <c r="G34" s="18">
        <v>54631.7544998992</v>
      </c>
      <c r="H34" s="18">
        <v>54631.7544998992</v>
      </c>
      <c r="I34" s="18"/>
      <c r="J34" s="18"/>
      <c r="K34" s="18">
        <v>0</v>
      </c>
      <c r="L34" s="18">
        <v>54631.7544998992</v>
      </c>
      <c r="M34" s="151">
        <v>0.00347845028671886</v>
      </c>
      <c r="N34" s="125" t="s">
        <v>591</v>
      </c>
      <c r="O34" s="125" t="s">
        <v>323</v>
      </c>
      <c r="Q34" s="11" t="s">
        <v>605</v>
      </c>
      <c r="R34" s="20">
        <v>94070091.9576165</v>
      </c>
      <c r="S34" s="20">
        <v>1809055.38193879</v>
      </c>
      <c r="U34" s="127" t="s">
        <v>605</v>
      </c>
      <c r="V34" s="4">
        <v>1809055.38193879</v>
      </c>
      <c r="W34" s="157">
        <f t="shared" si="0"/>
        <v>180.905538193879</v>
      </c>
      <c r="X34" s="158">
        <v>202412</v>
      </c>
      <c r="Y34" s="159">
        <v>280.959154</v>
      </c>
      <c r="Z34" s="157">
        <f t="shared" si="1"/>
        <v>461.864692193879</v>
      </c>
    </row>
    <row r="35" spans="1:26">
      <c r="A35" s="755" t="s">
        <v>600</v>
      </c>
      <c r="B35" s="105" t="s">
        <v>470</v>
      </c>
      <c r="C35" s="140" t="s">
        <v>20</v>
      </c>
      <c r="D35" s="141"/>
      <c r="E35" s="141">
        <v>104551692.535406</v>
      </c>
      <c r="F35" s="141">
        <v>101728298.350005</v>
      </c>
      <c r="G35" s="141">
        <v>2823394.18540101</v>
      </c>
      <c r="H35" s="141">
        <v>2823394.18540101</v>
      </c>
      <c r="I35" s="141"/>
      <c r="J35" s="141"/>
      <c r="K35" s="141">
        <v>0</v>
      </c>
      <c r="L35" s="141">
        <v>2823394.18540101</v>
      </c>
      <c r="M35" s="153">
        <v>0.0270047678515092</v>
      </c>
      <c r="N35" s="105" t="s">
        <v>586</v>
      </c>
      <c r="O35" s="125" t="s">
        <v>323</v>
      </c>
      <c r="Q35" s="11" t="s">
        <v>319</v>
      </c>
      <c r="R35" s="20">
        <v>995948295.883587</v>
      </c>
      <c r="S35" s="20">
        <v>14990543.5654382</v>
      </c>
      <c r="U35" s="127" t="s">
        <v>319</v>
      </c>
      <c r="V35" s="4">
        <v>14990543.5654382</v>
      </c>
      <c r="W35" s="157">
        <f t="shared" si="0"/>
        <v>1499.05435654382</v>
      </c>
      <c r="Y35" s="157">
        <f>SUM(Y23:Y34)</f>
        <v>1621.296934</v>
      </c>
      <c r="Z35" s="157">
        <f>SUM(Z23:Z34)</f>
        <v>3120.35129054382</v>
      </c>
    </row>
    <row r="36" spans="1:15">
      <c r="A36" s="755" t="s">
        <v>600</v>
      </c>
      <c r="B36" s="105" t="s">
        <v>590</v>
      </c>
      <c r="C36" s="140" t="s">
        <v>20</v>
      </c>
      <c r="D36" s="141"/>
      <c r="E36" s="141">
        <v>27134855.4918999</v>
      </c>
      <c r="F36" s="141">
        <v>24836099.2096</v>
      </c>
      <c r="G36" s="141">
        <v>2298756.2822999</v>
      </c>
      <c r="H36" s="141">
        <v>2298756.2822999</v>
      </c>
      <c r="I36" s="141"/>
      <c r="J36" s="141"/>
      <c r="K36" s="141">
        <v>0</v>
      </c>
      <c r="L36" s="141">
        <v>2298756.2822999</v>
      </c>
      <c r="M36" s="153">
        <v>0.0847159950045104</v>
      </c>
      <c r="N36" s="105" t="s">
        <v>591</v>
      </c>
      <c r="O36" s="125" t="s">
        <v>323</v>
      </c>
    </row>
    <row r="37" spans="1:15">
      <c r="A37" s="755" t="s">
        <v>601</v>
      </c>
      <c r="B37" s="125" t="s">
        <v>470</v>
      </c>
      <c r="C37" s="139" t="s">
        <v>20</v>
      </c>
      <c r="D37" s="18"/>
      <c r="E37" s="18">
        <v>92388767.0663777</v>
      </c>
      <c r="F37" s="18">
        <v>91626538.9018996</v>
      </c>
      <c r="G37" s="18">
        <v>762228.164478093</v>
      </c>
      <c r="H37" s="18">
        <v>762228.164478093</v>
      </c>
      <c r="I37" s="18"/>
      <c r="J37" s="18"/>
      <c r="K37" s="18">
        <v>0</v>
      </c>
      <c r="L37" s="18">
        <v>762228.164478093</v>
      </c>
      <c r="M37" s="151">
        <v>0.00825022552720573</v>
      </c>
      <c r="N37" s="125" t="s">
        <v>586</v>
      </c>
      <c r="O37" s="125" t="s">
        <v>323</v>
      </c>
    </row>
    <row r="38" spans="1:15">
      <c r="A38" s="755" t="s">
        <v>601</v>
      </c>
      <c r="B38" s="125" t="s">
        <v>503</v>
      </c>
      <c r="C38" s="139" t="s">
        <v>20</v>
      </c>
      <c r="D38" s="18"/>
      <c r="E38" s="18">
        <v>2589697.73</v>
      </c>
      <c r="F38" s="18">
        <v>2545945.869</v>
      </c>
      <c r="G38" s="18">
        <v>43751.861</v>
      </c>
      <c r="H38" s="18">
        <v>43751.861</v>
      </c>
      <c r="I38" s="18"/>
      <c r="J38" s="18"/>
      <c r="K38" s="18">
        <v>0</v>
      </c>
      <c r="L38" s="18">
        <v>43751.861</v>
      </c>
      <c r="M38" s="151">
        <v>0.0168945821333365</v>
      </c>
      <c r="N38" s="125" t="s">
        <v>587</v>
      </c>
      <c r="O38" s="125" t="s">
        <v>323</v>
      </c>
    </row>
    <row r="39" spans="1:15">
      <c r="A39" s="755" t="s">
        <v>601</v>
      </c>
      <c r="B39" s="125" t="s">
        <v>588</v>
      </c>
      <c r="C39" s="139" t="s">
        <v>20</v>
      </c>
      <c r="D39" s="18"/>
      <c r="E39" s="18">
        <v>1212060.6452</v>
      </c>
      <c r="F39" s="18">
        <v>1191974.2495</v>
      </c>
      <c r="G39" s="18">
        <v>20086.3957</v>
      </c>
      <c r="H39" s="18">
        <v>20086.3957</v>
      </c>
      <c r="I39" s="18"/>
      <c r="J39" s="18"/>
      <c r="K39" s="18">
        <v>0</v>
      </c>
      <c r="L39" s="18">
        <v>20086.3957</v>
      </c>
      <c r="M39" s="151">
        <v>0.0165721045226129</v>
      </c>
      <c r="N39" s="125" t="s">
        <v>589</v>
      </c>
      <c r="O39" s="125" t="s">
        <v>323</v>
      </c>
    </row>
    <row r="40" spans="1:15">
      <c r="A40" s="755" t="s">
        <v>601</v>
      </c>
      <c r="B40" s="125" t="s">
        <v>590</v>
      </c>
      <c r="C40" s="139" t="s">
        <v>20</v>
      </c>
      <c r="D40" s="18"/>
      <c r="E40" s="18">
        <v>13558878.6709</v>
      </c>
      <c r="F40" s="18">
        <v>13439057.8649</v>
      </c>
      <c r="G40" s="18">
        <v>119820.806</v>
      </c>
      <c r="H40" s="18">
        <v>119820.806</v>
      </c>
      <c r="I40" s="18"/>
      <c r="J40" s="18"/>
      <c r="K40" s="18">
        <v>0</v>
      </c>
      <c r="L40" s="18">
        <v>119820.806</v>
      </c>
      <c r="M40" s="151">
        <v>0.00883707339731262</v>
      </c>
      <c r="N40" s="125" t="s">
        <v>591</v>
      </c>
      <c r="O40" s="125" t="s">
        <v>323</v>
      </c>
    </row>
    <row r="41" spans="1:15">
      <c r="A41" s="755" t="s">
        <v>602</v>
      </c>
      <c r="B41" s="125" t="s">
        <v>470</v>
      </c>
      <c r="C41" s="139" t="s">
        <v>20</v>
      </c>
      <c r="D41" s="18"/>
      <c r="E41" s="18">
        <v>14133835.6736343</v>
      </c>
      <c r="F41" s="18">
        <v>13342313.7053984</v>
      </c>
      <c r="G41" s="18">
        <v>791521.968235901</v>
      </c>
      <c r="H41" s="18">
        <v>791521.968235901</v>
      </c>
      <c r="I41" s="18"/>
      <c r="J41" s="18"/>
      <c r="K41" s="18">
        <v>0</v>
      </c>
      <c r="L41" s="18">
        <v>791521.968235901</v>
      </c>
      <c r="M41" s="151">
        <v>0.0560013280409938</v>
      </c>
      <c r="N41" s="125" t="s">
        <v>586</v>
      </c>
      <c r="O41" s="125" t="s">
        <v>323</v>
      </c>
    </row>
    <row r="42" spans="1:15">
      <c r="A42" s="755" t="s">
        <v>602</v>
      </c>
      <c r="B42" s="125" t="s">
        <v>503</v>
      </c>
      <c r="C42" s="139" t="s">
        <v>20</v>
      </c>
      <c r="D42" s="18"/>
      <c r="E42" s="18">
        <v>16342049.9998</v>
      </c>
      <c r="F42" s="18">
        <v>16098216.75</v>
      </c>
      <c r="G42" s="18">
        <v>243833.2498</v>
      </c>
      <c r="H42" s="18">
        <v>243833.2498</v>
      </c>
      <c r="I42" s="18"/>
      <c r="J42" s="18"/>
      <c r="K42" s="18">
        <v>0</v>
      </c>
      <c r="L42" s="18">
        <v>243833.2498</v>
      </c>
      <c r="M42" s="151">
        <v>0.0149206035841883</v>
      </c>
      <c r="N42" s="125" t="s">
        <v>587</v>
      </c>
      <c r="O42" s="125" t="s">
        <v>323</v>
      </c>
    </row>
    <row r="43" spans="1:15">
      <c r="A43" s="755" t="s">
        <v>602</v>
      </c>
      <c r="B43" s="125" t="s">
        <v>588</v>
      </c>
      <c r="C43" s="139" t="s">
        <v>20</v>
      </c>
      <c r="D43" s="18"/>
      <c r="E43" s="18">
        <v>10327495.9831999</v>
      </c>
      <c r="F43" s="18">
        <v>10138399.239</v>
      </c>
      <c r="G43" s="18">
        <v>189096.7441999</v>
      </c>
      <c r="H43" s="18">
        <v>189096.7441999</v>
      </c>
      <c r="I43" s="18"/>
      <c r="J43" s="18"/>
      <c r="K43" s="18">
        <v>0</v>
      </c>
      <c r="L43" s="18">
        <v>189096.7441999</v>
      </c>
      <c r="M43" s="151">
        <v>0.0183100283464172</v>
      </c>
      <c r="N43" s="125" t="s">
        <v>589</v>
      </c>
      <c r="O43" s="125" t="s">
        <v>323</v>
      </c>
    </row>
    <row r="44" spans="1:15">
      <c r="A44" s="755" t="s">
        <v>602</v>
      </c>
      <c r="B44" s="125" t="s">
        <v>590</v>
      </c>
      <c r="C44" s="139" t="s">
        <v>20</v>
      </c>
      <c r="D44" s="18"/>
      <c r="E44" s="18">
        <v>13407049.7912</v>
      </c>
      <c r="F44" s="18">
        <v>12556813.8418399</v>
      </c>
      <c r="G44" s="18">
        <v>850235.949360102</v>
      </c>
      <c r="H44" s="18">
        <v>850235.949360102</v>
      </c>
      <c r="I44" s="18"/>
      <c r="J44" s="18"/>
      <c r="K44" s="18">
        <v>0</v>
      </c>
      <c r="L44" s="18">
        <v>850235.949360102</v>
      </c>
      <c r="M44" s="151">
        <v>0.0634170800139918</v>
      </c>
      <c r="N44" s="125" t="s">
        <v>591</v>
      </c>
      <c r="O44" s="125" t="s">
        <v>323</v>
      </c>
    </row>
    <row r="45" spans="1:15">
      <c r="A45" s="755" t="s">
        <v>603</v>
      </c>
      <c r="B45" s="125" t="s">
        <v>470</v>
      </c>
      <c r="C45" s="139" t="s">
        <v>20</v>
      </c>
      <c r="D45" s="18"/>
      <c r="E45" s="18">
        <v>57259958.3935005</v>
      </c>
      <c r="F45" s="18">
        <v>56913080.58</v>
      </c>
      <c r="G45" s="18">
        <v>346877.813500501</v>
      </c>
      <c r="H45" s="18">
        <v>346877.813500501</v>
      </c>
      <c r="I45" s="18"/>
      <c r="J45" s="18"/>
      <c r="K45" s="18">
        <v>0</v>
      </c>
      <c r="L45" s="18">
        <v>346877.813500501</v>
      </c>
      <c r="M45" s="151">
        <v>0.00605794735505562</v>
      </c>
      <c r="N45" s="125" t="s">
        <v>586</v>
      </c>
      <c r="O45" s="125" t="s">
        <v>323</v>
      </c>
    </row>
    <row r="46" spans="1:15">
      <c r="A46" s="755" t="s">
        <v>603</v>
      </c>
      <c r="B46" s="125" t="s">
        <v>503</v>
      </c>
      <c r="C46" s="139" t="s">
        <v>20</v>
      </c>
      <c r="D46" s="18"/>
      <c r="E46" s="18">
        <v>16773619.1071999</v>
      </c>
      <c r="F46" s="18">
        <v>16572817.653</v>
      </c>
      <c r="G46" s="18">
        <v>200801.454199899</v>
      </c>
      <c r="H46" s="18">
        <v>200801.454199899</v>
      </c>
      <c r="I46" s="18"/>
      <c r="J46" s="18"/>
      <c r="K46" s="18">
        <v>0</v>
      </c>
      <c r="L46" s="18">
        <v>200801.454199899</v>
      </c>
      <c r="M46" s="151">
        <v>0.0119712658858282</v>
      </c>
      <c r="N46" s="125" t="s">
        <v>587</v>
      </c>
      <c r="O46" s="125" t="s">
        <v>323</v>
      </c>
    </row>
    <row r="47" spans="1:15">
      <c r="A47" s="755" t="s">
        <v>603</v>
      </c>
      <c r="B47" s="125" t="s">
        <v>588</v>
      </c>
      <c r="C47" s="139" t="s">
        <v>20</v>
      </c>
      <c r="D47" s="18"/>
      <c r="E47" s="18">
        <v>13873376.8641999</v>
      </c>
      <c r="F47" s="18">
        <v>13614547.8179999</v>
      </c>
      <c r="G47" s="18">
        <v>258829.0462</v>
      </c>
      <c r="H47" s="18">
        <v>258829.0462</v>
      </c>
      <c r="I47" s="18"/>
      <c r="J47" s="18"/>
      <c r="K47" s="18">
        <v>0</v>
      </c>
      <c r="L47" s="18">
        <v>258829.0462</v>
      </c>
      <c r="M47" s="151">
        <v>0.0186565281642356</v>
      </c>
      <c r="N47" s="125" t="s">
        <v>589</v>
      </c>
      <c r="O47" s="125" t="s">
        <v>323</v>
      </c>
    </row>
    <row r="48" spans="1:15">
      <c r="A48" s="755" t="s">
        <v>603</v>
      </c>
      <c r="B48" s="125" t="s">
        <v>590</v>
      </c>
      <c r="C48" s="139" t="s">
        <v>20</v>
      </c>
      <c r="D48" s="18"/>
      <c r="E48" s="18">
        <v>16735650.4182</v>
      </c>
      <c r="F48" s="18">
        <v>16328550.4287</v>
      </c>
      <c r="G48" s="18">
        <v>407099.989499999</v>
      </c>
      <c r="H48" s="18">
        <v>407099.989499999</v>
      </c>
      <c r="I48" s="18"/>
      <c r="J48" s="18"/>
      <c r="K48" s="18">
        <v>0</v>
      </c>
      <c r="L48" s="18">
        <v>407099.989499999</v>
      </c>
      <c r="M48" s="151">
        <v>0.0243253162755646</v>
      </c>
      <c r="N48" s="125" t="s">
        <v>591</v>
      </c>
      <c r="O48" s="125" t="s">
        <v>323</v>
      </c>
    </row>
    <row r="49" spans="1:15">
      <c r="A49" s="755" t="s">
        <v>604</v>
      </c>
      <c r="B49" s="125" t="s">
        <v>470</v>
      </c>
      <c r="C49" s="139" t="s">
        <v>20</v>
      </c>
      <c r="D49" s="18"/>
      <c r="E49" s="18">
        <v>65927565.5731526</v>
      </c>
      <c r="F49" s="18">
        <v>65245474.39</v>
      </c>
      <c r="G49" s="18">
        <v>682091.183152601</v>
      </c>
      <c r="H49" s="18">
        <v>682091.183152601</v>
      </c>
      <c r="I49" s="18"/>
      <c r="J49" s="18"/>
      <c r="K49" s="18">
        <v>0</v>
      </c>
      <c r="L49" s="18">
        <v>682091.183152601</v>
      </c>
      <c r="M49" s="151">
        <v>0.0103460696178105</v>
      </c>
      <c r="N49" s="125" t="s">
        <v>586</v>
      </c>
      <c r="O49" s="125" t="s">
        <v>323</v>
      </c>
    </row>
    <row r="50" spans="1:15">
      <c r="A50" s="755" t="s">
        <v>604</v>
      </c>
      <c r="B50" s="125" t="s">
        <v>503</v>
      </c>
      <c r="C50" s="139" t="s">
        <v>20</v>
      </c>
      <c r="D50" s="18"/>
      <c r="E50" s="18">
        <v>13626478.8429</v>
      </c>
      <c r="F50" s="18">
        <v>13468788.0834999</v>
      </c>
      <c r="G50" s="18">
        <v>157690.759400101</v>
      </c>
      <c r="H50" s="18">
        <v>157690.759400101</v>
      </c>
      <c r="I50" s="18"/>
      <c r="J50" s="18"/>
      <c r="K50" s="18">
        <v>0</v>
      </c>
      <c r="L50" s="18">
        <v>157690.759400101</v>
      </c>
      <c r="M50" s="151">
        <v>0.0115723776639675</v>
      </c>
      <c r="N50" s="125" t="s">
        <v>587</v>
      </c>
      <c r="O50" s="125" t="s">
        <v>323</v>
      </c>
    </row>
    <row r="51" spans="1:15">
      <c r="A51" s="755" t="s">
        <v>604</v>
      </c>
      <c r="B51" s="125" t="s">
        <v>588</v>
      </c>
      <c r="C51" s="139" t="s">
        <v>20</v>
      </c>
      <c r="D51" s="18"/>
      <c r="E51" s="18">
        <v>7636778.8787</v>
      </c>
      <c r="F51" s="18">
        <v>7484300.6084</v>
      </c>
      <c r="G51" s="18">
        <v>152478.2703</v>
      </c>
      <c r="H51" s="18">
        <v>152478.2703</v>
      </c>
      <c r="I51" s="18"/>
      <c r="J51" s="18"/>
      <c r="K51" s="18">
        <v>0</v>
      </c>
      <c r="L51" s="18">
        <v>152478.2703</v>
      </c>
      <c r="M51" s="151">
        <v>0.0199663068319658</v>
      </c>
      <c r="N51" s="125" t="s">
        <v>589</v>
      </c>
      <c r="O51" s="125" t="s">
        <v>323</v>
      </c>
    </row>
    <row r="52" spans="1:15">
      <c r="A52" s="755" t="s">
        <v>604</v>
      </c>
      <c r="B52" s="125" t="s">
        <v>590</v>
      </c>
      <c r="C52" s="139" t="s">
        <v>20</v>
      </c>
      <c r="D52" s="18"/>
      <c r="E52" s="18">
        <v>16736278.6416999</v>
      </c>
      <c r="F52" s="18">
        <v>16589365.5280285</v>
      </c>
      <c r="G52" s="18">
        <v>146913.1136714</v>
      </c>
      <c r="H52" s="18">
        <v>146913.1136714</v>
      </c>
      <c r="I52" s="18"/>
      <c r="J52" s="18"/>
      <c r="K52" s="18">
        <v>0</v>
      </c>
      <c r="L52" s="18">
        <v>146913.1136714</v>
      </c>
      <c r="M52" s="151">
        <v>0.00877812307123955</v>
      </c>
      <c r="N52" s="125" t="s">
        <v>591</v>
      </c>
      <c r="O52" s="125" t="s">
        <v>323</v>
      </c>
    </row>
    <row r="53" spans="1:15">
      <c r="A53" s="755" t="s">
        <v>605</v>
      </c>
      <c r="B53" s="125" t="s">
        <v>470</v>
      </c>
      <c r="C53" s="139" t="s">
        <v>20</v>
      </c>
      <c r="D53" s="18"/>
      <c r="E53" s="18">
        <v>45234067.3145166</v>
      </c>
      <c r="F53" s="18">
        <v>44303240.215</v>
      </c>
      <c r="G53" s="18">
        <v>930827.0995166</v>
      </c>
      <c r="H53" s="18">
        <v>930827.0995166</v>
      </c>
      <c r="I53" s="18"/>
      <c r="J53" s="18"/>
      <c r="K53" s="18"/>
      <c r="L53" s="18">
        <v>930827.0995166</v>
      </c>
      <c r="M53" s="151">
        <v>0.0205780102205816</v>
      </c>
      <c r="N53" s="125" t="s">
        <v>586</v>
      </c>
      <c r="O53" s="125" t="s">
        <v>323</v>
      </c>
    </row>
    <row r="54" spans="1:15">
      <c r="A54" s="755" t="s">
        <v>605</v>
      </c>
      <c r="B54" s="125" t="s">
        <v>503</v>
      </c>
      <c r="C54" s="139" t="s">
        <v>20</v>
      </c>
      <c r="D54" s="18"/>
      <c r="E54" s="18">
        <v>24016267.929</v>
      </c>
      <c r="F54" s="18">
        <v>23757409.5759</v>
      </c>
      <c r="G54" s="18">
        <v>258858.353099998</v>
      </c>
      <c r="H54" s="18">
        <v>258858.353099998</v>
      </c>
      <c r="I54" s="18"/>
      <c r="J54" s="18"/>
      <c r="K54" s="18"/>
      <c r="L54" s="18">
        <v>258858.353099998</v>
      </c>
      <c r="M54" s="151">
        <v>0.0107784587457664</v>
      </c>
      <c r="N54" s="125" t="s">
        <v>587</v>
      </c>
      <c r="O54" s="125" t="s">
        <v>323</v>
      </c>
    </row>
    <row r="55" spans="1:15">
      <c r="A55" s="755" t="s">
        <v>605</v>
      </c>
      <c r="B55" s="125" t="s">
        <v>588</v>
      </c>
      <c r="C55" s="139" t="s">
        <v>20</v>
      </c>
      <c r="D55" s="18"/>
      <c r="E55" s="18">
        <v>3497346.68659999</v>
      </c>
      <c r="F55" s="18">
        <v>3404408.477</v>
      </c>
      <c r="G55" s="18">
        <v>92938.2095999899</v>
      </c>
      <c r="H55" s="18">
        <v>92938.2095999899</v>
      </c>
      <c r="I55" s="18"/>
      <c r="J55" s="18"/>
      <c r="K55" s="18"/>
      <c r="L55" s="18">
        <v>92938.2095999899</v>
      </c>
      <c r="M55" s="151">
        <v>0.0265739195819736</v>
      </c>
      <c r="N55" s="125" t="s">
        <v>589</v>
      </c>
      <c r="O55" s="125" t="s">
        <v>323</v>
      </c>
    </row>
    <row r="56" spans="1:15">
      <c r="A56" s="755" t="s">
        <v>605</v>
      </c>
      <c r="B56" s="125" t="s">
        <v>590</v>
      </c>
      <c r="C56" s="139" t="s">
        <v>20</v>
      </c>
      <c r="D56" s="18"/>
      <c r="E56" s="18">
        <v>21322410.0274999</v>
      </c>
      <c r="F56" s="18">
        <v>20795978.3077777</v>
      </c>
      <c r="G56" s="18">
        <v>526431.7197222</v>
      </c>
      <c r="H56" s="18">
        <v>526431.7197222</v>
      </c>
      <c r="I56" s="18"/>
      <c r="J56" s="18"/>
      <c r="K56" s="18"/>
      <c r="L56" s="18">
        <v>526431.7197222</v>
      </c>
      <c r="M56" s="151">
        <v>0.0246891284354466</v>
      </c>
      <c r="N56" s="125" t="s">
        <v>591</v>
      </c>
      <c r="O56" s="125" t="s">
        <v>323</v>
      </c>
    </row>
    <row r="60" ht="21" spans="1:26">
      <c r="A60" s="142" t="s">
        <v>592</v>
      </c>
      <c r="B60" s="142" t="s">
        <v>451</v>
      </c>
      <c r="C60" s="143" t="s">
        <v>162</v>
      </c>
      <c r="D60" s="144" t="s">
        <v>577</v>
      </c>
      <c r="E60" s="144" t="s">
        <v>578</v>
      </c>
      <c r="F60" s="144" t="s">
        <v>579</v>
      </c>
      <c r="G60" s="144" t="s">
        <v>580</v>
      </c>
      <c r="H60" s="144" t="s">
        <v>606</v>
      </c>
      <c r="I60" s="144" t="s">
        <v>27</v>
      </c>
      <c r="J60" s="144" t="s">
        <v>582</v>
      </c>
      <c r="K60" s="144" t="s">
        <v>583</v>
      </c>
      <c r="L60" s="144" t="s">
        <v>584</v>
      </c>
      <c r="M60" s="147" t="s">
        <v>51</v>
      </c>
      <c r="N60" s="142" t="s">
        <v>585</v>
      </c>
      <c r="O60" s="142" t="s">
        <v>302</v>
      </c>
      <c r="Q60" s="11" t="s">
        <v>592</v>
      </c>
      <c r="R60" s="20" t="s">
        <v>303</v>
      </c>
      <c r="S60" s="20" t="s">
        <v>418</v>
      </c>
      <c r="U60" s="127" t="s">
        <v>592</v>
      </c>
      <c r="V60" s="4" t="s">
        <v>418</v>
      </c>
      <c r="W60" s="4" t="s">
        <v>304</v>
      </c>
      <c r="X60" s="4" t="s">
        <v>593</v>
      </c>
      <c r="Y60"/>
      <c r="Z60" s="159" t="s">
        <v>71</v>
      </c>
    </row>
    <row r="61" spans="1:26">
      <c r="A61" s="132" t="s">
        <v>607</v>
      </c>
      <c r="B61" s="132" t="s">
        <v>470</v>
      </c>
      <c r="C61" s="145" t="s">
        <v>20</v>
      </c>
      <c r="D61" s="146">
        <v>0</v>
      </c>
      <c r="E61" s="146">
        <v>20204294.65</v>
      </c>
      <c r="F61" s="146">
        <v>20022473.3</v>
      </c>
      <c r="G61" s="146">
        <v>181821.349999998</v>
      </c>
      <c r="H61" s="146">
        <v>181821.349999998</v>
      </c>
      <c r="I61" s="146">
        <v>0</v>
      </c>
      <c r="J61" s="146">
        <v>0</v>
      </c>
      <c r="K61" s="146">
        <v>0</v>
      </c>
      <c r="L61" s="146">
        <v>181821.349999998</v>
      </c>
      <c r="M61" s="154">
        <v>0.00899914365483666</v>
      </c>
      <c r="N61" s="155" t="s">
        <v>586</v>
      </c>
      <c r="O61" s="155" t="s">
        <v>323</v>
      </c>
      <c r="Q61" s="11" t="s">
        <v>607</v>
      </c>
      <c r="R61" s="20">
        <v>33578495.48</v>
      </c>
      <c r="S61" s="20">
        <v>380592.709999997</v>
      </c>
      <c r="U61" s="127" t="s">
        <v>607</v>
      </c>
      <c r="V61" s="4">
        <v>380592.709999997</v>
      </c>
      <c r="W61" s="157">
        <f t="shared" ref="W61:W72" si="2">V61/10000</f>
        <v>38.0592709999997</v>
      </c>
      <c r="X61" s="159">
        <v>58.6787</v>
      </c>
      <c r="Y61" s="160">
        <v>202301</v>
      </c>
      <c r="Z61" s="159">
        <f t="shared" ref="Z61:Z72" si="3">W61+X61</f>
        <v>96.7379709999997</v>
      </c>
    </row>
    <row r="62" spans="1:26">
      <c r="A62" s="132" t="s">
        <v>607</v>
      </c>
      <c r="B62" s="132" t="s">
        <v>590</v>
      </c>
      <c r="C62" s="145" t="s">
        <v>20</v>
      </c>
      <c r="D62" s="146">
        <v>0</v>
      </c>
      <c r="E62" s="146">
        <v>13374200.83</v>
      </c>
      <c r="F62" s="146">
        <v>13175429.47</v>
      </c>
      <c r="G62" s="146">
        <v>198771.359999999</v>
      </c>
      <c r="H62" s="146">
        <v>198771.359999999</v>
      </c>
      <c r="I62" s="146">
        <v>0</v>
      </c>
      <c r="J62" s="146">
        <v>0</v>
      </c>
      <c r="K62" s="146">
        <v>0</v>
      </c>
      <c r="L62" s="146">
        <v>198771.359999999</v>
      </c>
      <c r="M62" s="154">
        <v>0.0148622981310502</v>
      </c>
      <c r="N62" s="155" t="s">
        <v>591</v>
      </c>
      <c r="O62" s="155" t="s">
        <v>323</v>
      </c>
      <c r="Q62" s="11" t="s">
        <v>608</v>
      </c>
      <c r="R62" s="20">
        <v>45627183.83</v>
      </c>
      <c r="S62" s="20">
        <v>488859.5</v>
      </c>
      <c r="U62" s="127" t="s">
        <v>608</v>
      </c>
      <c r="V62" s="4">
        <v>488859.5</v>
      </c>
      <c r="W62" s="157">
        <f t="shared" si="2"/>
        <v>48.88595</v>
      </c>
      <c r="X62" s="159"/>
      <c r="Y62" s="160"/>
      <c r="Z62" s="159">
        <f t="shared" si="3"/>
        <v>48.88595</v>
      </c>
    </row>
    <row r="63" spans="1:26">
      <c r="A63" s="132" t="s">
        <v>608</v>
      </c>
      <c r="B63" s="132" t="s">
        <v>470</v>
      </c>
      <c r="C63" s="145" t="s">
        <v>20</v>
      </c>
      <c r="D63" s="9">
        <v>0</v>
      </c>
      <c r="E63" s="9">
        <v>27744388.04</v>
      </c>
      <c r="F63" s="9">
        <v>27537083</v>
      </c>
      <c r="G63" s="9">
        <v>207305.039999999</v>
      </c>
      <c r="H63" s="9">
        <v>207305.039999999</v>
      </c>
      <c r="I63" s="9">
        <v>0</v>
      </c>
      <c r="J63" s="9">
        <v>0</v>
      </c>
      <c r="K63" s="146">
        <v>0</v>
      </c>
      <c r="L63" s="9">
        <v>207305.039999999</v>
      </c>
      <c r="M63" s="156">
        <v>0.00747196296783049</v>
      </c>
      <c r="N63" s="132" t="s">
        <v>586</v>
      </c>
      <c r="O63" s="155" t="s">
        <v>323</v>
      </c>
      <c r="Q63" s="11" t="s">
        <v>609</v>
      </c>
      <c r="R63" s="20">
        <v>81010440.9988</v>
      </c>
      <c r="S63" s="20">
        <v>3489462.2388</v>
      </c>
      <c r="U63" s="127" t="s">
        <v>609</v>
      </c>
      <c r="V63" s="4">
        <v>3489462.2388</v>
      </c>
      <c r="W63" s="157">
        <f t="shared" si="2"/>
        <v>348.94622388</v>
      </c>
      <c r="X63" s="159"/>
      <c r="Y63" s="160"/>
      <c r="Z63" s="159">
        <f t="shared" si="3"/>
        <v>348.94622388</v>
      </c>
    </row>
    <row r="64" spans="1:26">
      <c r="A64" s="132" t="s">
        <v>608</v>
      </c>
      <c r="B64" s="132" t="s">
        <v>590</v>
      </c>
      <c r="C64" s="145" t="s">
        <v>20</v>
      </c>
      <c r="D64" s="9">
        <v>0</v>
      </c>
      <c r="E64" s="9">
        <v>17882795.79</v>
      </c>
      <c r="F64" s="9">
        <v>17601241.33</v>
      </c>
      <c r="G64" s="9">
        <v>281554.460000001</v>
      </c>
      <c r="H64" s="9">
        <v>281554.460000001</v>
      </c>
      <c r="I64" s="9">
        <v>0</v>
      </c>
      <c r="J64" s="9">
        <v>0</v>
      </c>
      <c r="K64" s="146">
        <v>0</v>
      </c>
      <c r="L64" s="9">
        <v>281554.460000001</v>
      </c>
      <c r="M64" s="156">
        <v>0.0157444318721933</v>
      </c>
      <c r="N64" s="132" t="s">
        <v>591</v>
      </c>
      <c r="O64" s="155" t="s">
        <v>323</v>
      </c>
      <c r="Q64" s="11" t="s">
        <v>610</v>
      </c>
      <c r="R64" s="20">
        <v>101366981.84</v>
      </c>
      <c r="S64" s="20">
        <v>780135.91</v>
      </c>
      <c r="U64" s="127" t="s">
        <v>610</v>
      </c>
      <c r="V64" s="4">
        <v>780135.91</v>
      </c>
      <c r="W64" s="157">
        <f t="shared" si="2"/>
        <v>78.013591</v>
      </c>
      <c r="X64" s="159">
        <v>72.1128</v>
      </c>
      <c r="Y64" s="160">
        <v>202304</v>
      </c>
      <c r="Z64" s="159">
        <f t="shared" si="3"/>
        <v>150.126391</v>
      </c>
    </row>
    <row r="65" spans="1:26">
      <c r="A65" s="132" t="s">
        <v>609</v>
      </c>
      <c r="B65" s="132" t="s">
        <v>590</v>
      </c>
      <c r="C65" s="145" t="s">
        <v>20</v>
      </c>
      <c r="D65" s="146">
        <v>0</v>
      </c>
      <c r="E65" s="146">
        <v>20629251.7</v>
      </c>
      <c r="F65" s="146">
        <v>17551301.45</v>
      </c>
      <c r="G65" s="9">
        <v>3077950.25</v>
      </c>
      <c r="H65" s="9">
        <v>3077950.25</v>
      </c>
      <c r="I65" s="146">
        <v>0</v>
      </c>
      <c r="J65" s="146">
        <v>0</v>
      </c>
      <c r="K65" s="146">
        <v>0</v>
      </c>
      <c r="L65" s="9">
        <v>3077950.25</v>
      </c>
      <c r="M65" s="154">
        <v>0.149203194316544</v>
      </c>
      <c r="N65" s="132" t="s">
        <v>591</v>
      </c>
      <c r="O65" s="155" t="s">
        <v>323</v>
      </c>
      <c r="Q65" s="11" t="s">
        <v>611</v>
      </c>
      <c r="R65" s="20">
        <v>114051693.69</v>
      </c>
      <c r="S65" s="20">
        <v>734377.870000011</v>
      </c>
      <c r="U65" s="127" t="s">
        <v>611</v>
      </c>
      <c r="V65" s="4">
        <v>734377.870000011</v>
      </c>
      <c r="W65" s="157">
        <f t="shared" si="2"/>
        <v>73.4377870000011</v>
      </c>
      <c r="X65" s="159"/>
      <c r="Y65" s="160"/>
      <c r="Z65" s="159">
        <f t="shared" si="3"/>
        <v>73.4377870000011</v>
      </c>
    </row>
    <row r="66" spans="1:26">
      <c r="A66" s="132" t="s">
        <v>609</v>
      </c>
      <c r="B66" s="132" t="s">
        <v>470</v>
      </c>
      <c r="C66" s="145" t="s">
        <v>20</v>
      </c>
      <c r="D66" s="146">
        <v>0</v>
      </c>
      <c r="E66" s="146">
        <v>60381189.2988</v>
      </c>
      <c r="F66" s="146">
        <v>59969677.31</v>
      </c>
      <c r="G66" s="9">
        <v>411511.988799997</v>
      </c>
      <c r="H66" s="9">
        <v>411511.988799997</v>
      </c>
      <c r="I66" s="146">
        <v>0</v>
      </c>
      <c r="J66" s="146">
        <v>0</v>
      </c>
      <c r="K66" s="146">
        <v>0</v>
      </c>
      <c r="L66" s="9">
        <v>411511.988799997</v>
      </c>
      <c r="M66" s="162">
        <v>0.00681523490310222</v>
      </c>
      <c r="N66" s="132" t="s">
        <v>586</v>
      </c>
      <c r="O66" s="155" t="s">
        <v>323</v>
      </c>
      <c r="Q66" s="11" t="s">
        <v>612</v>
      </c>
      <c r="R66" s="20">
        <v>112546863.12</v>
      </c>
      <c r="S66" s="20">
        <v>769681.26999999</v>
      </c>
      <c r="U66" s="127" t="s">
        <v>612</v>
      </c>
      <c r="V66" s="4">
        <v>769681.26999999</v>
      </c>
      <c r="W66" s="157">
        <f t="shared" si="2"/>
        <v>76.968126999999</v>
      </c>
      <c r="X66" s="159">
        <v>102.4929</v>
      </c>
      <c r="Y66" s="160">
        <v>202306</v>
      </c>
      <c r="Z66" s="159">
        <f t="shared" si="3"/>
        <v>179.461026999999</v>
      </c>
    </row>
    <row r="67" spans="1:26">
      <c r="A67" s="132" t="s">
        <v>610</v>
      </c>
      <c r="B67" s="132" t="s">
        <v>470</v>
      </c>
      <c r="C67" s="145" t="s">
        <v>20</v>
      </c>
      <c r="D67" s="9">
        <v>0</v>
      </c>
      <c r="E67" s="9">
        <v>82972665.75</v>
      </c>
      <c r="F67" s="9">
        <v>82447331.28</v>
      </c>
      <c r="G67" s="9">
        <v>525334.469999999</v>
      </c>
      <c r="H67" s="9">
        <v>525334.469999999</v>
      </c>
      <c r="I67" s="9">
        <v>0</v>
      </c>
      <c r="J67" s="9">
        <v>0</v>
      </c>
      <c r="K67" s="9">
        <v>0</v>
      </c>
      <c r="L67" s="9">
        <v>525334.469999999</v>
      </c>
      <c r="M67" s="163">
        <v>0.00633141607843302</v>
      </c>
      <c r="N67" s="132" t="s">
        <v>586</v>
      </c>
      <c r="O67" s="155" t="s">
        <v>323</v>
      </c>
      <c r="Q67" s="11" t="s">
        <v>613</v>
      </c>
      <c r="R67" s="20">
        <v>98712430.82</v>
      </c>
      <c r="S67" s="20">
        <v>214667.450000007</v>
      </c>
      <c r="U67" s="127" t="s">
        <v>613</v>
      </c>
      <c r="V67" s="4">
        <v>214667.450000007</v>
      </c>
      <c r="W67" s="157">
        <f t="shared" si="2"/>
        <v>21.4667450000007</v>
      </c>
      <c r="X67" s="159">
        <v>70.6329</v>
      </c>
      <c r="Y67" s="160">
        <v>202307</v>
      </c>
      <c r="Z67" s="159">
        <f t="shared" si="3"/>
        <v>92.0996450000007</v>
      </c>
    </row>
    <row r="68" spans="1:26">
      <c r="A68" s="132" t="s">
        <v>610</v>
      </c>
      <c r="B68" s="132" t="s">
        <v>590</v>
      </c>
      <c r="C68" s="145" t="s">
        <v>20</v>
      </c>
      <c r="D68" s="9">
        <v>0</v>
      </c>
      <c r="E68" s="9">
        <v>18394316.09</v>
      </c>
      <c r="F68" s="9">
        <v>18139514.65</v>
      </c>
      <c r="G68" s="9">
        <v>254801.440000001</v>
      </c>
      <c r="H68" s="9">
        <v>254801.440000001</v>
      </c>
      <c r="I68" s="9">
        <v>0</v>
      </c>
      <c r="J68" s="9">
        <v>0</v>
      </c>
      <c r="K68" s="9">
        <v>0</v>
      </c>
      <c r="L68" s="9">
        <v>254801.440000001</v>
      </c>
      <c r="M68" s="163">
        <v>0.0138521834002039</v>
      </c>
      <c r="N68" s="132" t="s">
        <v>591</v>
      </c>
      <c r="O68" s="155" t="s">
        <v>323</v>
      </c>
      <c r="Q68" s="11" t="s">
        <v>614</v>
      </c>
      <c r="R68" s="20">
        <v>97107037.64</v>
      </c>
      <c r="S68" s="20">
        <v>735443.760000005</v>
      </c>
      <c r="U68" s="127" t="s">
        <v>614</v>
      </c>
      <c r="V68" s="4">
        <v>735443.760000005</v>
      </c>
      <c r="W68" s="157">
        <f t="shared" si="2"/>
        <v>73.5443760000005</v>
      </c>
      <c r="X68" s="159"/>
      <c r="Y68" s="160"/>
      <c r="Z68" s="159">
        <f t="shared" si="3"/>
        <v>73.5443760000005</v>
      </c>
    </row>
    <row r="69" spans="1:26">
      <c r="A69" s="132" t="s">
        <v>611</v>
      </c>
      <c r="B69" s="132" t="s">
        <v>470</v>
      </c>
      <c r="C69" s="145" t="s">
        <v>20</v>
      </c>
      <c r="D69" s="161">
        <v>0</v>
      </c>
      <c r="E69" s="161">
        <v>97526043.79</v>
      </c>
      <c r="F69" s="161">
        <v>96974693.77</v>
      </c>
      <c r="G69" s="9">
        <v>551350.020000011</v>
      </c>
      <c r="H69" s="9">
        <v>551350.020000011</v>
      </c>
      <c r="I69" s="161">
        <v>0</v>
      </c>
      <c r="J69" s="161">
        <v>0</v>
      </c>
      <c r="K69" s="9">
        <v>0</v>
      </c>
      <c r="L69" s="9">
        <v>551350.020000011</v>
      </c>
      <c r="M69" s="163">
        <v>0.0056533618977431</v>
      </c>
      <c r="N69" s="132" t="s">
        <v>586</v>
      </c>
      <c r="O69" s="155" t="s">
        <v>323</v>
      </c>
      <c r="Q69" s="11" t="s">
        <v>615</v>
      </c>
      <c r="R69" s="20">
        <v>66096405.44</v>
      </c>
      <c r="S69" s="20">
        <v>-365665.680000003</v>
      </c>
      <c r="U69" s="127" t="s">
        <v>615</v>
      </c>
      <c r="V69" s="4">
        <v>-365665.680000003</v>
      </c>
      <c r="W69" s="157">
        <f t="shared" si="2"/>
        <v>-36.5665680000003</v>
      </c>
      <c r="X69" s="159">
        <v>63.9143</v>
      </c>
      <c r="Y69" s="160">
        <v>202309</v>
      </c>
      <c r="Z69" s="159">
        <f t="shared" si="3"/>
        <v>27.3477319999997</v>
      </c>
    </row>
    <row r="70" spans="1:26">
      <c r="A70" s="132" t="s">
        <v>611</v>
      </c>
      <c r="B70" s="132" t="s">
        <v>590</v>
      </c>
      <c r="C70" s="145" t="s">
        <v>20</v>
      </c>
      <c r="D70" s="161">
        <v>0</v>
      </c>
      <c r="E70" s="161">
        <v>16525649.9</v>
      </c>
      <c r="F70" s="161">
        <v>16342622.05</v>
      </c>
      <c r="G70" s="9">
        <v>183027.85</v>
      </c>
      <c r="H70" s="9">
        <v>183027.85</v>
      </c>
      <c r="I70" s="161">
        <v>0</v>
      </c>
      <c r="J70" s="161">
        <v>0</v>
      </c>
      <c r="K70" s="9">
        <v>0</v>
      </c>
      <c r="L70" s="9">
        <v>183027.85</v>
      </c>
      <c r="M70" s="162">
        <v>0.0110753798554089</v>
      </c>
      <c r="N70" s="132" t="s">
        <v>591</v>
      </c>
      <c r="O70" s="155" t="s">
        <v>323</v>
      </c>
      <c r="Q70" s="11" t="s">
        <v>616</v>
      </c>
      <c r="R70" s="20">
        <v>79008874.98</v>
      </c>
      <c r="S70" s="20">
        <v>212862.959999994</v>
      </c>
      <c r="U70" s="127" t="s">
        <v>616</v>
      </c>
      <c r="V70" s="4">
        <v>212862.959999994</v>
      </c>
      <c r="W70" s="157">
        <f t="shared" si="2"/>
        <v>21.2862959999994</v>
      </c>
      <c r="X70" s="159">
        <v>249.7463</v>
      </c>
      <c r="Y70" s="160">
        <v>202310</v>
      </c>
      <c r="Z70" s="159">
        <f t="shared" si="3"/>
        <v>271.032595999999</v>
      </c>
    </row>
    <row r="71" spans="1:26">
      <c r="A71" s="132" t="s">
        <v>612</v>
      </c>
      <c r="B71" s="132" t="s">
        <v>590</v>
      </c>
      <c r="C71" s="145" t="s">
        <v>20</v>
      </c>
      <c r="D71" s="9">
        <v>0</v>
      </c>
      <c r="E71" s="9">
        <v>13277774.7</v>
      </c>
      <c r="F71" s="9">
        <v>13486402.83</v>
      </c>
      <c r="G71" s="9">
        <v>-208628.130000001</v>
      </c>
      <c r="H71" s="9">
        <v>-208628.130000001</v>
      </c>
      <c r="I71" s="9">
        <v>0</v>
      </c>
      <c r="J71" s="9">
        <v>0</v>
      </c>
      <c r="K71" s="9">
        <v>0</v>
      </c>
      <c r="L71" s="9">
        <v>-208628.130000001</v>
      </c>
      <c r="M71" s="162">
        <v>-0.0157125824706154</v>
      </c>
      <c r="N71" s="9" t="s">
        <v>591</v>
      </c>
      <c r="O71" s="155" t="s">
        <v>323</v>
      </c>
      <c r="Q71" s="11" t="s">
        <v>617</v>
      </c>
      <c r="R71" s="20">
        <v>71098296.89</v>
      </c>
      <c r="S71" s="20">
        <v>532277.55</v>
      </c>
      <c r="U71" s="127" t="s">
        <v>617</v>
      </c>
      <c r="V71" s="4">
        <v>532277.55</v>
      </c>
      <c r="W71" s="157">
        <f t="shared" si="2"/>
        <v>53.227755</v>
      </c>
      <c r="X71" s="159">
        <v>79.8212</v>
      </c>
      <c r="Y71" s="160">
        <v>202311</v>
      </c>
      <c r="Z71" s="159">
        <f t="shared" si="3"/>
        <v>133.048955</v>
      </c>
    </row>
    <row r="72" spans="1:26">
      <c r="A72" s="132" t="s">
        <v>612</v>
      </c>
      <c r="B72" s="132" t="s">
        <v>470</v>
      </c>
      <c r="C72" s="145" t="s">
        <v>20</v>
      </c>
      <c r="D72" s="9">
        <v>0</v>
      </c>
      <c r="E72" s="9">
        <v>99269088.42</v>
      </c>
      <c r="F72" s="9">
        <v>98290779.02</v>
      </c>
      <c r="G72" s="9">
        <v>978309.399999991</v>
      </c>
      <c r="H72" s="9">
        <v>978309.399999991</v>
      </c>
      <c r="I72" s="9">
        <v>0</v>
      </c>
      <c r="J72" s="9">
        <v>0</v>
      </c>
      <c r="K72" s="9">
        <v>0</v>
      </c>
      <c r="L72" s="9">
        <v>978309.399999991</v>
      </c>
      <c r="M72" s="162">
        <v>0.00985512625905094</v>
      </c>
      <c r="N72" s="9" t="s">
        <v>586</v>
      </c>
      <c r="O72" s="155" t="s">
        <v>323</v>
      </c>
      <c r="Q72" s="11" t="s">
        <v>618</v>
      </c>
      <c r="R72" s="20">
        <v>69145903.61</v>
      </c>
      <c r="S72" s="20">
        <v>6450946.9718</v>
      </c>
      <c r="U72" s="127" t="s">
        <v>618</v>
      </c>
      <c r="V72" s="4">
        <v>6450946.9718</v>
      </c>
      <c r="W72" s="157">
        <f t="shared" si="2"/>
        <v>645.09469718</v>
      </c>
      <c r="X72" s="159">
        <v>307.8965</v>
      </c>
      <c r="Y72" s="160">
        <v>202312</v>
      </c>
      <c r="Z72" s="159">
        <f t="shared" si="3"/>
        <v>952.99119718</v>
      </c>
    </row>
    <row r="73" spans="1:26">
      <c r="A73" s="132" t="s">
        <v>613</v>
      </c>
      <c r="B73" s="132" t="s">
        <v>470</v>
      </c>
      <c r="C73" s="145" t="s">
        <v>20</v>
      </c>
      <c r="D73" s="9">
        <v>0</v>
      </c>
      <c r="E73" s="9">
        <v>85005475.87</v>
      </c>
      <c r="F73" s="9">
        <v>84987656.55</v>
      </c>
      <c r="G73" s="9">
        <v>17819.3200000077</v>
      </c>
      <c r="H73" s="9">
        <v>17819.3200000077</v>
      </c>
      <c r="I73" s="9">
        <v>0</v>
      </c>
      <c r="J73" s="9">
        <v>0</v>
      </c>
      <c r="K73" s="9">
        <v>0</v>
      </c>
      <c r="L73" s="9">
        <v>17819.3200000077</v>
      </c>
      <c r="M73" s="162">
        <v>0.000209625554325984</v>
      </c>
      <c r="N73" s="132" t="s">
        <v>586</v>
      </c>
      <c r="O73" s="155" t="s">
        <v>323</v>
      </c>
      <c r="Q73" s="11" t="s">
        <v>319</v>
      </c>
      <c r="R73" s="20">
        <v>969350608.3388</v>
      </c>
      <c r="S73" s="20">
        <v>14423642.5106</v>
      </c>
      <c r="U73" s="127" t="s">
        <v>319</v>
      </c>
      <c r="V73" s="4">
        <v>14423642.5106</v>
      </c>
      <c r="W73" s="157">
        <f>SUM(W61:W72)</f>
        <v>1442.36425106</v>
      </c>
      <c r="X73" s="157">
        <f>SUM(X61:X72)</f>
        <v>1005.2956</v>
      </c>
      <c r="Y73"/>
      <c r="Z73" s="159">
        <f>SUM(Z61:Z72)</f>
        <v>2447.65985106</v>
      </c>
    </row>
    <row r="74" spans="1:26">
      <c r="A74" s="132" t="s">
        <v>613</v>
      </c>
      <c r="B74" s="132" t="s">
        <v>590</v>
      </c>
      <c r="C74" s="145" t="s">
        <v>20</v>
      </c>
      <c r="D74" s="9">
        <v>0</v>
      </c>
      <c r="E74" s="9">
        <v>13706954.95</v>
      </c>
      <c r="F74" s="9">
        <v>13510106.82</v>
      </c>
      <c r="G74" s="9">
        <v>196848.129999999</v>
      </c>
      <c r="H74" s="9">
        <v>196848.129999999</v>
      </c>
      <c r="I74" s="9">
        <v>0</v>
      </c>
      <c r="J74" s="9">
        <v>0</v>
      </c>
      <c r="K74" s="9">
        <v>0</v>
      </c>
      <c r="L74" s="9">
        <v>196848.129999999</v>
      </c>
      <c r="M74" s="162">
        <v>0.0143611860342475</v>
      </c>
      <c r="N74" s="132" t="s">
        <v>591</v>
      </c>
      <c r="O74" s="155" t="s">
        <v>323</v>
      </c>
      <c r="X74" s="157"/>
      <c r="Y74"/>
      <c r="Z74" s="159"/>
    </row>
    <row r="75" spans="1:26">
      <c r="A75" s="132" t="s">
        <v>614</v>
      </c>
      <c r="B75" s="132" t="s">
        <v>470</v>
      </c>
      <c r="C75" s="145" t="s">
        <v>20</v>
      </c>
      <c r="D75" s="9">
        <v>0</v>
      </c>
      <c r="E75" s="9">
        <v>80407305.72</v>
      </c>
      <c r="F75" s="9">
        <v>80021561.82</v>
      </c>
      <c r="G75" s="9">
        <v>385743.900000006</v>
      </c>
      <c r="H75" s="9">
        <v>385743.900000006</v>
      </c>
      <c r="I75" s="9">
        <v>0</v>
      </c>
      <c r="J75" s="9">
        <v>0</v>
      </c>
      <c r="K75" s="9">
        <v>0</v>
      </c>
      <c r="L75" s="9">
        <v>385743.900000006</v>
      </c>
      <c r="M75" s="162">
        <v>0.00479737377774192</v>
      </c>
      <c r="N75" s="132" t="s">
        <v>586</v>
      </c>
      <c r="O75" s="155" t="s">
        <v>323</v>
      </c>
      <c r="Y75"/>
      <c r="Z75" s="159"/>
    </row>
    <row r="76" spans="1:26">
      <c r="A76" s="132" t="s">
        <v>614</v>
      </c>
      <c r="B76" s="132" t="s">
        <v>590</v>
      </c>
      <c r="C76" s="145" t="s">
        <v>20</v>
      </c>
      <c r="D76" s="146">
        <v>0</v>
      </c>
      <c r="E76" s="146">
        <v>16699731.92</v>
      </c>
      <c r="F76" s="146">
        <v>16350032.06</v>
      </c>
      <c r="G76" s="9">
        <v>349699.859999999</v>
      </c>
      <c r="H76" s="9">
        <v>349699.859999999</v>
      </c>
      <c r="I76" s="146">
        <v>0</v>
      </c>
      <c r="J76" s="146">
        <v>0</v>
      </c>
      <c r="K76" s="9">
        <v>0</v>
      </c>
      <c r="L76" s="9">
        <v>349699.859999999</v>
      </c>
      <c r="M76" s="162">
        <v>0.0209404475278546</v>
      </c>
      <c r="N76" s="132" t="s">
        <v>591</v>
      </c>
      <c r="O76" s="155" t="s">
        <v>323</v>
      </c>
      <c r="Z76" s="159"/>
    </row>
    <row r="77" spans="1:26">
      <c r="A77" s="132" t="s">
        <v>615</v>
      </c>
      <c r="B77" s="132" t="s">
        <v>590</v>
      </c>
      <c r="C77" s="145" t="s">
        <v>20</v>
      </c>
      <c r="D77" s="146">
        <v>0</v>
      </c>
      <c r="E77" s="146">
        <v>32817311.32</v>
      </c>
      <c r="F77" s="146">
        <v>32538098.47</v>
      </c>
      <c r="G77" s="9">
        <v>279212.849999998</v>
      </c>
      <c r="H77" s="9">
        <v>279212.849999998</v>
      </c>
      <c r="I77" s="146">
        <v>0</v>
      </c>
      <c r="J77" s="146">
        <v>0</v>
      </c>
      <c r="K77" s="146">
        <v>0</v>
      </c>
      <c r="L77" s="9">
        <v>279212.849999998</v>
      </c>
      <c r="M77" s="162">
        <v>0.00850809645182103</v>
      </c>
      <c r="N77" s="132" t="s">
        <v>591</v>
      </c>
      <c r="O77" s="155" t="s">
        <v>323</v>
      </c>
      <c r="Z77" s="159"/>
    </row>
    <row r="78" spans="1:26">
      <c r="A78" s="132" t="s">
        <v>615</v>
      </c>
      <c r="B78" s="132" t="s">
        <v>470</v>
      </c>
      <c r="C78" s="145" t="s">
        <v>20</v>
      </c>
      <c r="D78" s="146">
        <v>0</v>
      </c>
      <c r="E78" s="146">
        <v>33279094.12</v>
      </c>
      <c r="F78" s="146">
        <v>33923972.65</v>
      </c>
      <c r="G78" s="9">
        <v>-644878.530000001</v>
      </c>
      <c r="H78" s="9">
        <v>-644878.530000001</v>
      </c>
      <c r="I78" s="146">
        <v>0</v>
      </c>
      <c r="J78" s="146">
        <v>0</v>
      </c>
      <c r="K78" s="146">
        <v>0</v>
      </c>
      <c r="L78" s="9">
        <v>-644878.530000001</v>
      </c>
      <c r="M78" s="162">
        <v>-0.0193778871406371</v>
      </c>
      <c r="N78" s="132" t="s">
        <v>586</v>
      </c>
      <c r="O78" s="155" t="s">
        <v>323</v>
      </c>
      <c r="Z78" s="159"/>
    </row>
    <row r="79" spans="1:15">
      <c r="A79" s="132" t="s">
        <v>616</v>
      </c>
      <c r="B79" s="132" t="s">
        <v>590</v>
      </c>
      <c r="C79" s="145" t="s">
        <v>20</v>
      </c>
      <c r="D79" s="9">
        <v>0</v>
      </c>
      <c r="E79" s="9">
        <v>20520541.24</v>
      </c>
      <c r="F79" s="9">
        <v>20275384.98</v>
      </c>
      <c r="G79" s="9">
        <v>245156.259999998</v>
      </c>
      <c r="H79" s="9">
        <v>245156.259999998</v>
      </c>
      <c r="I79" s="9">
        <v>0</v>
      </c>
      <c r="J79" s="9">
        <v>0</v>
      </c>
      <c r="K79" s="9">
        <v>0</v>
      </c>
      <c r="L79" s="9">
        <v>245156.259999998</v>
      </c>
      <c r="M79" s="163">
        <v>0.0119468710465649</v>
      </c>
      <c r="N79" s="9" t="s">
        <v>591</v>
      </c>
      <c r="O79" s="155" t="s">
        <v>323</v>
      </c>
    </row>
    <row r="80" spans="1:15">
      <c r="A80" s="132" t="s">
        <v>616</v>
      </c>
      <c r="B80" s="132" t="s">
        <v>470</v>
      </c>
      <c r="C80" s="145" t="s">
        <v>20</v>
      </c>
      <c r="D80" s="9">
        <v>0</v>
      </c>
      <c r="E80" s="9">
        <v>58488333.74</v>
      </c>
      <c r="F80" s="9">
        <v>58520627.04</v>
      </c>
      <c r="G80" s="9">
        <v>-32293.3000000045</v>
      </c>
      <c r="H80" s="9">
        <v>-32293.3000000045</v>
      </c>
      <c r="I80" s="9">
        <v>0</v>
      </c>
      <c r="J80" s="9">
        <v>0</v>
      </c>
      <c r="K80" s="9">
        <v>0</v>
      </c>
      <c r="L80" s="9">
        <v>-32293.3000000045</v>
      </c>
      <c r="M80" s="163">
        <v>-0.000552132330244846</v>
      </c>
      <c r="N80" s="9" t="s">
        <v>586</v>
      </c>
      <c r="O80" s="155" t="s">
        <v>323</v>
      </c>
    </row>
    <row r="81" spans="1:15">
      <c r="A81" s="132" t="s">
        <v>617</v>
      </c>
      <c r="B81" s="132" t="s">
        <v>470</v>
      </c>
      <c r="C81" s="145" t="s">
        <v>20</v>
      </c>
      <c r="D81" s="9">
        <v>0</v>
      </c>
      <c r="E81" s="9">
        <v>50098850.99</v>
      </c>
      <c r="F81" s="9">
        <v>49859546.39</v>
      </c>
      <c r="G81" s="9">
        <v>239304.600000001</v>
      </c>
      <c r="H81" s="9">
        <v>239304.600000001</v>
      </c>
      <c r="I81" s="9">
        <v>0</v>
      </c>
      <c r="J81" s="9">
        <v>0</v>
      </c>
      <c r="K81" s="9">
        <v>0</v>
      </c>
      <c r="L81" s="9">
        <v>239304.600000001</v>
      </c>
      <c r="M81" s="163">
        <v>0.00477664847139444</v>
      </c>
      <c r="N81" s="9" t="s">
        <v>586</v>
      </c>
      <c r="O81" s="155" t="s">
        <v>323</v>
      </c>
    </row>
    <row r="82" spans="1:15">
      <c r="A82" s="132" t="s">
        <v>617</v>
      </c>
      <c r="B82" s="132" t="s">
        <v>590</v>
      </c>
      <c r="C82" s="145" t="s">
        <v>20</v>
      </c>
      <c r="D82" s="9">
        <v>0</v>
      </c>
      <c r="E82" s="9">
        <v>20999445.9</v>
      </c>
      <c r="F82" s="9">
        <v>20706472.95</v>
      </c>
      <c r="G82" s="9">
        <v>292972.949999999</v>
      </c>
      <c r="H82" s="9">
        <v>292972.949999999</v>
      </c>
      <c r="I82" s="9">
        <v>0</v>
      </c>
      <c r="J82" s="9">
        <v>0</v>
      </c>
      <c r="K82" s="9">
        <v>0</v>
      </c>
      <c r="L82" s="9">
        <v>292972.949999999</v>
      </c>
      <c r="M82" s="154">
        <v>0.013951460976406</v>
      </c>
      <c r="N82" s="132" t="s">
        <v>591</v>
      </c>
      <c r="O82" s="155" t="s">
        <v>323</v>
      </c>
    </row>
    <row r="83" spans="1:15">
      <c r="A83" s="132" t="s">
        <v>618</v>
      </c>
      <c r="B83" s="132" t="s">
        <v>590</v>
      </c>
      <c r="C83" s="145" t="s">
        <v>20</v>
      </c>
      <c r="D83" s="9">
        <v>0</v>
      </c>
      <c r="E83" s="9">
        <v>21912169.45</v>
      </c>
      <c r="F83" s="9">
        <v>21824454</v>
      </c>
      <c r="G83" s="9">
        <v>87715.4499999993</v>
      </c>
      <c r="H83" s="9">
        <v>87715.4499999993</v>
      </c>
      <c r="I83" s="9">
        <v>0</v>
      </c>
      <c r="J83" s="9">
        <v>0</v>
      </c>
      <c r="K83" s="9">
        <v>0</v>
      </c>
      <c r="L83" s="9">
        <v>87715.4499999993</v>
      </c>
      <c r="M83" s="154">
        <v>0.00400304726559146</v>
      </c>
      <c r="N83" s="132" t="s">
        <v>591</v>
      </c>
      <c r="O83" s="155" t="s">
        <v>323</v>
      </c>
    </row>
    <row r="84" spans="1:15">
      <c r="A84" s="132" t="s">
        <v>618</v>
      </c>
      <c r="B84" s="132" t="s">
        <v>470</v>
      </c>
      <c r="C84" s="145" t="s">
        <v>20</v>
      </c>
      <c r="D84" s="146">
        <v>0</v>
      </c>
      <c r="E84" s="146">
        <v>47233734.16</v>
      </c>
      <c r="F84" s="146">
        <v>46903979.21</v>
      </c>
      <c r="G84" s="146">
        <v>329754.949999996</v>
      </c>
      <c r="H84" s="146">
        <v>329754.949999996</v>
      </c>
      <c r="I84" s="146">
        <v>0</v>
      </c>
      <c r="J84" s="146">
        <v>0</v>
      </c>
      <c r="K84" s="146">
        <v>0</v>
      </c>
      <c r="L84" s="146">
        <v>329754.949999996</v>
      </c>
      <c r="M84" s="162">
        <v>0.00698134407250082</v>
      </c>
      <c r="N84" s="132" t="s">
        <v>586</v>
      </c>
      <c r="O84" s="155" t="s">
        <v>323</v>
      </c>
    </row>
    <row r="85" spans="1:15">
      <c r="A85" s="132" t="s">
        <v>618</v>
      </c>
      <c r="B85" s="132" t="s">
        <v>470</v>
      </c>
      <c r="C85" s="145" t="s">
        <v>20</v>
      </c>
      <c r="D85" s="146">
        <v>0</v>
      </c>
      <c r="E85" s="146">
        <v>0</v>
      </c>
      <c r="F85" s="146">
        <v>-4556407.403</v>
      </c>
      <c r="G85" s="146">
        <v>4556407.403</v>
      </c>
      <c r="H85" s="146">
        <v>4556407.403</v>
      </c>
      <c r="I85" s="146">
        <v>0</v>
      </c>
      <c r="J85" s="146">
        <v>0</v>
      </c>
      <c r="K85" s="146">
        <v>0</v>
      </c>
      <c r="L85" s="146">
        <v>4556407.403</v>
      </c>
      <c r="M85" s="162" t="e">
        <v>#DIV/0!</v>
      </c>
      <c r="N85" s="132" t="s">
        <v>586</v>
      </c>
      <c r="O85" s="155" t="s">
        <v>323</v>
      </c>
    </row>
    <row r="86" spans="1:15">
      <c r="A86" s="132" t="s">
        <v>618</v>
      </c>
      <c r="B86" s="132" t="s">
        <v>590</v>
      </c>
      <c r="C86" s="145" t="s">
        <v>20</v>
      </c>
      <c r="D86" s="146">
        <v>0</v>
      </c>
      <c r="E86" s="146">
        <v>0</v>
      </c>
      <c r="F86" s="146">
        <v>-1477069.1688</v>
      </c>
      <c r="G86" s="146">
        <v>1477069.1688</v>
      </c>
      <c r="H86" s="146">
        <v>1477069.1688</v>
      </c>
      <c r="I86" s="146">
        <v>0</v>
      </c>
      <c r="J86" s="146">
        <v>0</v>
      </c>
      <c r="K86" s="146">
        <v>0</v>
      </c>
      <c r="L86" s="146">
        <v>1477069.1688</v>
      </c>
      <c r="M86" s="162" t="e">
        <v>#DIV/0!</v>
      </c>
      <c r="N86" s="132" t="s">
        <v>591</v>
      </c>
      <c r="O86" s="155" t="s">
        <v>323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08"/>
  <sheetViews>
    <sheetView workbookViewId="0">
      <pane ySplit="1" topLeftCell="A1172" activePane="bottomLeft" state="frozen"/>
      <selection/>
      <selection pane="bottomLeft" activeCell="D64" sqref="D64"/>
    </sheetView>
  </sheetViews>
  <sheetFormatPr defaultColWidth="9" defaultRowHeight="15" customHeight="1"/>
  <cols>
    <col min="1" max="1" width="7.5" style="57" customWidth="1"/>
    <col min="2" max="2" width="10.1333333333333" style="28"/>
    <col min="3" max="3" width="21.6333333333333" style="57" customWidth="1"/>
    <col min="4" max="4" width="13.2583333333333" style="57" customWidth="1"/>
    <col min="5" max="5" width="9.75833333333333" style="57" customWidth="1"/>
    <col min="6" max="6" width="11" style="57" customWidth="1"/>
    <col min="7" max="7" width="9.63333333333333" style="57" customWidth="1"/>
    <col min="8" max="8" width="5.66666666666667" style="57" customWidth="1"/>
    <col min="9" max="9" width="20.625" style="57" customWidth="1"/>
    <col min="10" max="10" width="7.5" style="108" customWidth="1"/>
    <col min="11" max="11" width="9.25833333333333" style="108" customWidth="1"/>
    <col min="12" max="12" width="14.3833333333333" style="31" customWidth="1"/>
    <col min="13" max="13" width="14.5" style="31" customWidth="1"/>
    <col min="14" max="14" width="12.6333333333333" style="31" customWidth="1"/>
    <col min="15" max="15" width="28.375" style="31" customWidth="1"/>
    <col min="16" max="16" width="16.2583333333333" style="57" customWidth="1"/>
    <col min="17" max="17" width="9.5" style="57" customWidth="1"/>
    <col min="18" max="18" width="32.875" style="57"/>
    <col min="19" max="20" width="22.375" style="58"/>
    <col min="21" max="21" width="14" style="109"/>
    <col min="22" max="22" width="15.5" style="110"/>
    <col min="23" max="24" width="22.375" style="109"/>
    <col min="25" max="25" width="22.375" style="58"/>
    <col min="26" max="26" width="9" style="58"/>
    <col min="27" max="27" width="10.3833333333333" style="57" customWidth="1"/>
    <col min="28" max="28" width="32.875" style="57"/>
    <col min="29" max="40" width="14" style="57"/>
    <col min="41" max="41" width="15" style="57"/>
    <col min="42" max="16384" width="9" style="57"/>
  </cols>
  <sheetData>
    <row r="1" s="107" customFormat="1" customHeight="1" spans="1:41">
      <c r="A1" s="35" t="s">
        <v>619</v>
      </c>
      <c r="B1" s="36" t="s">
        <v>620</v>
      </c>
      <c r="C1" s="35" t="s">
        <v>621</v>
      </c>
      <c r="D1" s="35" t="s">
        <v>622</v>
      </c>
      <c r="E1" s="35" t="s">
        <v>623</v>
      </c>
      <c r="F1" s="35" t="s">
        <v>624</v>
      </c>
      <c r="G1" s="35" t="s">
        <v>625</v>
      </c>
      <c r="H1" s="35" t="s">
        <v>626</v>
      </c>
      <c r="I1" s="35" t="s">
        <v>627</v>
      </c>
      <c r="J1" s="35" t="s">
        <v>628</v>
      </c>
      <c r="K1" s="35" t="s">
        <v>629</v>
      </c>
      <c r="L1" s="46" t="s">
        <v>630</v>
      </c>
      <c r="M1" s="46" t="s">
        <v>631</v>
      </c>
      <c r="N1" s="46" t="s">
        <v>632</v>
      </c>
      <c r="O1" s="35" t="s">
        <v>633</v>
      </c>
      <c r="Q1" s="57" t="s">
        <v>629</v>
      </c>
      <c r="R1" s="57" t="s">
        <v>627</v>
      </c>
      <c r="S1" s="58" t="s">
        <v>634</v>
      </c>
      <c r="T1" s="58" t="s">
        <v>635</v>
      </c>
      <c r="U1" s="111"/>
      <c r="V1" s="30" t="s">
        <v>620</v>
      </c>
      <c r="W1" s="58" t="s">
        <v>634</v>
      </c>
      <c r="X1" s="58" t="s">
        <v>635</v>
      </c>
      <c r="Y1" s="58" t="s">
        <v>636</v>
      </c>
      <c r="Z1" s="119"/>
      <c r="AA1" s="57" t="s">
        <v>634</v>
      </c>
      <c r="AB1" s="57"/>
      <c r="AC1" s="57" t="s">
        <v>620</v>
      </c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</row>
    <row r="2" s="107" customFormat="1" customHeight="1" spans="1:41">
      <c r="A2" s="37" t="s">
        <v>637</v>
      </c>
      <c r="B2" s="38">
        <v>44957</v>
      </c>
      <c r="C2" s="37" t="s">
        <v>638</v>
      </c>
      <c r="D2" s="37" t="s">
        <v>639</v>
      </c>
      <c r="E2" s="37" t="s">
        <v>640</v>
      </c>
      <c r="F2" s="37" t="s">
        <v>641</v>
      </c>
      <c r="G2" s="37" t="s">
        <v>642</v>
      </c>
      <c r="H2" s="37" t="s">
        <v>643</v>
      </c>
      <c r="I2" s="37" t="s">
        <v>430</v>
      </c>
      <c r="J2" s="37" t="s">
        <v>644</v>
      </c>
      <c r="K2" s="37" t="s">
        <v>14</v>
      </c>
      <c r="L2" s="47">
        <v>1075850.64</v>
      </c>
      <c r="M2" s="47">
        <v>1014953.43</v>
      </c>
      <c r="N2" s="47">
        <v>60897.21</v>
      </c>
      <c r="O2" s="37" t="s">
        <v>645</v>
      </c>
      <c r="Q2" s="57" t="s">
        <v>350</v>
      </c>
      <c r="R2" s="57"/>
      <c r="S2" s="58">
        <v>20947593.13</v>
      </c>
      <c r="T2" s="58">
        <v>19761880.15</v>
      </c>
      <c r="U2" s="111"/>
      <c r="V2" s="28">
        <v>44957</v>
      </c>
      <c r="W2" s="58">
        <v>47455835.9</v>
      </c>
      <c r="X2" s="58">
        <v>44769656.66</v>
      </c>
      <c r="Y2" s="58">
        <v>2686179.24</v>
      </c>
      <c r="Z2" s="119"/>
      <c r="AA2" s="57" t="s">
        <v>629</v>
      </c>
      <c r="AB2" s="57" t="s">
        <v>627</v>
      </c>
      <c r="AC2" s="120">
        <v>44957</v>
      </c>
      <c r="AD2" s="120">
        <v>44985</v>
      </c>
      <c r="AE2" s="120">
        <v>45016</v>
      </c>
      <c r="AF2" s="120">
        <v>45046</v>
      </c>
      <c r="AG2" s="120">
        <v>45077</v>
      </c>
      <c r="AH2" s="120">
        <v>45107</v>
      </c>
      <c r="AI2" s="123">
        <v>45138</v>
      </c>
      <c r="AJ2" s="123">
        <v>45169</v>
      </c>
      <c r="AK2" s="123">
        <v>45199</v>
      </c>
      <c r="AL2" s="123">
        <v>45230</v>
      </c>
      <c r="AM2" s="123">
        <v>45260</v>
      </c>
      <c r="AN2" s="123">
        <v>45291</v>
      </c>
      <c r="AO2" s="108" t="s">
        <v>319</v>
      </c>
    </row>
    <row r="3" s="107" customFormat="1" customHeight="1" spans="1:41">
      <c r="A3" s="37" t="s">
        <v>637</v>
      </c>
      <c r="B3" s="38">
        <v>44957</v>
      </c>
      <c r="C3" s="37" t="s">
        <v>646</v>
      </c>
      <c r="D3" s="37" t="s">
        <v>639</v>
      </c>
      <c r="E3" s="37" t="s">
        <v>647</v>
      </c>
      <c r="F3" s="37" t="s">
        <v>641</v>
      </c>
      <c r="G3" s="37" t="s">
        <v>648</v>
      </c>
      <c r="H3" s="37" t="s">
        <v>643</v>
      </c>
      <c r="I3" s="37" t="s">
        <v>430</v>
      </c>
      <c r="J3" s="37" t="s">
        <v>644</v>
      </c>
      <c r="K3" s="37" t="s">
        <v>14</v>
      </c>
      <c r="L3" s="47">
        <v>438861.11</v>
      </c>
      <c r="M3" s="47">
        <v>414019.93</v>
      </c>
      <c r="N3" s="47">
        <v>24841.18</v>
      </c>
      <c r="O3" s="37" t="s">
        <v>649</v>
      </c>
      <c r="Q3" s="57"/>
      <c r="R3" s="57" t="s">
        <v>436</v>
      </c>
      <c r="S3" s="58">
        <v>3700912.5</v>
      </c>
      <c r="T3" s="58">
        <v>3491426.87</v>
      </c>
      <c r="U3" s="111"/>
      <c r="V3" s="28">
        <v>44985</v>
      </c>
      <c r="W3" s="58">
        <v>32120460.78</v>
      </c>
      <c r="X3" s="58">
        <v>30302321.48</v>
      </c>
      <c r="Y3" s="58">
        <v>1818139.3</v>
      </c>
      <c r="Z3" s="119"/>
      <c r="AA3" s="57" t="s">
        <v>350</v>
      </c>
      <c r="AB3" s="57"/>
      <c r="AC3" s="58">
        <v>1814233.45</v>
      </c>
      <c r="AD3" s="58">
        <v>3003302.87</v>
      </c>
      <c r="AE3" s="58">
        <v>856992.38</v>
      </c>
      <c r="AF3" s="58">
        <v>1052357.65</v>
      </c>
      <c r="AG3" s="58">
        <v>971686.09</v>
      </c>
      <c r="AH3" s="58">
        <v>2569260.34</v>
      </c>
      <c r="AI3" s="58">
        <v>2453502.1</v>
      </c>
      <c r="AJ3" s="58">
        <v>3375620.58</v>
      </c>
      <c r="AK3" s="58">
        <v>205096.05</v>
      </c>
      <c r="AL3" s="58">
        <v>983024.17</v>
      </c>
      <c r="AM3" s="58">
        <v>1532039.12</v>
      </c>
      <c r="AN3" s="58">
        <v>2130478.33</v>
      </c>
      <c r="AO3" s="58">
        <v>20947593.13</v>
      </c>
    </row>
    <row r="4" s="107" customFormat="1" customHeight="1" spans="1:41">
      <c r="A4" s="37" t="s">
        <v>637</v>
      </c>
      <c r="B4" s="38">
        <v>44957</v>
      </c>
      <c r="C4" s="37" t="s">
        <v>646</v>
      </c>
      <c r="D4" s="37" t="s">
        <v>639</v>
      </c>
      <c r="E4" s="37" t="s">
        <v>647</v>
      </c>
      <c r="F4" s="37" t="s">
        <v>641</v>
      </c>
      <c r="G4" s="37" t="s">
        <v>642</v>
      </c>
      <c r="H4" s="37" t="s">
        <v>650</v>
      </c>
      <c r="I4" s="37" t="s">
        <v>430</v>
      </c>
      <c r="J4" s="37" t="s">
        <v>644</v>
      </c>
      <c r="K4" s="37" t="s">
        <v>14</v>
      </c>
      <c r="L4" s="47">
        <v>96188.22</v>
      </c>
      <c r="M4" s="47">
        <v>90743.62</v>
      </c>
      <c r="N4" s="47">
        <v>5444.6</v>
      </c>
      <c r="O4" s="37" t="s">
        <v>651</v>
      </c>
      <c r="Q4" s="57"/>
      <c r="R4" s="112" t="s">
        <v>652</v>
      </c>
      <c r="S4" s="113">
        <v>1135745</v>
      </c>
      <c r="T4" s="113">
        <v>1071457.55</v>
      </c>
      <c r="U4" s="111"/>
      <c r="V4" s="28">
        <v>45016</v>
      </c>
      <c r="W4" s="58">
        <v>27402651.31</v>
      </c>
      <c r="X4" s="58">
        <v>25851557.84</v>
      </c>
      <c r="Y4" s="58">
        <v>1551093.47</v>
      </c>
      <c r="Z4" s="119"/>
      <c r="AA4" s="57"/>
      <c r="AB4" s="57" t="s">
        <v>436</v>
      </c>
      <c r="AC4" s="58">
        <v>13978.8</v>
      </c>
      <c r="AD4" s="58">
        <v>26716</v>
      </c>
      <c r="AE4" s="58">
        <v>38624.8</v>
      </c>
      <c r="AF4" s="58">
        <v>266682.01</v>
      </c>
      <c r="AG4" s="58">
        <v>44269.9</v>
      </c>
      <c r="AH4" s="58">
        <v>94756.3</v>
      </c>
      <c r="AI4" s="58">
        <v>146332.6</v>
      </c>
      <c r="AJ4" s="58">
        <v>272071.2</v>
      </c>
      <c r="AK4" s="58">
        <v>531551.8</v>
      </c>
      <c r="AL4" s="58">
        <v>163912.5</v>
      </c>
      <c r="AM4" s="58">
        <v>1119641.1</v>
      </c>
      <c r="AN4" s="58">
        <v>982375.49</v>
      </c>
      <c r="AO4" s="58">
        <v>3700912.5</v>
      </c>
    </row>
    <row r="5" s="107" customFormat="1" customHeight="1" spans="1:41">
      <c r="A5" s="37" t="s">
        <v>637</v>
      </c>
      <c r="B5" s="38">
        <v>44957</v>
      </c>
      <c r="C5" s="37" t="s">
        <v>646</v>
      </c>
      <c r="D5" s="37" t="s">
        <v>653</v>
      </c>
      <c r="E5" s="37" t="s">
        <v>647</v>
      </c>
      <c r="F5" s="37" t="s">
        <v>641</v>
      </c>
      <c r="G5" s="37" t="s">
        <v>654</v>
      </c>
      <c r="H5" s="37" t="s">
        <v>655</v>
      </c>
      <c r="I5" s="37" t="s">
        <v>462</v>
      </c>
      <c r="J5" s="37" t="s">
        <v>656</v>
      </c>
      <c r="K5" s="37" t="s">
        <v>166</v>
      </c>
      <c r="L5" s="47">
        <v>512620.9</v>
      </c>
      <c r="M5" s="47">
        <v>483604.58</v>
      </c>
      <c r="N5" s="47">
        <v>29016.32</v>
      </c>
      <c r="O5" s="37" t="s">
        <v>657</v>
      </c>
      <c r="Q5" s="57"/>
      <c r="R5" s="112" t="s">
        <v>658</v>
      </c>
      <c r="S5" s="113">
        <v>1460547.13</v>
      </c>
      <c r="T5" s="113">
        <v>1377874.62</v>
      </c>
      <c r="U5" s="111"/>
      <c r="V5" s="28">
        <v>45046</v>
      </c>
      <c r="W5" s="58">
        <v>23338713.24</v>
      </c>
      <c r="X5" s="58">
        <v>22017653.9</v>
      </c>
      <c r="Y5" s="58">
        <v>1321059.34</v>
      </c>
      <c r="Z5" s="119"/>
      <c r="AA5" s="57"/>
      <c r="AB5" s="57" t="s">
        <v>652</v>
      </c>
      <c r="AC5" s="58">
        <v>378750</v>
      </c>
      <c r="AD5" s="58">
        <v>475710</v>
      </c>
      <c r="AE5" s="58">
        <v>281285</v>
      </c>
      <c r="AF5" s="58"/>
      <c r="AG5" s="58"/>
      <c r="AH5" s="58"/>
      <c r="AI5" s="58"/>
      <c r="AJ5" s="58"/>
      <c r="AK5" s="58"/>
      <c r="AL5" s="58"/>
      <c r="AM5" s="58"/>
      <c r="AN5" s="58"/>
      <c r="AO5" s="58">
        <v>1135745</v>
      </c>
    </row>
    <row r="6" s="107" customFormat="1" customHeight="1" spans="1:41">
      <c r="A6" s="37" t="s">
        <v>637</v>
      </c>
      <c r="B6" s="38">
        <v>44957</v>
      </c>
      <c r="C6" s="37" t="s">
        <v>646</v>
      </c>
      <c r="D6" s="37" t="s">
        <v>653</v>
      </c>
      <c r="E6" s="37" t="s">
        <v>647</v>
      </c>
      <c r="F6" s="37" t="s">
        <v>659</v>
      </c>
      <c r="G6" s="37" t="s">
        <v>654</v>
      </c>
      <c r="H6" s="37" t="s">
        <v>650</v>
      </c>
      <c r="I6" s="37" t="s">
        <v>462</v>
      </c>
      <c r="J6" s="37" t="s">
        <v>656</v>
      </c>
      <c r="K6" s="37" t="s">
        <v>166</v>
      </c>
      <c r="L6" s="47">
        <v>2050483.58</v>
      </c>
      <c r="M6" s="47">
        <v>1934418.49</v>
      </c>
      <c r="N6" s="47">
        <v>116065.09</v>
      </c>
      <c r="O6" s="37" t="s">
        <v>660</v>
      </c>
      <c r="Q6" s="57"/>
      <c r="R6" s="57" t="s">
        <v>661</v>
      </c>
      <c r="S6" s="58">
        <v>6903.88</v>
      </c>
      <c r="T6" s="58">
        <v>6513.08</v>
      </c>
      <c r="U6" s="111"/>
      <c r="V6" s="28">
        <v>45077</v>
      </c>
      <c r="W6" s="58">
        <v>37216533.24</v>
      </c>
      <c r="X6" s="58">
        <v>35109936.97</v>
      </c>
      <c r="Y6" s="58">
        <v>2106596.27</v>
      </c>
      <c r="Z6" s="119"/>
      <c r="AA6" s="57"/>
      <c r="AB6" s="57" t="s">
        <v>662</v>
      </c>
      <c r="AC6" s="58"/>
      <c r="AD6" s="58"/>
      <c r="AE6" s="58">
        <v>16515.03</v>
      </c>
      <c r="AF6" s="58"/>
      <c r="AG6" s="58"/>
      <c r="AH6" s="58"/>
      <c r="AI6" s="58"/>
      <c r="AJ6" s="58"/>
      <c r="AK6" s="58">
        <v>78136.66</v>
      </c>
      <c r="AL6" s="58">
        <v>505871.92</v>
      </c>
      <c r="AM6" s="58"/>
      <c r="AN6" s="58">
        <v>100074.23</v>
      </c>
      <c r="AO6" s="58">
        <v>700597.84</v>
      </c>
    </row>
    <row r="7" s="107" customFormat="1" customHeight="1" spans="1:41">
      <c r="A7" s="37" t="s">
        <v>637</v>
      </c>
      <c r="B7" s="38">
        <v>44957</v>
      </c>
      <c r="C7" s="37" t="s">
        <v>638</v>
      </c>
      <c r="D7" s="37" t="s">
        <v>639</v>
      </c>
      <c r="E7" s="37" t="s">
        <v>640</v>
      </c>
      <c r="F7" s="37" t="s">
        <v>641</v>
      </c>
      <c r="G7" s="37" t="s">
        <v>642</v>
      </c>
      <c r="H7" s="37" t="s">
        <v>643</v>
      </c>
      <c r="I7" s="37" t="s">
        <v>430</v>
      </c>
      <c r="J7" s="37" t="s">
        <v>644</v>
      </c>
      <c r="K7" s="37" t="s">
        <v>14</v>
      </c>
      <c r="L7" s="47">
        <v>-460765.83</v>
      </c>
      <c r="M7" s="47">
        <v>-434684.75</v>
      </c>
      <c r="N7" s="47">
        <v>-26081.08</v>
      </c>
      <c r="O7" s="37" t="s">
        <v>663</v>
      </c>
      <c r="Q7" s="57"/>
      <c r="R7" s="57" t="s">
        <v>664</v>
      </c>
      <c r="S7" s="58">
        <v>184236.19</v>
      </c>
      <c r="T7" s="58">
        <v>173807.78</v>
      </c>
      <c r="U7" s="111"/>
      <c r="V7" s="28">
        <v>45107</v>
      </c>
      <c r="W7" s="58">
        <v>56855824.17</v>
      </c>
      <c r="X7" s="58">
        <v>53637569.75</v>
      </c>
      <c r="Y7" s="58">
        <v>3218254.42</v>
      </c>
      <c r="Z7" s="119"/>
      <c r="AA7" s="57"/>
      <c r="AB7" s="57" t="s">
        <v>665</v>
      </c>
      <c r="AC7" s="58">
        <v>1342.5</v>
      </c>
      <c r="AD7" s="58">
        <v>387.5</v>
      </c>
      <c r="AE7" s="58">
        <v>1296.25</v>
      </c>
      <c r="AF7" s="58">
        <v>1557.5</v>
      </c>
      <c r="AG7" s="58">
        <v>6937.75</v>
      </c>
      <c r="AH7" s="58">
        <v>2010</v>
      </c>
      <c r="AI7" s="58">
        <v>4162.5</v>
      </c>
      <c r="AJ7" s="58">
        <v>222</v>
      </c>
      <c r="AK7" s="58">
        <v>2670</v>
      </c>
      <c r="AL7" s="58">
        <v>6632.5</v>
      </c>
      <c r="AM7" s="58">
        <v>750</v>
      </c>
      <c r="AN7" s="58"/>
      <c r="AO7" s="58">
        <v>27968.5</v>
      </c>
    </row>
    <row r="8" s="107" customFormat="1" customHeight="1" spans="1:41">
      <c r="A8" s="37" t="s">
        <v>637</v>
      </c>
      <c r="B8" s="38">
        <v>44957</v>
      </c>
      <c r="C8" s="37" t="s">
        <v>638</v>
      </c>
      <c r="D8" s="37" t="s">
        <v>639</v>
      </c>
      <c r="E8" s="37" t="s">
        <v>640</v>
      </c>
      <c r="F8" s="37" t="s">
        <v>641</v>
      </c>
      <c r="G8" s="37" t="s">
        <v>648</v>
      </c>
      <c r="H8" s="37" t="s">
        <v>650</v>
      </c>
      <c r="I8" s="37" t="s">
        <v>430</v>
      </c>
      <c r="J8" s="37" t="s">
        <v>644</v>
      </c>
      <c r="K8" s="37" t="s">
        <v>14</v>
      </c>
      <c r="L8" s="47">
        <v>906371.79</v>
      </c>
      <c r="M8" s="47">
        <v>855067.73</v>
      </c>
      <c r="N8" s="47">
        <v>51304.06</v>
      </c>
      <c r="O8" s="37" t="s">
        <v>666</v>
      </c>
      <c r="Q8" s="57"/>
      <c r="R8" s="57" t="s">
        <v>667</v>
      </c>
      <c r="S8" s="58">
        <v>2835</v>
      </c>
      <c r="T8" s="58">
        <v>2674.5</v>
      </c>
      <c r="U8" s="111"/>
      <c r="V8" s="28">
        <v>45138</v>
      </c>
      <c r="W8" s="58">
        <v>35155456</v>
      </c>
      <c r="X8" s="58">
        <v>33165524.42</v>
      </c>
      <c r="Y8" s="58">
        <v>1989931.58</v>
      </c>
      <c r="Z8" s="119"/>
      <c r="AA8" s="57"/>
      <c r="AB8" s="57" t="s">
        <v>667</v>
      </c>
      <c r="AC8" s="58">
        <v>2835</v>
      </c>
      <c r="AD8" s="58">
        <v>231</v>
      </c>
      <c r="AE8" s="58">
        <v>-231</v>
      </c>
      <c r="AF8" s="58"/>
      <c r="AG8" s="58">
        <v>0</v>
      </c>
      <c r="AH8" s="58">
        <v>0</v>
      </c>
      <c r="AI8" s="58"/>
      <c r="AJ8" s="58"/>
      <c r="AK8" s="58"/>
      <c r="AL8" s="58"/>
      <c r="AM8" s="58"/>
      <c r="AN8" s="58"/>
      <c r="AO8" s="58">
        <v>2835</v>
      </c>
    </row>
    <row r="9" s="107" customFormat="1" customHeight="1" spans="1:41">
      <c r="A9" s="37" t="s">
        <v>637</v>
      </c>
      <c r="B9" s="38">
        <v>44957</v>
      </c>
      <c r="C9" s="37" t="s">
        <v>638</v>
      </c>
      <c r="D9" s="37" t="s">
        <v>639</v>
      </c>
      <c r="E9" s="37" t="s">
        <v>640</v>
      </c>
      <c r="F9" s="37" t="s">
        <v>641</v>
      </c>
      <c r="G9" s="37" t="s">
        <v>642</v>
      </c>
      <c r="H9" s="37" t="s">
        <v>650</v>
      </c>
      <c r="I9" s="37" t="s">
        <v>430</v>
      </c>
      <c r="J9" s="37" t="s">
        <v>644</v>
      </c>
      <c r="K9" s="37" t="s">
        <v>14</v>
      </c>
      <c r="L9" s="47">
        <v>191203.36</v>
      </c>
      <c r="M9" s="47">
        <v>180380.53</v>
      </c>
      <c r="N9" s="47">
        <v>10822.83</v>
      </c>
      <c r="O9" s="37" t="s">
        <v>668</v>
      </c>
      <c r="Q9" s="57"/>
      <c r="R9" s="57" t="s">
        <v>669</v>
      </c>
      <c r="S9" s="58">
        <v>1934395.5</v>
      </c>
      <c r="T9" s="58">
        <v>1824901.45</v>
      </c>
      <c r="U9" s="111"/>
      <c r="V9" s="28">
        <v>45169</v>
      </c>
      <c r="W9" s="58">
        <v>37705406.65</v>
      </c>
      <c r="X9" s="58">
        <v>35571138.51</v>
      </c>
      <c r="Y9" s="58">
        <v>2134268.14</v>
      </c>
      <c r="Z9" s="119"/>
      <c r="AA9" s="57"/>
      <c r="AB9" s="57" t="s">
        <v>670</v>
      </c>
      <c r="AC9" s="58"/>
      <c r="AD9" s="58"/>
      <c r="AE9" s="58"/>
      <c r="AF9" s="58"/>
      <c r="AG9" s="58">
        <v>302500</v>
      </c>
      <c r="AH9" s="58">
        <v>324500</v>
      </c>
      <c r="AI9" s="58"/>
      <c r="AJ9" s="58"/>
      <c r="AK9" s="58"/>
      <c r="AL9" s="58"/>
      <c r="AM9" s="58"/>
      <c r="AN9" s="58">
        <v>173411.22</v>
      </c>
      <c r="AO9" s="58">
        <v>800411.22</v>
      </c>
    </row>
    <row r="10" s="107" customFormat="1" customHeight="1" spans="1:41">
      <c r="A10" s="37" t="s">
        <v>637</v>
      </c>
      <c r="B10" s="38">
        <v>44957</v>
      </c>
      <c r="C10" s="37" t="s">
        <v>638</v>
      </c>
      <c r="D10" s="37" t="s">
        <v>639</v>
      </c>
      <c r="E10" s="37" t="s">
        <v>647</v>
      </c>
      <c r="F10" s="37" t="s">
        <v>641</v>
      </c>
      <c r="G10" s="37" t="s">
        <v>648</v>
      </c>
      <c r="H10" s="37" t="s">
        <v>643</v>
      </c>
      <c r="I10" s="37" t="s">
        <v>430</v>
      </c>
      <c r="J10" s="37" t="s">
        <v>644</v>
      </c>
      <c r="K10" s="37" t="s">
        <v>14</v>
      </c>
      <c r="L10" s="47">
        <v>47410.33</v>
      </c>
      <c r="M10" s="47">
        <v>44726.77</v>
      </c>
      <c r="N10" s="47">
        <v>2683.56</v>
      </c>
      <c r="O10" s="37" t="s">
        <v>671</v>
      </c>
      <c r="Q10" s="57"/>
      <c r="R10" s="57" t="s">
        <v>672</v>
      </c>
      <c r="S10" s="58">
        <v>8362451.36</v>
      </c>
      <c r="T10" s="58">
        <v>7889105.09</v>
      </c>
      <c r="U10" s="111"/>
      <c r="V10" s="28">
        <v>45199</v>
      </c>
      <c r="W10" s="58">
        <v>27980401.69</v>
      </c>
      <c r="X10" s="58">
        <v>26396605.2</v>
      </c>
      <c r="Y10" s="58">
        <v>1583796.49</v>
      </c>
      <c r="Z10" s="119"/>
      <c r="AA10" s="57"/>
      <c r="AB10" s="57" t="s">
        <v>669</v>
      </c>
      <c r="AC10" s="58">
        <v>20251.5</v>
      </c>
      <c r="AD10" s="58">
        <v>9540</v>
      </c>
      <c r="AE10" s="58">
        <v>9000</v>
      </c>
      <c r="AF10" s="58">
        <v>16645</v>
      </c>
      <c r="AG10" s="58">
        <v>340545</v>
      </c>
      <c r="AH10" s="58">
        <v>320100</v>
      </c>
      <c r="AI10" s="58">
        <v>424700</v>
      </c>
      <c r="AJ10" s="58">
        <v>498040</v>
      </c>
      <c r="AK10" s="58">
        <v>144904</v>
      </c>
      <c r="AL10" s="58">
        <v>23280</v>
      </c>
      <c r="AM10" s="58">
        <v>33500</v>
      </c>
      <c r="AN10" s="58">
        <v>93890</v>
      </c>
      <c r="AO10" s="58">
        <v>1934395.5</v>
      </c>
    </row>
    <row r="11" s="107" customFormat="1" customHeight="1" spans="1:41">
      <c r="A11" s="37" t="s">
        <v>637</v>
      </c>
      <c r="B11" s="38">
        <v>44957</v>
      </c>
      <c r="C11" s="37" t="s">
        <v>646</v>
      </c>
      <c r="D11" s="37" t="s">
        <v>639</v>
      </c>
      <c r="E11" s="37" t="s">
        <v>640</v>
      </c>
      <c r="F11" s="37" t="s">
        <v>641</v>
      </c>
      <c r="G11" s="37" t="s">
        <v>648</v>
      </c>
      <c r="H11" s="37" t="s">
        <v>650</v>
      </c>
      <c r="I11" s="37" t="s">
        <v>667</v>
      </c>
      <c r="J11" s="37" t="s">
        <v>644</v>
      </c>
      <c r="K11" s="37" t="s">
        <v>350</v>
      </c>
      <c r="L11" s="47">
        <v>2835</v>
      </c>
      <c r="M11" s="47">
        <v>2674.53</v>
      </c>
      <c r="N11" s="47">
        <v>160.47</v>
      </c>
      <c r="O11" s="37" t="s">
        <v>673</v>
      </c>
      <c r="Q11" s="57"/>
      <c r="R11" s="57" t="s">
        <v>674</v>
      </c>
      <c r="S11" s="58">
        <v>66</v>
      </c>
      <c r="T11" s="58">
        <v>62.26</v>
      </c>
      <c r="U11" s="111"/>
      <c r="V11" s="28">
        <v>45230</v>
      </c>
      <c r="W11" s="102">
        <v>29202433.94</v>
      </c>
      <c r="X11" s="102">
        <v>27549465.95</v>
      </c>
      <c r="Y11" s="102">
        <v>1652967.99</v>
      </c>
      <c r="Z11" s="119"/>
      <c r="AA11" s="57"/>
      <c r="AB11" s="57" t="s">
        <v>674</v>
      </c>
      <c r="AC11" s="58"/>
      <c r="AD11" s="58">
        <v>21</v>
      </c>
      <c r="AE11" s="58"/>
      <c r="AF11" s="58"/>
      <c r="AG11" s="58"/>
      <c r="AH11" s="58">
        <v>45</v>
      </c>
      <c r="AI11" s="58"/>
      <c r="AJ11" s="58"/>
      <c r="AK11" s="58"/>
      <c r="AL11" s="58"/>
      <c r="AM11" s="58"/>
      <c r="AN11" s="58"/>
      <c r="AO11" s="58">
        <v>66</v>
      </c>
    </row>
    <row r="12" s="107" customFormat="1" customHeight="1" spans="1:41">
      <c r="A12" s="37" t="s">
        <v>637</v>
      </c>
      <c r="B12" s="38">
        <v>44957</v>
      </c>
      <c r="C12" s="37" t="s">
        <v>638</v>
      </c>
      <c r="D12" s="37" t="s">
        <v>639</v>
      </c>
      <c r="E12" s="37" t="s">
        <v>647</v>
      </c>
      <c r="F12" s="37" t="s">
        <v>641</v>
      </c>
      <c r="G12" s="37" t="s">
        <v>642</v>
      </c>
      <c r="H12" s="37" t="s">
        <v>650</v>
      </c>
      <c r="I12" s="37" t="s">
        <v>430</v>
      </c>
      <c r="J12" s="37" t="s">
        <v>644</v>
      </c>
      <c r="K12" s="37" t="s">
        <v>14</v>
      </c>
      <c r="L12" s="47">
        <v>5523243.02</v>
      </c>
      <c r="M12" s="47">
        <v>5210606.62</v>
      </c>
      <c r="N12" s="47">
        <v>312636.4</v>
      </c>
      <c r="O12" s="37" t="s">
        <v>675</v>
      </c>
      <c r="Q12" s="57"/>
      <c r="R12" s="57" t="s">
        <v>665</v>
      </c>
      <c r="S12" s="58">
        <v>27968.5</v>
      </c>
      <c r="T12" s="58">
        <v>26385.38</v>
      </c>
      <c r="U12" s="111"/>
      <c r="V12" s="28">
        <v>45260</v>
      </c>
      <c r="W12" s="58">
        <v>49890772.27</v>
      </c>
      <c r="X12" s="58">
        <v>47066766.22</v>
      </c>
      <c r="Y12" s="58">
        <v>2824006.05</v>
      </c>
      <c r="Z12" s="119"/>
      <c r="AA12" s="57"/>
      <c r="AB12" s="57" t="s">
        <v>676</v>
      </c>
      <c r="AC12" s="58"/>
      <c r="AD12" s="58"/>
      <c r="AE12" s="58"/>
      <c r="AF12" s="58"/>
      <c r="AG12" s="58">
        <v>373327.58</v>
      </c>
      <c r="AH12" s="58">
        <v>74850.64</v>
      </c>
      <c r="AI12" s="58">
        <v>0</v>
      </c>
      <c r="AJ12" s="58"/>
      <c r="AK12" s="58">
        <v>-25.81</v>
      </c>
      <c r="AL12" s="58"/>
      <c r="AM12" s="58"/>
      <c r="AN12" s="58"/>
      <c r="AO12" s="58">
        <v>448152.41</v>
      </c>
    </row>
    <row r="13" s="107" customFormat="1" customHeight="1" spans="1:41">
      <c r="A13" s="37" t="s">
        <v>637</v>
      </c>
      <c r="B13" s="38">
        <v>44957</v>
      </c>
      <c r="C13" s="37" t="s">
        <v>638</v>
      </c>
      <c r="D13" s="37" t="s">
        <v>639</v>
      </c>
      <c r="E13" s="37" t="s">
        <v>647</v>
      </c>
      <c r="F13" s="37" t="s">
        <v>641</v>
      </c>
      <c r="G13" s="37" t="s">
        <v>648</v>
      </c>
      <c r="H13" s="37" t="s">
        <v>643</v>
      </c>
      <c r="I13" s="37" t="s">
        <v>430</v>
      </c>
      <c r="J13" s="37" t="s">
        <v>644</v>
      </c>
      <c r="K13" s="37" t="s">
        <v>14</v>
      </c>
      <c r="L13" s="47">
        <v>248225.95</v>
      </c>
      <c r="M13" s="47">
        <v>234175.44</v>
      </c>
      <c r="N13" s="47">
        <v>14050.51</v>
      </c>
      <c r="O13" s="37" t="s">
        <v>677</v>
      </c>
      <c r="Q13" s="57"/>
      <c r="R13" s="57" t="s">
        <v>678</v>
      </c>
      <c r="S13" s="58">
        <v>73170</v>
      </c>
      <c r="T13" s="58">
        <v>69028.13</v>
      </c>
      <c r="U13" s="111"/>
      <c r="V13" s="28">
        <v>45291</v>
      </c>
      <c r="W13" s="58">
        <v>46057382.83</v>
      </c>
      <c r="X13" s="58">
        <v>43450361.19</v>
      </c>
      <c r="Y13" s="58">
        <v>2607021.64</v>
      </c>
      <c r="Z13" s="119"/>
      <c r="AA13" s="57"/>
      <c r="AB13" s="57" t="s">
        <v>679</v>
      </c>
      <c r="AC13" s="58"/>
      <c r="AD13" s="58"/>
      <c r="AE13" s="58"/>
      <c r="AF13" s="58">
        <v>41898.36</v>
      </c>
      <c r="AG13" s="58"/>
      <c r="AH13" s="58"/>
      <c r="AI13" s="58"/>
      <c r="AJ13" s="58"/>
      <c r="AK13" s="58"/>
      <c r="AL13" s="58"/>
      <c r="AM13" s="58"/>
      <c r="AN13" s="58"/>
      <c r="AO13" s="58">
        <v>41898.36</v>
      </c>
    </row>
    <row r="14" s="107" customFormat="1" customHeight="1" spans="1:41">
      <c r="A14" s="37" t="s">
        <v>637</v>
      </c>
      <c r="B14" s="38">
        <v>44957</v>
      </c>
      <c r="C14" s="37" t="s">
        <v>646</v>
      </c>
      <c r="D14" s="37" t="s">
        <v>653</v>
      </c>
      <c r="E14" s="37" t="s">
        <v>640</v>
      </c>
      <c r="F14" s="37" t="s">
        <v>641</v>
      </c>
      <c r="G14" s="37" t="s">
        <v>642</v>
      </c>
      <c r="H14" s="37" t="s">
        <v>650</v>
      </c>
      <c r="I14" s="37" t="s">
        <v>462</v>
      </c>
      <c r="J14" s="37" t="s">
        <v>656</v>
      </c>
      <c r="K14" s="37" t="s">
        <v>166</v>
      </c>
      <c r="L14" s="47">
        <v>4488000</v>
      </c>
      <c r="M14" s="47">
        <v>4233962.26</v>
      </c>
      <c r="N14" s="47">
        <v>254037.74</v>
      </c>
      <c r="O14" s="37" t="s">
        <v>680</v>
      </c>
      <c r="Q14" s="57"/>
      <c r="R14" s="57" t="s">
        <v>681</v>
      </c>
      <c r="S14" s="58">
        <v>408000</v>
      </c>
      <c r="T14" s="58">
        <v>384905.65</v>
      </c>
      <c r="U14" s="111"/>
      <c r="V14" s="30" t="s">
        <v>319</v>
      </c>
      <c r="W14" s="58">
        <v>450381872.02</v>
      </c>
      <c r="X14" s="58">
        <v>424888558.09</v>
      </c>
      <c r="Y14" s="58">
        <v>25493313.93</v>
      </c>
      <c r="Z14" s="119"/>
      <c r="AA14" s="57"/>
      <c r="AB14" s="57" t="s">
        <v>681</v>
      </c>
      <c r="AC14" s="58"/>
      <c r="AD14" s="58">
        <v>10000</v>
      </c>
      <c r="AE14" s="58">
        <v>20000</v>
      </c>
      <c r="AF14" s="58">
        <v>58000</v>
      </c>
      <c r="AG14" s="58">
        <v>270000</v>
      </c>
      <c r="AH14" s="58">
        <v>50000</v>
      </c>
      <c r="AI14" s="58"/>
      <c r="AJ14" s="58"/>
      <c r="AK14" s="58"/>
      <c r="AL14" s="58"/>
      <c r="AM14" s="58"/>
      <c r="AN14" s="58"/>
      <c r="AO14" s="58">
        <v>408000</v>
      </c>
    </row>
    <row r="15" s="107" customFormat="1" customHeight="1" spans="1:41">
      <c r="A15" s="37" t="s">
        <v>637</v>
      </c>
      <c r="B15" s="38">
        <v>44957</v>
      </c>
      <c r="C15" s="37" t="s">
        <v>646</v>
      </c>
      <c r="D15" s="37" t="s">
        <v>682</v>
      </c>
      <c r="E15" s="37" t="s">
        <v>640</v>
      </c>
      <c r="F15" s="37" t="s">
        <v>641</v>
      </c>
      <c r="G15" s="37" t="s">
        <v>642</v>
      </c>
      <c r="H15" s="37" t="s">
        <v>650</v>
      </c>
      <c r="I15" s="37" t="s">
        <v>683</v>
      </c>
      <c r="J15" s="37" t="s">
        <v>656</v>
      </c>
      <c r="K15" s="37" t="s">
        <v>13</v>
      </c>
      <c r="L15" s="47">
        <v>1434.74</v>
      </c>
      <c r="M15" s="47">
        <v>1353.53</v>
      </c>
      <c r="N15" s="47">
        <v>81.21</v>
      </c>
      <c r="O15" s="37" t="s">
        <v>684</v>
      </c>
      <c r="Q15" s="57"/>
      <c r="R15" s="57" t="s">
        <v>662</v>
      </c>
      <c r="S15" s="58">
        <v>700597.84</v>
      </c>
      <c r="T15" s="58">
        <v>660941.36</v>
      </c>
      <c r="U15" s="111"/>
      <c r="V15" s="30"/>
      <c r="W15" s="58"/>
      <c r="X15" s="58"/>
      <c r="Y15" s="119"/>
      <c r="Z15" s="119"/>
      <c r="AA15" s="57"/>
      <c r="AB15" s="57" t="s">
        <v>661</v>
      </c>
      <c r="AC15" s="58"/>
      <c r="AD15" s="58">
        <v>652.5</v>
      </c>
      <c r="AE15" s="58">
        <v>2358</v>
      </c>
      <c r="AF15" s="58">
        <v>1283.38</v>
      </c>
      <c r="AG15" s="58">
        <v>724.5</v>
      </c>
      <c r="AH15" s="58"/>
      <c r="AI15" s="58">
        <v>306</v>
      </c>
      <c r="AJ15" s="58">
        <v>337.5</v>
      </c>
      <c r="AK15" s="58">
        <v>310.5</v>
      </c>
      <c r="AL15" s="58"/>
      <c r="AM15" s="58">
        <v>931.5</v>
      </c>
      <c r="AN15" s="58"/>
      <c r="AO15" s="58">
        <v>6903.88</v>
      </c>
    </row>
    <row r="16" s="107" customFormat="1" customHeight="1" spans="1:41">
      <c r="A16" s="37" t="s">
        <v>637</v>
      </c>
      <c r="B16" s="38">
        <v>44957</v>
      </c>
      <c r="C16" s="37" t="s">
        <v>646</v>
      </c>
      <c r="D16" s="37" t="s">
        <v>639</v>
      </c>
      <c r="E16" s="37" t="s">
        <v>640</v>
      </c>
      <c r="F16" s="37" t="s">
        <v>641</v>
      </c>
      <c r="G16" s="37" t="s">
        <v>648</v>
      </c>
      <c r="H16" s="37" t="s">
        <v>650</v>
      </c>
      <c r="I16" s="37" t="s">
        <v>430</v>
      </c>
      <c r="J16" s="37" t="s">
        <v>644</v>
      </c>
      <c r="K16" s="37" t="s">
        <v>14</v>
      </c>
      <c r="L16" s="47">
        <v>-294474.87</v>
      </c>
      <c r="M16" s="47">
        <v>-277806.48</v>
      </c>
      <c r="N16" s="47">
        <v>-16668.39</v>
      </c>
      <c r="O16" s="37" t="s">
        <v>685</v>
      </c>
      <c r="Q16" s="57"/>
      <c r="R16" s="57" t="s">
        <v>679</v>
      </c>
      <c r="S16" s="58">
        <v>41898.36</v>
      </c>
      <c r="T16" s="58">
        <v>39526.75</v>
      </c>
      <c r="U16" s="111"/>
      <c r="V16" s="30"/>
      <c r="W16" s="58"/>
      <c r="X16" s="58"/>
      <c r="Y16" s="119"/>
      <c r="Z16" s="119"/>
      <c r="AA16" s="57"/>
      <c r="AB16" s="57" t="s">
        <v>678</v>
      </c>
      <c r="AC16" s="58">
        <v>12312</v>
      </c>
      <c r="AD16" s="58">
        <v>3468</v>
      </c>
      <c r="AE16" s="58">
        <v>732</v>
      </c>
      <c r="AF16" s="58">
        <v>14134</v>
      </c>
      <c r="AG16" s="58">
        <v>372</v>
      </c>
      <c r="AH16" s="58">
        <v>552</v>
      </c>
      <c r="AI16" s="58">
        <v>2216</v>
      </c>
      <c r="AJ16" s="58">
        <v>984</v>
      </c>
      <c r="AK16" s="58">
        <v>252</v>
      </c>
      <c r="AL16" s="58">
        <v>84</v>
      </c>
      <c r="AM16" s="58">
        <v>36</v>
      </c>
      <c r="AN16" s="58">
        <v>38028</v>
      </c>
      <c r="AO16" s="58">
        <v>73170</v>
      </c>
    </row>
    <row r="17" s="107" customFormat="1" customHeight="1" spans="1:41">
      <c r="A17" s="37" t="s">
        <v>637</v>
      </c>
      <c r="B17" s="38">
        <v>44957</v>
      </c>
      <c r="C17" s="37" t="s">
        <v>646</v>
      </c>
      <c r="D17" s="37" t="s">
        <v>639</v>
      </c>
      <c r="E17" s="37" t="s">
        <v>640</v>
      </c>
      <c r="F17" s="37" t="s">
        <v>641</v>
      </c>
      <c r="G17" s="37" t="s">
        <v>648</v>
      </c>
      <c r="H17" s="37" t="s">
        <v>650</v>
      </c>
      <c r="I17" s="37" t="s">
        <v>686</v>
      </c>
      <c r="J17" s="37" t="s">
        <v>656</v>
      </c>
      <c r="K17" s="37" t="s">
        <v>14</v>
      </c>
      <c r="L17" s="47">
        <v>6463.64</v>
      </c>
      <c r="M17" s="47">
        <v>6097.77</v>
      </c>
      <c r="N17" s="47">
        <v>365.87</v>
      </c>
      <c r="O17" s="37" t="s">
        <v>687</v>
      </c>
      <c r="Q17" s="57"/>
      <c r="R17" s="57" t="s">
        <v>676</v>
      </c>
      <c r="S17" s="58">
        <v>448152.41</v>
      </c>
      <c r="T17" s="58">
        <v>422785.29</v>
      </c>
      <c r="U17" s="111"/>
      <c r="V17" s="30"/>
      <c r="W17" s="58"/>
      <c r="X17" s="58"/>
      <c r="Y17" s="119"/>
      <c r="Z17" s="119"/>
      <c r="AA17" s="57"/>
      <c r="AB17" s="57" t="s">
        <v>658</v>
      </c>
      <c r="AC17" s="58">
        <v>850851.4</v>
      </c>
      <c r="AD17" s="58">
        <v>290743.79</v>
      </c>
      <c r="AE17" s="58">
        <v>106885.8</v>
      </c>
      <c r="AF17" s="58">
        <v>216000.4</v>
      </c>
      <c r="AG17" s="58">
        <v>107153.2</v>
      </c>
      <c r="AH17" s="58">
        <v>-331561</v>
      </c>
      <c r="AI17" s="58">
        <v>60000</v>
      </c>
      <c r="AJ17" s="58">
        <v>84000</v>
      </c>
      <c r="AK17" s="58">
        <v>-840767</v>
      </c>
      <c r="AL17" s="58">
        <v>103500</v>
      </c>
      <c r="AM17" s="58">
        <v>138000</v>
      </c>
      <c r="AN17" s="58">
        <v>675740.54</v>
      </c>
      <c r="AO17" s="58">
        <v>1460547.13</v>
      </c>
    </row>
    <row r="18" s="107" customFormat="1" customHeight="1" spans="1:41">
      <c r="A18" s="37" t="s">
        <v>637</v>
      </c>
      <c r="B18" s="38">
        <v>44957</v>
      </c>
      <c r="C18" s="37" t="s">
        <v>646</v>
      </c>
      <c r="D18" s="37" t="s">
        <v>639</v>
      </c>
      <c r="E18" s="37" t="s">
        <v>640</v>
      </c>
      <c r="F18" s="37" t="s">
        <v>641</v>
      </c>
      <c r="G18" s="37" t="s">
        <v>642</v>
      </c>
      <c r="H18" s="37" t="s">
        <v>650</v>
      </c>
      <c r="I18" s="37" t="s">
        <v>430</v>
      </c>
      <c r="J18" s="37" t="s">
        <v>644</v>
      </c>
      <c r="K18" s="37" t="s">
        <v>14</v>
      </c>
      <c r="L18" s="47">
        <v>23286.24</v>
      </c>
      <c r="M18" s="47">
        <v>21968.15</v>
      </c>
      <c r="N18" s="47">
        <v>1318.09</v>
      </c>
      <c r="O18" s="37" t="s">
        <v>688</v>
      </c>
      <c r="Q18" s="57"/>
      <c r="R18" s="57" t="s">
        <v>670</v>
      </c>
      <c r="S18" s="58">
        <v>800411.22</v>
      </c>
      <c r="T18" s="58">
        <v>755104.93</v>
      </c>
      <c r="U18" s="111"/>
      <c r="V18" s="30"/>
      <c r="W18" s="58"/>
      <c r="X18" s="58"/>
      <c r="Y18" s="119"/>
      <c r="Z18" s="119"/>
      <c r="AA18" s="57"/>
      <c r="AB18" s="57" t="s">
        <v>672</v>
      </c>
      <c r="AC18" s="58">
        <v>516610</v>
      </c>
      <c r="AD18" s="58">
        <v>2164096.2</v>
      </c>
      <c r="AE18" s="58">
        <v>360468</v>
      </c>
      <c r="AF18" s="58">
        <v>417663</v>
      </c>
      <c r="AG18" s="58">
        <v>-487591.84</v>
      </c>
      <c r="AH18" s="58">
        <v>2019776</v>
      </c>
      <c r="AI18" s="58">
        <v>1566210</v>
      </c>
      <c r="AJ18" s="58">
        <v>1249120</v>
      </c>
      <c r="AK18" s="58">
        <v>233680</v>
      </c>
      <c r="AL18" s="58">
        <v>169600</v>
      </c>
      <c r="AM18" s="58">
        <v>68040</v>
      </c>
      <c r="AN18" s="58">
        <v>84780</v>
      </c>
      <c r="AO18" s="58">
        <v>8362451.36</v>
      </c>
    </row>
    <row r="19" s="107" customFormat="1" customHeight="1" spans="1:41">
      <c r="A19" s="37" t="s">
        <v>637</v>
      </c>
      <c r="B19" s="38">
        <v>44957</v>
      </c>
      <c r="C19" s="37" t="s">
        <v>646</v>
      </c>
      <c r="D19" s="37" t="s">
        <v>639</v>
      </c>
      <c r="E19" s="37" t="s">
        <v>640</v>
      </c>
      <c r="F19" s="37" t="s">
        <v>689</v>
      </c>
      <c r="G19" s="37" t="s">
        <v>648</v>
      </c>
      <c r="H19" s="37" t="s">
        <v>650</v>
      </c>
      <c r="I19" s="37" t="s">
        <v>690</v>
      </c>
      <c r="J19" s="37" t="s">
        <v>656</v>
      </c>
      <c r="K19" s="37" t="s">
        <v>165</v>
      </c>
      <c r="L19" s="47">
        <v>12635</v>
      </c>
      <c r="M19" s="47">
        <v>11919.81</v>
      </c>
      <c r="N19" s="47">
        <v>715.19</v>
      </c>
      <c r="O19" s="37" t="s">
        <v>691</v>
      </c>
      <c r="Q19" s="57"/>
      <c r="R19" s="57" t="s">
        <v>692</v>
      </c>
      <c r="S19" s="58">
        <v>3928.49</v>
      </c>
      <c r="T19" s="58">
        <v>3706.12</v>
      </c>
      <c r="U19" s="111"/>
      <c r="V19" s="30"/>
      <c r="W19" s="58"/>
      <c r="X19" s="58"/>
      <c r="Y19" s="119"/>
      <c r="Z19" s="119"/>
      <c r="AA19" s="57"/>
      <c r="AB19" s="57" t="s">
        <v>664</v>
      </c>
      <c r="AC19" s="58">
        <v>17302.25</v>
      </c>
      <c r="AD19" s="58">
        <v>21736.88</v>
      </c>
      <c r="AE19" s="58">
        <v>20058.5</v>
      </c>
      <c r="AF19" s="58">
        <v>18494</v>
      </c>
      <c r="AG19" s="58">
        <v>13448</v>
      </c>
      <c r="AH19" s="58">
        <v>10624.88</v>
      </c>
      <c r="AI19" s="58">
        <v>8160</v>
      </c>
      <c r="AJ19" s="58">
        <v>8728.88</v>
      </c>
      <c r="AK19" s="58">
        <v>35990.9</v>
      </c>
      <c r="AL19" s="58">
        <v>9852</v>
      </c>
      <c r="AM19" s="58">
        <v>12340.2</v>
      </c>
      <c r="AN19" s="58">
        <v>7499.7</v>
      </c>
      <c r="AO19" s="58">
        <v>184236.19</v>
      </c>
    </row>
    <row r="20" s="107" customFormat="1" customHeight="1" spans="1:41">
      <c r="A20" s="37" t="s">
        <v>637</v>
      </c>
      <c r="B20" s="38">
        <v>44957</v>
      </c>
      <c r="C20" s="37" t="s">
        <v>646</v>
      </c>
      <c r="D20" s="37" t="s">
        <v>639</v>
      </c>
      <c r="E20" s="37" t="s">
        <v>647</v>
      </c>
      <c r="F20" s="37" t="s">
        <v>641</v>
      </c>
      <c r="G20" s="37" t="s">
        <v>642</v>
      </c>
      <c r="H20" s="37" t="s">
        <v>650</v>
      </c>
      <c r="I20" s="37" t="s">
        <v>678</v>
      </c>
      <c r="J20" s="37" t="s">
        <v>656</v>
      </c>
      <c r="K20" s="37" t="s">
        <v>350</v>
      </c>
      <c r="L20" s="47">
        <v>12312</v>
      </c>
      <c r="M20" s="47">
        <v>11615.1</v>
      </c>
      <c r="N20" s="47">
        <v>696.9</v>
      </c>
      <c r="O20" s="37" t="s">
        <v>693</v>
      </c>
      <c r="Q20" s="57"/>
      <c r="R20" s="57" t="s">
        <v>694</v>
      </c>
      <c r="S20" s="58">
        <v>3330</v>
      </c>
      <c r="T20" s="58">
        <v>3141.5</v>
      </c>
      <c r="U20" s="111"/>
      <c r="V20" s="114"/>
      <c r="W20" s="111"/>
      <c r="X20" s="111"/>
      <c r="Y20" s="119"/>
      <c r="Z20" s="119"/>
      <c r="AA20" s="57"/>
      <c r="AB20" s="57" t="s">
        <v>692</v>
      </c>
      <c r="AC20" s="58"/>
      <c r="AD20" s="58"/>
      <c r="AE20" s="58"/>
      <c r="AF20" s="58"/>
      <c r="AG20" s="58"/>
      <c r="AH20" s="58">
        <v>1259.02</v>
      </c>
      <c r="AI20" s="58"/>
      <c r="AJ20" s="58"/>
      <c r="AK20" s="58"/>
      <c r="AL20" s="58"/>
      <c r="AM20" s="58">
        <v>2669.47</v>
      </c>
      <c r="AN20" s="58"/>
      <c r="AO20" s="58">
        <v>3928.49</v>
      </c>
    </row>
    <row r="21" s="107" customFormat="1" customHeight="1" spans="1:41">
      <c r="A21" s="37" t="s">
        <v>637</v>
      </c>
      <c r="B21" s="38">
        <v>44957</v>
      </c>
      <c r="C21" s="37" t="s">
        <v>646</v>
      </c>
      <c r="D21" s="37" t="s">
        <v>639</v>
      </c>
      <c r="E21" s="37" t="s">
        <v>640</v>
      </c>
      <c r="F21" s="37" t="s">
        <v>641</v>
      </c>
      <c r="G21" s="37" t="s">
        <v>642</v>
      </c>
      <c r="H21" s="37" t="s">
        <v>643</v>
      </c>
      <c r="I21" s="37" t="s">
        <v>430</v>
      </c>
      <c r="J21" s="37" t="s">
        <v>644</v>
      </c>
      <c r="K21" s="37" t="s">
        <v>14</v>
      </c>
      <c r="L21" s="47">
        <v>-76542.79</v>
      </c>
      <c r="M21" s="47">
        <v>-72210.18</v>
      </c>
      <c r="N21" s="47">
        <v>-4332.61</v>
      </c>
      <c r="O21" s="37" t="s">
        <v>695</v>
      </c>
      <c r="Q21" s="57"/>
      <c r="R21" s="57" t="s">
        <v>696</v>
      </c>
      <c r="S21" s="58">
        <v>1502960</v>
      </c>
      <c r="T21" s="58">
        <v>1417886.8</v>
      </c>
      <c r="U21" s="111"/>
      <c r="V21" s="114"/>
      <c r="W21" s="111"/>
      <c r="X21" s="111"/>
      <c r="Y21" s="119"/>
      <c r="Z21" s="119"/>
      <c r="AA21" s="57"/>
      <c r="AB21" s="57" t="s">
        <v>694</v>
      </c>
      <c r="AC21" s="58"/>
      <c r="AD21" s="58"/>
      <c r="AE21" s="58"/>
      <c r="AF21" s="58"/>
      <c r="AG21" s="58"/>
      <c r="AH21" s="58">
        <v>2347.5</v>
      </c>
      <c r="AI21" s="58">
        <v>487</v>
      </c>
      <c r="AJ21" s="58">
        <v>85</v>
      </c>
      <c r="AK21" s="58"/>
      <c r="AL21" s="58"/>
      <c r="AM21" s="58">
        <v>10</v>
      </c>
      <c r="AN21" s="58">
        <v>400.5</v>
      </c>
      <c r="AO21" s="58">
        <v>3330</v>
      </c>
    </row>
    <row r="22" s="107" customFormat="1" customHeight="1" spans="1:41">
      <c r="A22" s="37" t="s">
        <v>637</v>
      </c>
      <c r="B22" s="38">
        <v>44957</v>
      </c>
      <c r="C22" s="37" t="s">
        <v>646</v>
      </c>
      <c r="D22" s="37" t="s">
        <v>639</v>
      </c>
      <c r="E22" s="37" t="s">
        <v>647</v>
      </c>
      <c r="F22" s="37" t="s">
        <v>689</v>
      </c>
      <c r="G22" s="37" t="s">
        <v>654</v>
      </c>
      <c r="H22" s="37" t="s">
        <v>697</v>
      </c>
      <c r="I22" s="37" t="s">
        <v>658</v>
      </c>
      <c r="J22" s="37" t="s">
        <v>656</v>
      </c>
      <c r="K22" s="37" t="s">
        <v>350</v>
      </c>
      <c r="L22" s="47">
        <v>850851.4</v>
      </c>
      <c r="M22" s="47">
        <v>802689.99</v>
      </c>
      <c r="N22" s="47">
        <v>48161.41</v>
      </c>
      <c r="O22" s="37" t="s">
        <v>698</v>
      </c>
      <c r="Q22" s="57"/>
      <c r="R22" s="57" t="s">
        <v>699</v>
      </c>
      <c r="S22" s="58">
        <v>18393</v>
      </c>
      <c r="T22" s="58">
        <v>17351.89</v>
      </c>
      <c r="U22" s="111"/>
      <c r="V22" s="114"/>
      <c r="W22" s="111"/>
      <c r="X22" s="111"/>
      <c r="Y22" s="119"/>
      <c r="Z22" s="119"/>
      <c r="AA22" s="57"/>
      <c r="AB22" s="57" t="s">
        <v>696</v>
      </c>
      <c r="AC22" s="58"/>
      <c r="AD22" s="58"/>
      <c r="AE22" s="58"/>
      <c r="AF22" s="58"/>
      <c r="AG22" s="58"/>
      <c r="AH22" s="58"/>
      <c r="AI22" s="58">
        <v>240928</v>
      </c>
      <c r="AJ22" s="58">
        <v>1262032</v>
      </c>
      <c r="AK22" s="58"/>
      <c r="AL22" s="58"/>
      <c r="AM22" s="58"/>
      <c r="AN22" s="58"/>
      <c r="AO22" s="58">
        <v>1502960</v>
      </c>
    </row>
    <row r="23" s="107" customFormat="1" customHeight="1" spans="1:41">
      <c r="A23" s="37" t="s">
        <v>637</v>
      </c>
      <c r="B23" s="38">
        <v>44957</v>
      </c>
      <c r="C23" s="37" t="s">
        <v>700</v>
      </c>
      <c r="D23" s="37" t="s">
        <v>639</v>
      </c>
      <c r="E23" s="37" t="s">
        <v>640</v>
      </c>
      <c r="F23" s="37" t="s">
        <v>659</v>
      </c>
      <c r="G23" s="37" t="s">
        <v>648</v>
      </c>
      <c r="H23" s="37" t="s">
        <v>650</v>
      </c>
      <c r="I23" s="37" t="s">
        <v>442</v>
      </c>
      <c r="J23" s="37" t="s">
        <v>644</v>
      </c>
      <c r="K23" s="37" t="s">
        <v>14</v>
      </c>
      <c r="L23" s="47">
        <v>36171.65</v>
      </c>
      <c r="M23" s="47">
        <v>34124.2</v>
      </c>
      <c r="N23" s="47">
        <v>2047.45</v>
      </c>
      <c r="O23" s="37" t="s">
        <v>701</v>
      </c>
      <c r="Q23" s="57"/>
      <c r="R23" s="57" t="s">
        <v>702</v>
      </c>
      <c r="S23" s="58">
        <v>291.25</v>
      </c>
      <c r="T23" s="58">
        <v>274.76</v>
      </c>
      <c r="U23" s="111"/>
      <c r="V23" s="114"/>
      <c r="W23" s="111"/>
      <c r="X23" s="111"/>
      <c r="Y23" s="119"/>
      <c r="Z23" s="119"/>
      <c r="AA23" s="57"/>
      <c r="AB23" s="57" t="s">
        <v>699</v>
      </c>
      <c r="AC23" s="58"/>
      <c r="AD23" s="58"/>
      <c r="AE23" s="58"/>
      <c r="AF23" s="58"/>
      <c r="AG23" s="58"/>
      <c r="AH23" s="58"/>
      <c r="AI23" s="58"/>
      <c r="AJ23" s="58"/>
      <c r="AK23" s="58">
        <v>18393</v>
      </c>
      <c r="AL23" s="58"/>
      <c r="AM23" s="58"/>
      <c r="AN23" s="58"/>
      <c r="AO23" s="58">
        <v>18393</v>
      </c>
    </row>
    <row r="24" s="107" customFormat="1" customHeight="1" spans="1:41">
      <c r="A24" s="37" t="s">
        <v>637</v>
      </c>
      <c r="B24" s="38">
        <v>44957</v>
      </c>
      <c r="C24" s="37" t="s">
        <v>700</v>
      </c>
      <c r="D24" s="37" t="s">
        <v>639</v>
      </c>
      <c r="E24" s="37" t="s">
        <v>640</v>
      </c>
      <c r="F24" s="37" t="s">
        <v>641</v>
      </c>
      <c r="G24" s="37" t="s">
        <v>654</v>
      </c>
      <c r="H24" s="37" t="s">
        <v>650</v>
      </c>
      <c r="I24" s="37" t="s">
        <v>442</v>
      </c>
      <c r="J24" s="37" t="s">
        <v>644</v>
      </c>
      <c r="K24" s="37" t="s">
        <v>14</v>
      </c>
      <c r="L24" s="47">
        <v>1040961.67</v>
      </c>
      <c r="M24" s="47">
        <v>982039.31</v>
      </c>
      <c r="N24" s="47">
        <v>58922.36</v>
      </c>
      <c r="O24" s="37" t="s">
        <v>703</v>
      </c>
      <c r="Q24" s="57"/>
      <c r="R24" s="57" t="s">
        <v>704</v>
      </c>
      <c r="S24" s="58">
        <v>95847.9</v>
      </c>
      <c r="T24" s="58">
        <v>90422.54</v>
      </c>
      <c r="U24" s="111"/>
      <c r="V24" s="114"/>
      <c r="W24" s="111"/>
      <c r="X24" s="111"/>
      <c r="Y24" s="119"/>
      <c r="Z24" s="119"/>
      <c r="AA24" s="57"/>
      <c r="AB24" s="57" t="s">
        <v>702</v>
      </c>
      <c r="AC24" s="58"/>
      <c r="AD24" s="58"/>
      <c r="AE24" s="58"/>
      <c r="AF24" s="58"/>
      <c r="AG24" s="58"/>
      <c r="AH24" s="58"/>
      <c r="AI24" s="58"/>
      <c r="AJ24" s="58"/>
      <c r="AK24" s="58"/>
      <c r="AL24" s="58">
        <v>291.25</v>
      </c>
      <c r="AM24" s="58"/>
      <c r="AN24" s="58"/>
      <c r="AO24" s="58">
        <v>291.25</v>
      </c>
    </row>
    <row r="25" s="107" customFormat="1" customHeight="1" spans="1:41">
      <c r="A25" s="37" t="s">
        <v>637</v>
      </c>
      <c r="B25" s="38">
        <v>44957</v>
      </c>
      <c r="C25" s="37" t="s">
        <v>700</v>
      </c>
      <c r="D25" s="37" t="s">
        <v>639</v>
      </c>
      <c r="E25" s="37" t="s">
        <v>640</v>
      </c>
      <c r="F25" s="37" t="s">
        <v>641</v>
      </c>
      <c r="G25" s="37" t="s">
        <v>642</v>
      </c>
      <c r="H25" s="37" t="s">
        <v>643</v>
      </c>
      <c r="I25" s="37" t="s">
        <v>430</v>
      </c>
      <c r="J25" s="37" t="s">
        <v>644</v>
      </c>
      <c r="K25" s="37" t="s">
        <v>14</v>
      </c>
      <c r="L25" s="47">
        <v>568924.94</v>
      </c>
      <c r="M25" s="47">
        <v>536721.64</v>
      </c>
      <c r="N25" s="47">
        <v>32203.3</v>
      </c>
      <c r="O25" s="37" t="s">
        <v>705</v>
      </c>
      <c r="Q25" s="57"/>
      <c r="R25" s="57" t="s">
        <v>706</v>
      </c>
      <c r="S25" s="58">
        <v>0</v>
      </c>
      <c r="T25" s="58">
        <v>0</v>
      </c>
      <c r="U25" s="111"/>
      <c r="V25" s="114"/>
      <c r="W25" s="111"/>
      <c r="X25" s="111"/>
      <c r="Y25" s="119"/>
      <c r="Z25" s="119"/>
      <c r="AA25" s="57"/>
      <c r="AB25" s="57" t="s">
        <v>704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>
        <v>62523</v>
      </c>
      <c r="AN25" s="58">
        <v>33324.9</v>
      </c>
      <c r="AO25" s="58">
        <v>95847.9</v>
      </c>
    </row>
    <row r="26" s="107" customFormat="1" customHeight="1" spans="1:41">
      <c r="A26" s="37" t="s">
        <v>637</v>
      </c>
      <c r="B26" s="38">
        <v>44957</v>
      </c>
      <c r="C26" s="37" t="s">
        <v>700</v>
      </c>
      <c r="D26" s="37" t="s">
        <v>639</v>
      </c>
      <c r="E26" s="37" t="s">
        <v>640</v>
      </c>
      <c r="F26" s="37" t="s">
        <v>707</v>
      </c>
      <c r="G26" s="37" t="s">
        <v>642</v>
      </c>
      <c r="H26" s="37" t="s">
        <v>697</v>
      </c>
      <c r="I26" s="37" t="s">
        <v>430</v>
      </c>
      <c r="J26" s="37" t="s">
        <v>644</v>
      </c>
      <c r="K26" s="37" t="s">
        <v>14</v>
      </c>
      <c r="L26" s="47">
        <v>-91520.26</v>
      </c>
      <c r="M26" s="47">
        <v>-86339.87</v>
      </c>
      <c r="N26" s="47">
        <v>-5180.39</v>
      </c>
      <c r="O26" s="37" t="s">
        <v>708</v>
      </c>
      <c r="Q26" s="57"/>
      <c r="R26" s="57" t="s">
        <v>709</v>
      </c>
      <c r="S26" s="58">
        <v>34800</v>
      </c>
      <c r="T26" s="58">
        <v>32830.19</v>
      </c>
      <c r="U26" s="111"/>
      <c r="V26" s="114"/>
      <c r="W26" s="111"/>
      <c r="X26" s="111"/>
      <c r="Y26" s="119"/>
      <c r="Z26" s="119"/>
      <c r="AA26" s="57"/>
      <c r="AB26" s="57" t="s">
        <v>706</v>
      </c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>
        <v>93597.85</v>
      </c>
      <c r="AN26" s="58">
        <v>-93597.85</v>
      </c>
      <c r="AO26" s="58">
        <v>0</v>
      </c>
    </row>
    <row r="27" s="107" customFormat="1" customHeight="1" spans="1:41">
      <c r="A27" s="37" t="s">
        <v>637</v>
      </c>
      <c r="B27" s="38">
        <v>44957</v>
      </c>
      <c r="C27" s="37" t="s">
        <v>710</v>
      </c>
      <c r="D27" s="37" t="s">
        <v>682</v>
      </c>
      <c r="E27" s="37" t="s">
        <v>647</v>
      </c>
      <c r="F27" s="37" t="s">
        <v>641</v>
      </c>
      <c r="G27" s="37" t="s">
        <v>648</v>
      </c>
      <c r="H27" s="37" t="s">
        <v>650</v>
      </c>
      <c r="I27" s="37" t="s">
        <v>711</v>
      </c>
      <c r="J27" s="37" t="s">
        <v>656</v>
      </c>
      <c r="K27" s="37" t="s">
        <v>13</v>
      </c>
      <c r="L27" s="47">
        <v>13350</v>
      </c>
      <c r="M27" s="47">
        <v>12594.34</v>
      </c>
      <c r="N27" s="47">
        <v>755.66</v>
      </c>
      <c r="O27" s="37" t="s">
        <v>712</v>
      </c>
      <c r="Q27" s="57"/>
      <c r="R27" s="57" t="s">
        <v>713</v>
      </c>
      <c r="S27" s="58">
        <v>-248.4</v>
      </c>
      <c r="T27" s="58">
        <v>-234.34</v>
      </c>
      <c r="U27" s="111"/>
      <c r="V27" s="114"/>
      <c r="W27" s="111"/>
      <c r="X27" s="111"/>
      <c r="Y27" s="119"/>
      <c r="Z27" s="119"/>
      <c r="AA27" s="57"/>
      <c r="AB27" s="57" t="s">
        <v>709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>
        <v>34800</v>
      </c>
      <c r="AO27" s="58">
        <v>34800</v>
      </c>
    </row>
    <row r="28" s="107" customFormat="1" customHeight="1" spans="1:41">
      <c r="A28" s="37" t="s">
        <v>637</v>
      </c>
      <c r="B28" s="38">
        <v>44957</v>
      </c>
      <c r="C28" s="37" t="s">
        <v>700</v>
      </c>
      <c r="D28" s="37" t="s">
        <v>639</v>
      </c>
      <c r="E28" s="37" t="s">
        <v>647</v>
      </c>
      <c r="F28" s="37" t="s">
        <v>659</v>
      </c>
      <c r="G28" s="37" t="s">
        <v>642</v>
      </c>
      <c r="H28" s="37" t="s">
        <v>650</v>
      </c>
      <c r="I28" s="37" t="s">
        <v>442</v>
      </c>
      <c r="J28" s="37" t="s">
        <v>644</v>
      </c>
      <c r="K28" s="37" t="s">
        <v>14</v>
      </c>
      <c r="L28" s="47">
        <v>862313.92</v>
      </c>
      <c r="M28" s="47">
        <v>813503.68</v>
      </c>
      <c r="N28" s="47">
        <v>48810.24</v>
      </c>
      <c r="O28" s="37" t="s">
        <v>714</v>
      </c>
      <c r="Q28" s="57" t="s">
        <v>166</v>
      </c>
      <c r="R28" s="57"/>
      <c r="S28" s="58">
        <v>38627067.5</v>
      </c>
      <c r="T28" s="58">
        <v>36440629.41</v>
      </c>
      <c r="U28" s="111"/>
      <c r="V28" s="114"/>
      <c r="W28" s="111"/>
      <c r="X28" s="111"/>
      <c r="Y28" s="119"/>
      <c r="Z28" s="119"/>
      <c r="AA28" s="57"/>
      <c r="AB28" s="57" t="s">
        <v>713</v>
      </c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>
        <v>-248.4</v>
      </c>
      <c r="AO28" s="58">
        <v>-248.4</v>
      </c>
    </row>
    <row r="29" s="107" customFormat="1" customHeight="1" spans="1:41">
      <c r="A29" s="37" t="s">
        <v>637</v>
      </c>
      <c r="B29" s="38">
        <v>44957</v>
      </c>
      <c r="C29" s="37" t="s">
        <v>715</v>
      </c>
      <c r="D29" s="37" t="s">
        <v>653</v>
      </c>
      <c r="E29" s="37" t="s">
        <v>647</v>
      </c>
      <c r="F29" s="37" t="s">
        <v>659</v>
      </c>
      <c r="G29" s="37" t="s">
        <v>648</v>
      </c>
      <c r="H29" s="37" t="s">
        <v>650</v>
      </c>
      <c r="I29" s="37" t="s">
        <v>716</v>
      </c>
      <c r="J29" s="37" t="s">
        <v>656</v>
      </c>
      <c r="K29" s="37" t="s">
        <v>166</v>
      </c>
      <c r="L29" s="47">
        <v>261.09</v>
      </c>
      <c r="M29" s="47">
        <v>246.27</v>
      </c>
      <c r="N29" s="47">
        <v>14.82</v>
      </c>
      <c r="O29" s="37" t="s">
        <v>717</v>
      </c>
      <c r="Q29" s="57"/>
      <c r="R29" s="57" t="s">
        <v>437</v>
      </c>
      <c r="S29" s="58">
        <v>669761.7</v>
      </c>
      <c r="T29" s="58">
        <v>631850.66</v>
      </c>
      <c r="U29" s="111"/>
      <c r="V29" s="114"/>
      <c r="W29" s="111"/>
      <c r="X29" s="111"/>
      <c r="Y29" s="119"/>
      <c r="Z29" s="119"/>
      <c r="AA29" s="57" t="s">
        <v>166</v>
      </c>
      <c r="AB29" s="57"/>
      <c r="AC29" s="58">
        <v>7055101.53</v>
      </c>
      <c r="AD29" s="58">
        <v>986088.57</v>
      </c>
      <c r="AE29" s="58">
        <v>1016011.17</v>
      </c>
      <c r="AF29" s="58">
        <v>553896.18</v>
      </c>
      <c r="AG29" s="58">
        <v>6414025.53</v>
      </c>
      <c r="AH29" s="58">
        <v>793666.37</v>
      </c>
      <c r="AI29" s="58">
        <v>713921.69</v>
      </c>
      <c r="AJ29" s="58">
        <v>5346386.1</v>
      </c>
      <c r="AK29" s="58">
        <v>1895560.2</v>
      </c>
      <c r="AL29" s="58">
        <v>716917.73</v>
      </c>
      <c r="AM29" s="58">
        <v>5404193.94</v>
      </c>
      <c r="AN29" s="58">
        <v>7731298.49</v>
      </c>
      <c r="AO29" s="58">
        <v>38627067.5</v>
      </c>
    </row>
    <row r="30" s="107" customFormat="1" customHeight="1" spans="1:41">
      <c r="A30" s="37" t="s">
        <v>637</v>
      </c>
      <c r="B30" s="38">
        <v>44957</v>
      </c>
      <c r="C30" s="37" t="s">
        <v>700</v>
      </c>
      <c r="D30" s="37" t="s">
        <v>639</v>
      </c>
      <c r="E30" s="37" t="s">
        <v>647</v>
      </c>
      <c r="F30" s="37" t="s">
        <v>641</v>
      </c>
      <c r="G30" s="37" t="s">
        <v>648</v>
      </c>
      <c r="H30" s="37" t="s">
        <v>650</v>
      </c>
      <c r="I30" s="37" t="s">
        <v>460</v>
      </c>
      <c r="J30" s="37" t="s">
        <v>644</v>
      </c>
      <c r="K30" s="37" t="s">
        <v>14</v>
      </c>
      <c r="L30" s="47">
        <v>2466.84</v>
      </c>
      <c r="M30" s="47">
        <v>2327.22</v>
      </c>
      <c r="N30" s="47">
        <v>139.62</v>
      </c>
      <c r="O30" s="37" t="s">
        <v>718</v>
      </c>
      <c r="Q30" s="57"/>
      <c r="R30" s="57" t="s">
        <v>719</v>
      </c>
      <c r="S30" s="58">
        <v>21533.4</v>
      </c>
      <c r="T30" s="58">
        <v>20314.5</v>
      </c>
      <c r="U30" s="111"/>
      <c r="V30" s="114"/>
      <c r="W30" s="111"/>
      <c r="X30" s="111"/>
      <c r="Y30" s="119"/>
      <c r="Z30" s="119"/>
      <c r="AA30" s="57"/>
      <c r="AB30" s="57" t="s">
        <v>720</v>
      </c>
      <c r="AC30" s="58"/>
      <c r="AD30" s="58"/>
      <c r="AE30" s="58">
        <v>5922</v>
      </c>
      <c r="AF30" s="58">
        <v>11818.9</v>
      </c>
      <c r="AG30" s="58">
        <v>893.8</v>
      </c>
      <c r="AH30" s="58">
        <v>127.3</v>
      </c>
      <c r="AI30" s="58"/>
      <c r="AJ30" s="58"/>
      <c r="AK30" s="58"/>
      <c r="AL30" s="58"/>
      <c r="AM30" s="58"/>
      <c r="AN30" s="58"/>
      <c r="AO30" s="58">
        <v>18762</v>
      </c>
    </row>
    <row r="31" s="107" customFormat="1" customHeight="1" spans="1:41">
      <c r="A31" s="37" t="s">
        <v>637</v>
      </c>
      <c r="B31" s="38">
        <v>44957</v>
      </c>
      <c r="C31" s="37" t="s">
        <v>710</v>
      </c>
      <c r="D31" s="37" t="s">
        <v>682</v>
      </c>
      <c r="E31" s="37" t="s">
        <v>640</v>
      </c>
      <c r="F31" s="37" t="s">
        <v>641</v>
      </c>
      <c r="G31" s="37" t="s">
        <v>642</v>
      </c>
      <c r="H31" s="37" t="s">
        <v>650</v>
      </c>
      <c r="I31" s="37" t="s">
        <v>711</v>
      </c>
      <c r="J31" s="37" t="s">
        <v>644</v>
      </c>
      <c r="K31" s="37" t="s">
        <v>13</v>
      </c>
      <c r="L31" s="47">
        <v>12061.2</v>
      </c>
      <c r="M31" s="47">
        <v>11378.49</v>
      </c>
      <c r="N31" s="47">
        <v>682.71</v>
      </c>
      <c r="O31" s="37" t="s">
        <v>721</v>
      </c>
      <c r="Q31" s="57"/>
      <c r="R31" s="57" t="s">
        <v>429</v>
      </c>
      <c r="S31" s="58">
        <v>293379.83</v>
      </c>
      <c r="T31" s="58">
        <v>276773.45</v>
      </c>
      <c r="U31" s="111"/>
      <c r="V31" s="114"/>
      <c r="W31" s="111"/>
      <c r="X31" s="111"/>
      <c r="Y31" s="119"/>
      <c r="Z31" s="119"/>
      <c r="AA31" s="57"/>
      <c r="AB31" s="57" t="s">
        <v>437</v>
      </c>
      <c r="AC31" s="58"/>
      <c r="AD31" s="58">
        <v>404905.25</v>
      </c>
      <c r="AE31" s="58">
        <v>264856.45</v>
      </c>
      <c r="AF31" s="58"/>
      <c r="AG31" s="58"/>
      <c r="AH31" s="58"/>
      <c r="AI31" s="58"/>
      <c r="AJ31" s="58"/>
      <c r="AK31" s="58"/>
      <c r="AL31" s="58"/>
      <c r="AM31" s="58"/>
      <c r="AN31" s="58"/>
      <c r="AO31" s="58">
        <v>669761.7</v>
      </c>
    </row>
    <row r="32" s="107" customFormat="1" customHeight="1" spans="1:41">
      <c r="A32" s="37" t="s">
        <v>637</v>
      </c>
      <c r="B32" s="38">
        <v>44957</v>
      </c>
      <c r="C32" s="37" t="s">
        <v>700</v>
      </c>
      <c r="D32" s="37" t="s">
        <v>639</v>
      </c>
      <c r="E32" s="37" t="s">
        <v>647</v>
      </c>
      <c r="F32" s="37" t="s">
        <v>641</v>
      </c>
      <c r="G32" s="37" t="s">
        <v>648</v>
      </c>
      <c r="H32" s="37" t="s">
        <v>643</v>
      </c>
      <c r="I32" s="37" t="s">
        <v>430</v>
      </c>
      <c r="J32" s="37" t="s">
        <v>644</v>
      </c>
      <c r="K32" s="37" t="s">
        <v>14</v>
      </c>
      <c r="L32" s="47">
        <v>550469.97</v>
      </c>
      <c r="M32" s="47">
        <v>519311.3</v>
      </c>
      <c r="N32" s="47">
        <v>31158.67</v>
      </c>
      <c r="O32" s="37" t="s">
        <v>722</v>
      </c>
      <c r="Q32" s="57"/>
      <c r="R32" s="57" t="s">
        <v>716</v>
      </c>
      <c r="S32" s="58">
        <v>4156.29</v>
      </c>
      <c r="T32" s="58">
        <v>3920.77</v>
      </c>
      <c r="U32" s="111"/>
      <c r="V32" s="114"/>
      <c r="W32" s="111"/>
      <c r="X32" s="111"/>
      <c r="Y32" s="119"/>
      <c r="Z32" s="119"/>
      <c r="AA32" s="57"/>
      <c r="AB32" s="57" t="s">
        <v>719</v>
      </c>
      <c r="AC32" s="58">
        <v>3735.96</v>
      </c>
      <c r="AD32" s="58">
        <v>1328.82</v>
      </c>
      <c r="AE32" s="58">
        <v>1811.64</v>
      </c>
      <c r="AF32" s="58">
        <v>1282.68</v>
      </c>
      <c r="AG32" s="58">
        <v>5133.12</v>
      </c>
      <c r="AH32" s="58">
        <v>3831.48</v>
      </c>
      <c r="AI32" s="58">
        <v>1482.3</v>
      </c>
      <c r="AJ32" s="58">
        <v>847.2</v>
      </c>
      <c r="AK32" s="58">
        <v>466.98</v>
      </c>
      <c r="AL32" s="58">
        <v>248.16</v>
      </c>
      <c r="AM32" s="58">
        <v>622.68</v>
      </c>
      <c r="AN32" s="58">
        <v>742.38</v>
      </c>
      <c r="AO32" s="58">
        <v>21533.4</v>
      </c>
    </row>
    <row r="33" s="107" customFormat="1" customHeight="1" spans="1:41">
      <c r="A33" s="37" t="s">
        <v>637</v>
      </c>
      <c r="B33" s="38">
        <v>44957</v>
      </c>
      <c r="C33" s="37" t="s">
        <v>710</v>
      </c>
      <c r="D33" s="37" t="s">
        <v>639</v>
      </c>
      <c r="E33" s="37" t="s">
        <v>640</v>
      </c>
      <c r="F33" s="37" t="s">
        <v>707</v>
      </c>
      <c r="G33" s="37" t="s">
        <v>648</v>
      </c>
      <c r="H33" s="37" t="s">
        <v>650</v>
      </c>
      <c r="I33" s="37" t="s">
        <v>723</v>
      </c>
      <c r="J33" s="37" t="s">
        <v>644</v>
      </c>
      <c r="K33" s="37" t="s">
        <v>165</v>
      </c>
      <c r="L33" s="47">
        <v>617770</v>
      </c>
      <c r="M33" s="47">
        <v>582801.89</v>
      </c>
      <c r="N33" s="47">
        <v>34968.11</v>
      </c>
      <c r="O33" s="37" t="s">
        <v>724</v>
      </c>
      <c r="Q33" s="57"/>
      <c r="R33" s="57" t="s">
        <v>462</v>
      </c>
      <c r="S33" s="58">
        <v>31192815.24</v>
      </c>
      <c r="T33" s="58">
        <v>29427184.16</v>
      </c>
      <c r="U33" s="111"/>
      <c r="V33" s="114"/>
      <c r="W33" s="111"/>
      <c r="X33" s="111"/>
      <c r="Y33" s="119"/>
      <c r="Z33" s="119"/>
      <c r="AA33" s="57"/>
      <c r="AB33" s="57" t="s">
        <v>429</v>
      </c>
      <c r="AC33" s="58"/>
      <c r="AD33" s="58">
        <v>2096.13</v>
      </c>
      <c r="AE33" s="58">
        <v>12470.58</v>
      </c>
      <c r="AF33" s="58">
        <v>3851.82</v>
      </c>
      <c r="AG33" s="58">
        <v>10383.62</v>
      </c>
      <c r="AH33" s="58">
        <v>187908</v>
      </c>
      <c r="AI33" s="58">
        <v>17951.01</v>
      </c>
      <c r="AJ33" s="58">
        <v>11005.95</v>
      </c>
      <c r="AK33" s="58">
        <v>19513.68</v>
      </c>
      <c r="AL33" s="58">
        <v>11838.87</v>
      </c>
      <c r="AM33" s="58">
        <v>9999.29</v>
      </c>
      <c r="AN33" s="58">
        <v>6360.88</v>
      </c>
      <c r="AO33" s="58">
        <v>293379.83</v>
      </c>
    </row>
    <row r="34" s="107" customFormat="1" customHeight="1" spans="1:41">
      <c r="A34" s="37" t="s">
        <v>637</v>
      </c>
      <c r="B34" s="38">
        <v>44957</v>
      </c>
      <c r="C34" s="37" t="s">
        <v>725</v>
      </c>
      <c r="D34" s="37" t="s">
        <v>726</v>
      </c>
      <c r="E34" s="37" t="s">
        <v>647</v>
      </c>
      <c r="F34" s="37" t="s">
        <v>641</v>
      </c>
      <c r="G34" s="37" t="s">
        <v>648</v>
      </c>
      <c r="H34" s="37" t="s">
        <v>643</v>
      </c>
      <c r="I34" s="37" t="s">
        <v>430</v>
      </c>
      <c r="J34" s="37" t="s">
        <v>644</v>
      </c>
      <c r="K34" s="37" t="s">
        <v>14</v>
      </c>
      <c r="L34" s="47">
        <v>1167354.97</v>
      </c>
      <c r="M34" s="47">
        <v>1101278.26</v>
      </c>
      <c r="N34" s="47">
        <v>66076.71</v>
      </c>
      <c r="O34" s="37" t="s">
        <v>727</v>
      </c>
      <c r="Q34" s="57"/>
      <c r="R34" s="57" t="s">
        <v>728</v>
      </c>
      <c r="S34" s="58">
        <v>407505.4</v>
      </c>
      <c r="T34" s="58">
        <v>384439.04</v>
      </c>
      <c r="U34" s="111"/>
      <c r="V34" s="114"/>
      <c r="W34" s="111"/>
      <c r="X34" s="111"/>
      <c r="Y34" s="119"/>
      <c r="Z34" s="119"/>
      <c r="AA34" s="57"/>
      <c r="AB34" s="57" t="s">
        <v>728</v>
      </c>
      <c r="AC34" s="58"/>
      <c r="AD34" s="58">
        <v>27291.72</v>
      </c>
      <c r="AE34" s="58">
        <v>5056.36</v>
      </c>
      <c r="AF34" s="58">
        <v>15294.96</v>
      </c>
      <c r="AG34" s="58">
        <v>47270.56</v>
      </c>
      <c r="AH34" s="58">
        <v>35892.47</v>
      </c>
      <c r="AI34" s="58">
        <v>59871.49</v>
      </c>
      <c r="AJ34" s="58">
        <v>83703.08</v>
      </c>
      <c r="AK34" s="58">
        <v>40689.38</v>
      </c>
      <c r="AL34" s="58">
        <v>47307.64</v>
      </c>
      <c r="AM34" s="58">
        <v>27000.94</v>
      </c>
      <c r="AN34" s="58">
        <v>18126.8</v>
      </c>
      <c r="AO34" s="58">
        <v>407505.4</v>
      </c>
    </row>
    <row r="35" s="107" customFormat="1" customHeight="1" spans="1:41">
      <c r="A35" s="37" t="s">
        <v>637</v>
      </c>
      <c r="B35" s="38">
        <v>44957</v>
      </c>
      <c r="C35" s="37" t="s">
        <v>725</v>
      </c>
      <c r="D35" s="37" t="s">
        <v>639</v>
      </c>
      <c r="E35" s="37" t="s">
        <v>640</v>
      </c>
      <c r="F35" s="37" t="s">
        <v>641</v>
      </c>
      <c r="G35" s="37" t="s">
        <v>642</v>
      </c>
      <c r="H35" s="37" t="s">
        <v>643</v>
      </c>
      <c r="I35" s="37" t="s">
        <v>430</v>
      </c>
      <c r="J35" s="37" t="s">
        <v>656</v>
      </c>
      <c r="K35" s="37" t="s">
        <v>14</v>
      </c>
      <c r="L35" s="47">
        <v>-602513.16</v>
      </c>
      <c r="M35" s="47">
        <v>-568408.64</v>
      </c>
      <c r="N35" s="47">
        <v>-34104.52</v>
      </c>
      <c r="O35" s="37" t="s">
        <v>729</v>
      </c>
      <c r="Q35" s="57"/>
      <c r="R35" s="57" t="s">
        <v>720</v>
      </c>
      <c r="S35" s="58">
        <v>18762</v>
      </c>
      <c r="T35" s="58">
        <v>17700</v>
      </c>
      <c r="U35" s="111"/>
      <c r="V35" s="114"/>
      <c r="W35" s="111"/>
      <c r="X35" s="111"/>
      <c r="Y35" s="119"/>
      <c r="Z35" s="119"/>
      <c r="AA35" s="57"/>
      <c r="AB35" s="57" t="s">
        <v>716</v>
      </c>
      <c r="AC35" s="58">
        <v>261.09</v>
      </c>
      <c r="AD35" s="58">
        <v>301.59</v>
      </c>
      <c r="AE35" s="58">
        <v>355.86</v>
      </c>
      <c r="AF35" s="58">
        <v>345.15</v>
      </c>
      <c r="AG35" s="58">
        <v>400.5</v>
      </c>
      <c r="AH35" s="58">
        <v>424.26</v>
      </c>
      <c r="AI35" s="58">
        <v>332.91</v>
      </c>
      <c r="AJ35" s="58">
        <v>297.81</v>
      </c>
      <c r="AK35" s="58">
        <v>255.69</v>
      </c>
      <c r="AL35" s="58">
        <v>431.55</v>
      </c>
      <c r="AM35" s="58">
        <v>426.69</v>
      </c>
      <c r="AN35" s="58">
        <v>323.19</v>
      </c>
      <c r="AO35" s="58">
        <v>4156.29</v>
      </c>
    </row>
    <row r="36" s="107" customFormat="1" customHeight="1" spans="1:41">
      <c r="A36" s="37" t="s">
        <v>637</v>
      </c>
      <c r="B36" s="38">
        <v>44957</v>
      </c>
      <c r="C36" s="37" t="s">
        <v>730</v>
      </c>
      <c r="D36" s="37" t="s">
        <v>653</v>
      </c>
      <c r="E36" s="37" t="s">
        <v>647</v>
      </c>
      <c r="F36" s="37" t="s">
        <v>659</v>
      </c>
      <c r="G36" s="37" t="s">
        <v>648</v>
      </c>
      <c r="H36" s="37" t="s">
        <v>650</v>
      </c>
      <c r="I36" s="37" t="s">
        <v>719</v>
      </c>
      <c r="J36" s="37" t="s">
        <v>656</v>
      </c>
      <c r="K36" s="37" t="s">
        <v>166</v>
      </c>
      <c r="L36" s="47">
        <v>3735.96</v>
      </c>
      <c r="M36" s="47">
        <v>3524.48</v>
      </c>
      <c r="N36" s="47">
        <v>211.48</v>
      </c>
      <c r="O36" s="37" t="s">
        <v>731</v>
      </c>
      <c r="Q36" s="57"/>
      <c r="R36" s="57" t="s">
        <v>732</v>
      </c>
      <c r="S36" s="58">
        <v>31097.1</v>
      </c>
      <c r="T36" s="58">
        <v>29336.89</v>
      </c>
      <c r="U36" s="111"/>
      <c r="V36" s="114"/>
      <c r="W36" s="111"/>
      <c r="X36" s="111"/>
      <c r="Y36" s="119"/>
      <c r="Z36" s="119"/>
      <c r="AA36" s="57"/>
      <c r="AB36" s="57" t="s">
        <v>462</v>
      </c>
      <c r="AC36" s="58">
        <v>7051104.48</v>
      </c>
      <c r="AD36" s="58">
        <v>550165.06</v>
      </c>
      <c r="AE36" s="58">
        <v>725538.28</v>
      </c>
      <c r="AF36" s="58">
        <v>521302.67</v>
      </c>
      <c r="AG36" s="58">
        <v>6349943.93</v>
      </c>
      <c r="AH36" s="58">
        <v>565482.86</v>
      </c>
      <c r="AI36" s="58">
        <v>634283.98</v>
      </c>
      <c r="AJ36" s="58">
        <v>5250532.06</v>
      </c>
      <c r="AK36" s="58">
        <v>1834634.47</v>
      </c>
      <c r="AL36" s="58">
        <v>657091.51</v>
      </c>
      <c r="AM36" s="58">
        <v>5366144.34</v>
      </c>
      <c r="AN36" s="58">
        <v>1686591.6</v>
      </c>
      <c r="AO36" s="58">
        <v>31192815.24</v>
      </c>
    </row>
    <row r="37" s="107" customFormat="1" customHeight="1" spans="1:41">
      <c r="A37" s="37" t="s">
        <v>637</v>
      </c>
      <c r="B37" s="38">
        <v>44957</v>
      </c>
      <c r="C37" s="37" t="s">
        <v>725</v>
      </c>
      <c r="D37" s="37" t="s">
        <v>733</v>
      </c>
      <c r="E37" s="37" t="s">
        <v>647</v>
      </c>
      <c r="F37" s="37" t="s">
        <v>641</v>
      </c>
      <c r="G37" s="37" t="s">
        <v>648</v>
      </c>
      <c r="H37" s="37" t="s">
        <v>643</v>
      </c>
      <c r="I37" s="37" t="s">
        <v>430</v>
      </c>
      <c r="J37" s="37" t="s">
        <v>644</v>
      </c>
      <c r="K37" s="37" t="s">
        <v>14</v>
      </c>
      <c r="L37" s="47">
        <v>12</v>
      </c>
      <c r="M37" s="47">
        <v>11.32</v>
      </c>
      <c r="N37" s="47">
        <v>0.68</v>
      </c>
      <c r="O37" s="37" t="s">
        <v>734</v>
      </c>
      <c r="Q37" s="57"/>
      <c r="R37" s="57" t="s">
        <v>735</v>
      </c>
      <c r="S37" s="58">
        <v>466.54</v>
      </c>
      <c r="T37" s="58">
        <v>440.13</v>
      </c>
      <c r="U37" s="111"/>
      <c r="V37" s="114"/>
      <c r="W37" s="111"/>
      <c r="X37" s="111"/>
      <c r="Y37" s="119"/>
      <c r="Z37" s="119"/>
      <c r="AA37" s="57"/>
      <c r="AB37" s="57" t="s">
        <v>732</v>
      </c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>
        <v>31097.1</v>
      </c>
      <c r="AO37" s="58">
        <v>31097.1</v>
      </c>
    </row>
    <row r="38" s="107" customFormat="1" customHeight="1" spans="1:41">
      <c r="A38" s="37" t="s">
        <v>637</v>
      </c>
      <c r="B38" s="38">
        <v>44957</v>
      </c>
      <c r="C38" s="37" t="s">
        <v>725</v>
      </c>
      <c r="D38" s="37" t="s">
        <v>639</v>
      </c>
      <c r="E38" s="37" t="s">
        <v>640</v>
      </c>
      <c r="F38" s="37" t="s">
        <v>641</v>
      </c>
      <c r="G38" s="37" t="s">
        <v>648</v>
      </c>
      <c r="H38" s="37" t="s">
        <v>650</v>
      </c>
      <c r="I38" s="37" t="s">
        <v>430</v>
      </c>
      <c r="J38" s="37" t="s">
        <v>644</v>
      </c>
      <c r="K38" s="37" t="s">
        <v>14</v>
      </c>
      <c r="L38" s="47">
        <v>-663697.8</v>
      </c>
      <c r="M38" s="47">
        <v>-626130</v>
      </c>
      <c r="N38" s="47">
        <v>-37567.8</v>
      </c>
      <c r="O38" s="37" t="s">
        <v>736</v>
      </c>
      <c r="Q38" s="57"/>
      <c r="R38" s="57" t="s">
        <v>737</v>
      </c>
      <c r="S38" s="58">
        <v>5987590</v>
      </c>
      <c r="T38" s="58">
        <v>5648669.81</v>
      </c>
      <c r="U38" s="111"/>
      <c r="V38" s="114"/>
      <c r="W38" s="111"/>
      <c r="X38" s="111"/>
      <c r="Y38" s="119"/>
      <c r="Z38" s="119"/>
      <c r="AA38" s="57"/>
      <c r="AB38" s="57" t="s">
        <v>735</v>
      </c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>
        <v>466.54</v>
      </c>
      <c r="AO38" s="58">
        <v>466.54</v>
      </c>
    </row>
    <row r="39" s="107" customFormat="1" customHeight="1" spans="1:41">
      <c r="A39" s="37" t="s">
        <v>637</v>
      </c>
      <c r="B39" s="38">
        <v>44957</v>
      </c>
      <c r="C39" s="37" t="s">
        <v>725</v>
      </c>
      <c r="D39" s="37" t="s">
        <v>726</v>
      </c>
      <c r="E39" s="37" t="s">
        <v>647</v>
      </c>
      <c r="F39" s="37" t="s">
        <v>641</v>
      </c>
      <c r="G39" s="37" t="s">
        <v>642</v>
      </c>
      <c r="H39" s="37" t="s">
        <v>650</v>
      </c>
      <c r="I39" s="37" t="s">
        <v>430</v>
      </c>
      <c r="J39" s="37" t="s">
        <v>644</v>
      </c>
      <c r="K39" s="37" t="s">
        <v>14</v>
      </c>
      <c r="L39" s="47">
        <v>718908</v>
      </c>
      <c r="M39" s="47">
        <v>678215.1</v>
      </c>
      <c r="N39" s="47">
        <v>40692.9</v>
      </c>
      <c r="O39" s="37" t="s">
        <v>738</v>
      </c>
      <c r="Q39" s="57" t="s">
        <v>13</v>
      </c>
      <c r="R39" s="57"/>
      <c r="S39" s="58">
        <v>2534939.31</v>
      </c>
      <c r="T39" s="58">
        <v>2391452.13</v>
      </c>
      <c r="U39" s="111"/>
      <c r="V39" s="114"/>
      <c r="W39" s="111"/>
      <c r="X39" s="111"/>
      <c r="Y39" s="119"/>
      <c r="Z39" s="119"/>
      <c r="AA39" s="57"/>
      <c r="AB39" s="57" t="s">
        <v>737</v>
      </c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>
        <v>5987590</v>
      </c>
      <c r="AO39" s="58">
        <v>5987590</v>
      </c>
    </row>
    <row r="40" s="107" customFormat="1" customHeight="1" spans="1:41">
      <c r="A40" s="37" t="s">
        <v>637</v>
      </c>
      <c r="B40" s="38">
        <v>44957</v>
      </c>
      <c r="C40" s="37" t="s">
        <v>725</v>
      </c>
      <c r="D40" s="37" t="s">
        <v>639</v>
      </c>
      <c r="E40" s="37" t="s">
        <v>640</v>
      </c>
      <c r="F40" s="37" t="s">
        <v>641</v>
      </c>
      <c r="G40" s="37" t="s">
        <v>642</v>
      </c>
      <c r="H40" s="37" t="s">
        <v>650</v>
      </c>
      <c r="I40" s="37" t="s">
        <v>430</v>
      </c>
      <c r="J40" s="37" t="s">
        <v>644</v>
      </c>
      <c r="K40" s="37" t="s">
        <v>14</v>
      </c>
      <c r="L40" s="47">
        <v>578356.12</v>
      </c>
      <c r="M40" s="47">
        <v>545618.98</v>
      </c>
      <c r="N40" s="47">
        <v>32737.14</v>
      </c>
      <c r="O40" s="37" t="s">
        <v>739</v>
      </c>
      <c r="Q40" s="57"/>
      <c r="R40" s="57" t="s">
        <v>711</v>
      </c>
      <c r="S40" s="58">
        <v>288353.39</v>
      </c>
      <c r="T40" s="58">
        <v>272031.47</v>
      </c>
      <c r="U40" s="111"/>
      <c r="V40" s="114"/>
      <c r="W40" s="111"/>
      <c r="X40" s="111"/>
      <c r="Y40" s="119"/>
      <c r="Z40" s="119"/>
      <c r="AA40" s="57" t="s">
        <v>13</v>
      </c>
      <c r="AB40" s="57"/>
      <c r="AC40" s="58">
        <v>170193.94</v>
      </c>
      <c r="AD40" s="58">
        <v>44401.1</v>
      </c>
      <c r="AE40" s="58">
        <v>36601</v>
      </c>
      <c r="AF40" s="58">
        <v>27480.3</v>
      </c>
      <c r="AG40" s="58">
        <v>92040.62</v>
      </c>
      <c r="AH40" s="58">
        <v>11341.31</v>
      </c>
      <c r="AI40" s="58">
        <v>26711.45</v>
      </c>
      <c r="AJ40" s="58">
        <v>104862.15</v>
      </c>
      <c r="AK40" s="58">
        <v>103797.2</v>
      </c>
      <c r="AL40" s="58">
        <v>816763.5</v>
      </c>
      <c r="AM40" s="58">
        <v>250317.34</v>
      </c>
      <c r="AN40" s="58">
        <v>850429.4</v>
      </c>
      <c r="AO40" s="58">
        <v>2534939.31</v>
      </c>
    </row>
    <row r="41" s="107" customFormat="1" customHeight="1" spans="1:41">
      <c r="A41" s="37" t="s">
        <v>637</v>
      </c>
      <c r="B41" s="38">
        <v>44957</v>
      </c>
      <c r="C41" s="37" t="s">
        <v>725</v>
      </c>
      <c r="D41" s="37" t="s">
        <v>740</v>
      </c>
      <c r="E41" s="37" t="s">
        <v>647</v>
      </c>
      <c r="F41" s="37" t="s">
        <v>641</v>
      </c>
      <c r="G41" s="37" t="s">
        <v>642</v>
      </c>
      <c r="H41" s="37" t="s">
        <v>650</v>
      </c>
      <c r="I41" s="37" t="s">
        <v>430</v>
      </c>
      <c r="J41" s="37" t="s">
        <v>644</v>
      </c>
      <c r="K41" s="37" t="s">
        <v>14</v>
      </c>
      <c r="L41" s="47">
        <v>70506.98</v>
      </c>
      <c r="M41" s="47">
        <v>66516.05</v>
      </c>
      <c r="N41" s="47">
        <v>3990.93</v>
      </c>
      <c r="O41" s="37" t="s">
        <v>741</v>
      </c>
      <c r="Q41" s="57"/>
      <c r="R41" s="57" t="s">
        <v>742</v>
      </c>
      <c r="S41" s="58">
        <v>1059456.75</v>
      </c>
      <c r="T41" s="58">
        <v>999487.49</v>
      </c>
      <c r="U41" s="111"/>
      <c r="V41" s="114"/>
      <c r="W41" s="111"/>
      <c r="X41" s="111"/>
      <c r="Y41" s="119"/>
      <c r="Z41" s="119"/>
      <c r="AA41" s="57"/>
      <c r="AB41" s="57" t="s">
        <v>743</v>
      </c>
      <c r="AC41" s="58"/>
      <c r="AD41" s="58"/>
      <c r="AE41" s="58">
        <v>23495</v>
      </c>
      <c r="AF41" s="58">
        <v>15875</v>
      </c>
      <c r="AG41" s="58">
        <v>7540</v>
      </c>
      <c r="AH41" s="58"/>
      <c r="AI41" s="58"/>
      <c r="AJ41" s="58"/>
      <c r="AK41" s="58">
        <v>4815</v>
      </c>
      <c r="AL41" s="58"/>
      <c r="AM41" s="58"/>
      <c r="AN41" s="58">
        <v>925</v>
      </c>
      <c r="AO41" s="58">
        <v>52650</v>
      </c>
    </row>
    <row r="42" s="107" customFormat="1" customHeight="1" spans="1:41">
      <c r="A42" s="37" t="s">
        <v>637</v>
      </c>
      <c r="B42" s="38">
        <v>44957</v>
      </c>
      <c r="C42" s="37" t="s">
        <v>725</v>
      </c>
      <c r="D42" s="37" t="s">
        <v>726</v>
      </c>
      <c r="E42" s="37" t="s">
        <v>647</v>
      </c>
      <c r="F42" s="37" t="s">
        <v>641</v>
      </c>
      <c r="G42" s="37" t="s">
        <v>648</v>
      </c>
      <c r="H42" s="37" t="s">
        <v>643</v>
      </c>
      <c r="I42" s="37" t="s">
        <v>430</v>
      </c>
      <c r="J42" s="37" t="s">
        <v>644</v>
      </c>
      <c r="K42" s="37" t="s">
        <v>14</v>
      </c>
      <c r="L42" s="47">
        <v>51699.36</v>
      </c>
      <c r="M42" s="47">
        <v>48773.01</v>
      </c>
      <c r="N42" s="47">
        <v>2926.35</v>
      </c>
      <c r="O42" s="37" t="s">
        <v>744</v>
      </c>
      <c r="Q42" s="57"/>
      <c r="R42" s="57" t="s">
        <v>683</v>
      </c>
      <c r="S42" s="58">
        <v>1434.74</v>
      </c>
      <c r="T42" s="58">
        <v>1353.53</v>
      </c>
      <c r="U42" s="111"/>
      <c r="V42" s="114"/>
      <c r="W42" s="111"/>
      <c r="X42" s="111"/>
      <c r="Y42" s="119"/>
      <c r="Z42" s="119"/>
      <c r="AA42" s="57"/>
      <c r="AB42" s="57" t="s">
        <v>742</v>
      </c>
      <c r="AC42" s="58">
        <v>6566</v>
      </c>
      <c r="AD42" s="58">
        <v>5683.1</v>
      </c>
      <c r="AE42" s="58">
        <v>13052</v>
      </c>
      <c r="AF42" s="58">
        <v>11227.3</v>
      </c>
      <c r="AG42" s="58">
        <v>14732.62</v>
      </c>
      <c r="AH42" s="58">
        <v>11341.31</v>
      </c>
      <c r="AI42" s="58">
        <v>10768.46</v>
      </c>
      <c r="AJ42" s="58">
        <v>-278552.53</v>
      </c>
      <c r="AK42" s="58">
        <v>50719.21</v>
      </c>
      <c r="AL42" s="58">
        <v>614224.01</v>
      </c>
      <c r="AM42" s="58">
        <v>74169.86</v>
      </c>
      <c r="AN42" s="58">
        <v>525525.41</v>
      </c>
      <c r="AO42" s="58">
        <v>1059456.75</v>
      </c>
    </row>
    <row r="43" s="107" customFormat="1" customHeight="1" spans="1:41">
      <c r="A43" s="37" t="s">
        <v>637</v>
      </c>
      <c r="B43" s="38">
        <v>44957</v>
      </c>
      <c r="C43" s="37" t="s">
        <v>725</v>
      </c>
      <c r="D43" s="37" t="s">
        <v>740</v>
      </c>
      <c r="E43" s="37" t="s">
        <v>647</v>
      </c>
      <c r="F43" s="37" t="s">
        <v>641</v>
      </c>
      <c r="G43" s="37" t="s">
        <v>648</v>
      </c>
      <c r="H43" s="37" t="s">
        <v>643</v>
      </c>
      <c r="I43" s="37" t="s">
        <v>430</v>
      </c>
      <c r="J43" s="37" t="s">
        <v>644</v>
      </c>
      <c r="K43" s="37" t="s">
        <v>14</v>
      </c>
      <c r="L43" s="47">
        <v>140730.59</v>
      </c>
      <c r="M43" s="47">
        <v>132764.73</v>
      </c>
      <c r="N43" s="47">
        <v>7965.86</v>
      </c>
      <c r="O43" s="37" t="s">
        <v>745</v>
      </c>
      <c r="Q43" s="57"/>
      <c r="R43" s="57" t="s">
        <v>743</v>
      </c>
      <c r="S43" s="58">
        <v>52650</v>
      </c>
      <c r="T43" s="58">
        <v>49669.81</v>
      </c>
      <c r="U43" s="111"/>
      <c r="V43" s="114"/>
      <c r="W43" s="111"/>
      <c r="X43" s="111"/>
      <c r="Y43" s="119"/>
      <c r="Z43" s="119"/>
      <c r="AA43" s="57"/>
      <c r="AB43" s="57" t="s">
        <v>683</v>
      </c>
      <c r="AC43" s="58">
        <v>1434.74</v>
      </c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>
        <v>1434.74</v>
      </c>
    </row>
    <row r="44" s="107" customFormat="1" customHeight="1" spans="1:41">
      <c r="A44" s="37" t="s">
        <v>637</v>
      </c>
      <c r="B44" s="38">
        <v>44957</v>
      </c>
      <c r="C44" s="37" t="s">
        <v>725</v>
      </c>
      <c r="D44" s="37" t="s">
        <v>740</v>
      </c>
      <c r="E44" s="37" t="s">
        <v>647</v>
      </c>
      <c r="F44" s="37" t="s">
        <v>641</v>
      </c>
      <c r="G44" s="37" t="s">
        <v>648</v>
      </c>
      <c r="H44" s="37" t="s">
        <v>643</v>
      </c>
      <c r="I44" s="37" t="s">
        <v>430</v>
      </c>
      <c r="J44" s="37" t="s">
        <v>644</v>
      </c>
      <c r="K44" s="37" t="s">
        <v>14</v>
      </c>
      <c r="L44" s="47">
        <v>90952</v>
      </c>
      <c r="M44" s="47">
        <v>85803.78</v>
      </c>
      <c r="N44" s="47">
        <v>5148.22</v>
      </c>
      <c r="O44" s="37" t="s">
        <v>746</v>
      </c>
      <c r="Q44" s="57"/>
      <c r="R44" s="57" t="s">
        <v>747</v>
      </c>
      <c r="S44" s="58">
        <v>758896.43</v>
      </c>
      <c r="T44" s="58">
        <v>715940.02</v>
      </c>
      <c r="U44" s="111"/>
      <c r="V44" s="114"/>
      <c r="W44" s="111"/>
      <c r="X44" s="111"/>
      <c r="Y44" s="119"/>
      <c r="Z44" s="119"/>
      <c r="AA44" s="57"/>
      <c r="AB44" s="57" t="s">
        <v>711</v>
      </c>
      <c r="AC44" s="58">
        <v>162193.2</v>
      </c>
      <c r="AD44" s="58">
        <v>38718</v>
      </c>
      <c r="AE44" s="58">
        <v>54</v>
      </c>
      <c r="AF44" s="58">
        <v>378</v>
      </c>
      <c r="AG44" s="58">
        <v>69768</v>
      </c>
      <c r="AH44" s="58"/>
      <c r="AI44" s="58">
        <v>1998</v>
      </c>
      <c r="AJ44" s="58">
        <v>3688.19</v>
      </c>
      <c r="AK44" s="58"/>
      <c r="AL44" s="58"/>
      <c r="AM44" s="58">
        <v>11556</v>
      </c>
      <c r="AN44" s="58"/>
      <c r="AO44" s="58">
        <v>288353.39</v>
      </c>
    </row>
    <row r="45" s="107" customFormat="1" customHeight="1" spans="1:41">
      <c r="A45" s="37" t="s">
        <v>637</v>
      </c>
      <c r="B45" s="38">
        <v>44957</v>
      </c>
      <c r="C45" s="37" t="s">
        <v>748</v>
      </c>
      <c r="D45" s="37" t="s">
        <v>639</v>
      </c>
      <c r="E45" s="37" t="s">
        <v>640</v>
      </c>
      <c r="F45" s="37" t="s">
        <v>749</v>
      </c>
      <c r="G45" s="37" t="s">
        <v>654</v>
      </c>
      <c r="H45" s="37" t="s">
        <v>650</v>
      </c>
      <c r="I45" s="37" t="s">
        <v>652</v>
      </c>
      <c r="J45" s="37" t="s">
        <v>644</v>
      </c>
      <c r="K45" s="37" t="s">
        <v>350</v>
      </c>
      <c r="L45" s="47">
        <v>378750</v>
      </c>
      <c r="M45" s="47">
        <v>357311.32</v>
      </c>
      <c r="N45" s="47">
        <v>21438.68</v>
      </c>
      <c r="O45" s="37" t="s">
        <v>750</v>
      </c>
      <c r="Q45" s="57"/>
      <c r="R45" s="57" t="s">
        <v>751</v>
      </c>
      <c r="S45" s="58">
        <v>20000</v>
      </c>
      <c r="T45" s="58">
        <v>18867.92</v>
      </c>
      <c r="U45" s="111"/>
      <c r="V45" s="114"/>
      <c r="W45" s="111"/>
      <c r="X45" s="111"/>
      <c r="Y45" s="119"/>
      <c r="Z45" s="119"/>
      <c r="AA45" s="57"/>
      <c r="AB45" s="57" t="s">
        <v>747</v>
      </c>
      <c r="AC45" s="58"/>
      <c r="AD45" s="58"/>
      <c r="AE45" s="58"/>
      <c r="AF45" s="58"/>
      <c r="AG45" s="58"/>
      <c r="AH45" s="58"/>
      <c r="AI45" s="58">
        <v>13944.99</v>
      </c>
      <c r="AJ45" s="58">
        <v>350201.49</v>
      </c>
      <c r="AK45" s="58">
        <v>48262.99</v>
      </c>
      <c r="AL45" s="58">
        <v>191586.49</v>
      </c>
      <c r="AM45" s="58">
        <v>148261.48</v>
      </c>
      <c r="AN45" s="58">
        <v>6638.99</v>
      </c>
      <c r="AO45" s="58">
        <v>758896.43</v>
      </c>
    </row>
    <row r="46" s="107" customFormat="1" customHeight="1" spans="1:41">
      <c r="A46" s="37" t="s">
        <v>637</v>
      </c>
      <c r="B46" s="38">
        <v>44957</v>
      </c>
      <c r="C46" s="37" t="s">
        <v>748</v>
      </c>
      <c r="D46" s="37" t="s">
        <v>682</v>
      </c>
      <c r="E46" s="37" t="s">
        <v>640</v>
      </c>
      <c r="F46" s="37" t="s">
        <v>641</v>
      </c>
      <c r="G46" s="37" t="s">
        <v>642</v>
      </c>
      <c r="H46" s="37" t="s">
        <v>650</v>
      </c>
      <c r="I46" s="37" t="s">
        <v>742</v>
      </c>
      <c r="J46" s="37" t="s">
        <v>656</v>
      </c>
      <c r="K46" s="37" t="s">
        <v>13</v>
      </c>
      <c r="L46" s="47">
        <v>6566</v>
      </c>
      <c r="M46" s="47">
        <v>6194.34</v>
      </c>
      <c r="N46" s="47">
        <v>371.66</v>
      </c>
      <c r="O46" s="37" t="s">
        <v>752</v>
      </c>
      <c r="Q46" s="57"/>
      <c r="R46" s="57" t="s">
        <v>753</v>
      </c>
      <c r="S46" s="58">
        <v>20478</v>
      </c>
      <c r="T46" s="58">
        <v>19318.87</v>
      </c>
      <c r="U46" s="111"/>
      <c r="V46" s="114"/>
      <c r="W46" s="111"/>
      <c r="X46" s="111"/>
      <c r="Y46" s="119"/>
      <c r="Z46" s="119"/>
      <c r="AA46" s="57"/>
      <c r="AB46" s="57" t="s">
        <v>751</v>
      </c>
      <c r="AC46" s="58"/>
      <c r="AD46" s="58"/>
      <c r="AE46" s="58"/>
      <c r="AF46" s="58"/>
      <c r="AG46" s="58"/>
      <c r="AH46" s="58"/>
      <c r="AI46" s="58"/>
      <c r="AJ46" s="58">
        <v>20000</v>
      </c>
      <c r="AK46" s="58"/>
      <c r="AL46" s="58"/>
      <c r="AM46" s="58"/>
      <c r="AN46" s="58"/>
      <c r="AO46" s="58">
        <v>20000</v>
      </c>
    </row>
    <row r="47" s="107" customFormat="1" customHeight="1" spans="1:41">
      <c r="A47" s="37" t="s">
        <v>637</v>
      </c>
      <c r="B47" s="38">
        <v>44957</v>
      </c>
      <c r="C47" s="37" t="s">
        <v>748</v>
      </c>
      <c r="D47" s="37" t="s">
        <v>639</v>
      </c>
      <c r="E47" s="37" t="s">
        <v>640</v>
      </c>
      <c r="F47" s="37" t="s">
        <v>707</v>
      </c>
      <c r="G47" s="37" t="s">
        <v>648</v>
      </c>
      <c r="H47" s="37" t="s">
        <v>650</v>
      </c>
      <c r="I47" s="37" t="s">
        <v>754</v>
      </c>
      <c r="J47" s="37" t="s">
        <v>644</v>
      </c>
      <c r="K47" s="37" t="s">
        <v>14</v>
      </c>
      <c r="L47" s="47">
        <v>-81.03</v>
      </c>
      <c r="M47" s="47">
        <v>-76.44</v>
      </c>
      <c r="N47" s="47">
        <v>-4.59</v>
      </c>
      <c r="O47" s="37" t="s">
        <v>755</v>
      </c>
      <c r="Q47" s="57"/>
      <c r="R47" s="57" t="s">
        <v>756</v>
      </c>
      <c r="S47" s="58">
        <v>333670</v>
      </c>
      <c r="T47" s="58">
        <v>314783.02</v>
      </c>
      <c r="U47" s="111"/>
      <c r="V47" s="114"/>
      <c r="W47" s="111"/>
      <c r="X47" s="111"/>
      <c r="Y47" s="119"/>
      <c r="Z47" s="119"/>
      <c r="AA47" s="57"/>
      <c r="AB47" s="57" t="s">
        <v>753</v>
      </c>
      <c r="AC47" s="58"/>
      <c r="AD47" s="58"/>
      <c r="AE47" s="58"/>
      <c r="AF47" s="58"/>
      <c r="AG47" s="58"/>
      <c r="AH47" s="58"/>
      <c r="AI47" s="58"/>
      <c r="AJ47" s="58">
        <v>9525</v>
      </c>
      <c r="AK47" s="58"/>
      <c r="AL47" s="58">
        <v>10953</v>
      </c>
      <c r="AM47" s="58"/>
      <c r="AN47" s="58"/>
      <c r="AO47" s="58">
        <v>20478</v>
      </c>
    </row>
    <row r="48" s="107" customFormat="1" customHeight="1" spans="1:41">
      <c r="A48" s="37" t="s">
        <v>637</v>
      </c>
      <c r="B48" s="38">
        <v>44957</v>
      </c>
      <c r="C48" s="37" t="s">
        <v>748</v>
      </c>
      <c r="D48" s="37" t="s">
        <v>653</v>
      </c>
      <c r="E48" s="37" t="s">
        <v>640</v>
      </c>
      <c r="F48" s="37" t="s">
        <v>659</v>
      </c>
      <c r="G48" s="37" t="s">
        <v>648</v>
      </c>
      <c r="H48" s="37" t="s">
        <v>650</v>
      </c>
      <c r="I48" s="37" t="s">
        <v>757</v>
      </c>
      <c r="J48" s="37" t="s">
        <v>644</v>
      </c>
      <c r="K48" s="37" t="s">
        <v>14</v>
      </c>
      <c r="L48" s="47">
        <v>16716.2</v>
      </c>
      <c r="M48" s="47">
        <v>15770</v>
      </c>
      <c r="N48" s="47">
        <v>946.2</v>
      </c>
      <c r="O48" s="37" t="s">
        <v>758</v>
      </c>
      <c r="Q48" s="57" t="s">
        <v>165</v>
      </c>
      <c r="R48" s="57"/>
      <c r="S48" s="58">
        <v>18296674.73</v>
      </c>
      <c r="T48" s="58">
        <v>17261013.89</v>
      </c>
      <c r="U48" s="111"/>
      <c r="V48" s="114"/>
      <c r="W48" s="111"/>
      <c r="X48" s="111"/>
      <c r="Y48" s="119"/>
      <c r="Z48" s="119"/>
      <c r="AA48" s="57"/>
      <c r="AB48" s="57" t="s">
        <v>756</v>
      </c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>
        <v>16330</v>
      </c>
      <c r="AN48" s="58">
        <v>317340</v>
      </c>
      <c r="AO48" s="58">
        <v>333670</v>
      </c>
    </row>
    <row r="49" s="107" customFormat="1" customHeight="1" spans="1:41">
      <c r="A49" s="37" t="s">
        <v>637</v>
      </c>
      <c r="B49" s="38">
        <v>44957</v>
      </c>
      <c r="C49" s="37" t="s">
        <v>748</v>
      </c>
      <c r="D49" s="37" t="s">
        <v>639</v>
      </c>
      <c r="E49" s="37" t="s">
        <v>640</v>
      </c>
      <c r="F49" s="37" t="s">
        <v>707</v>
      </c>
      <c r="G49" s="37" t="s">
        <v>642</v>
      </c>
      <c r="H49" s="37" t="s">
        <v>650</v>
      </c>
      <c r="I49" s="37" t="s">
        <v>429</v>
      </c>
      <c r="J49" s="37" t="s">
        <v>644</v>
      </c>
      <c r="K49" s="37" t="s">
        <v>14</v>
      </c>
      <c r="L49" s="47">
        <v>-297760.5</v>
      </c>
      <c r="M49" s="47">
        <v>-280906.13</v>
      </c>
      <c r="N49" s="47">
        <v>-16854.37</v>
      </c>
      <c r="O49" s="37" t="s">
        <v>759</v>
      </c>
      <c r="Q49" s="57"/>
      <c r="R49" s="57" t="s">
        <v>690</v>
      </c>
      <c r="S49" s="58">
        <v>86355</v>
      </c>
      <c r="T49" s="58">
        <v>81466.99</v>
      </c>
      <c r="U49" s="111"/>
      <c r="V49" s="114"/>
      <c r="W49" s="111"/>
      <c r="X49" s="111"/>
      <c r="Y49" s="119"/>
      <c r="Z49" s="119"/>
      <c r="AA49" s="57" t="s">
        <v>165</v>
      </c>
      <c r="AB49" s="57"/>
      <c r="AC49" s="58">
        <v>2225112.36</v>
      </c>
      <c r="AD49" s="58">
        <v>1677596.04</v>
      </c>
      <c r="AE49" s="58">
        <v>1954107.33</v>
      </c>
      <c r="AF49" s="58">
        <v>2769543.93</v>
      </c>
      <c r="AG49" s="58">
        <v>1913603.35</v>
      </c>
      <c r="AH49" s="58">
        <v>2062702.84</v>
      </c>
      <c r="AI49" s="58">
        <v>1551442.14</v>
      </c>
      <c r="AJ49" s="58">
        <v>1413954.33</v>
      </c>
      <c r="AK49" s="58">
        <v>630413.05</v>
      </c>
      <c r="AL49" s="58">
        <v>722212.56</v>
      </c>
      <c r="AM49" s="58">
        <v>774632.97</v>
      </c>
      <c r="AN49" s="58">
        <v>601353.83</v>
      </c>
      <c r="AO49" s="58">
        <v>18296674.73</v>
      </c>
    </row>
    <row r="50" s="107" customFormat="1" customHeight="1" spans="1:41">
      <c r="A50" s="37" t="s">
        <v>637</v>
      </c>
      <c r="B50" s="38">
        <v>44957</v>
      </c>
      <c r="C50" s="37" t="s">
        <v>748</v>
      </c>
      <c r="D50" s="37" t="s">
        <v>639</v>
      </c>
      <c r="E50" s="37" t="s">
        <v>640</v>
      </c>
      <c r="F50" s="37" t="s">
        <v>707</v>
      </c>
      <c r="G50" s="37" t="s">
        <v>654</v>
      </c>
      <c r="H50" s="37" t="s">
        <v>650</v>
      </c>
      <c r="I50" s="37" t="s">
        <v>429</v>
      </c>
      <c r="J50" s="37" t="s">
        <v>644</v>
      </c>
      <c r="K50" s="37" t="s">
        <v>14</v>
      </c>
      <c r="L50" s="47">
        <v>4636090.5</v>
      </c>
      <c r="M50" s="47">
        <v>4373670.28</v>
      </c>
      <c r="N50" s="47">
        <v>262420.22</v>
      </c>
      <c r="O50" s="37" t="s">
        <v>760</v>
      </c>
      <c r="Q50" s="57"/>
      <c r="R50" s="57" t="s">
        <v>723</v>
      </c>
      <c r="S50" s="58">
        <v>12525832.9</v>
      </c>
      <c r="T50" s="58">
        <v>11816823.56</v>
      </c>
      <c r="U50" s="111"/>
      <c r="V50" s="114"/>
      <c r="W50" s="111"/>
      <c r="X50" s="111"/>
      <c r="Y50" s="119"/>
      <c r="Z50" s="119"/>
      <c r="AA50" s="57"/>
      <c r="AB50" s="57" t="s">
        <v>690</v>
      </c>
      <c r="AC50" s="58">
        <v>12635</v>
      </c>
      <c r="AD50" s="58">
        <v>11115</v>
      </c>
      <c r="AE50" s="58">
        <v>9595</v>
      </c>
      <c r="AF50" s="58">
        <v>8930</v>
      </c>
      <c r="AG50" s="58">
        <v>13110</v>
      </c>
      <c r="AH50" s="58">
        <v>16150</v>
      </c>
      <c r="AI50" s="58">
        <v>6745</v>
      </c>
      <c r="AJ50" s="58">
        <v>3230</v>
      </c>
      <c r="AK50" s="58">
        <v>2470</v>
      </c>
      <c r="AL50" s="58">
        <v>2375</v>
      </c>
      <c r="AM50" s="58"/>
      <c r="AN50" s="58"/>
      <c r="AO50" s="58">
        <v>86355</v>
      </c>
    </row>
    <row r="51" s="107" customFormat="1" customHeight="1" spans="1:41">
      <c r="A51" s="37" t="s">
        <v>637</v>
      </c>
      <c r="B51" s="38">
        <v>44957</v>
      </c>
      <c r="C51" s="37" t="s">
        <v>748</v>
      </c>
      <c r="D51" s="37" t="s">
        <v>639</v>
      </c>
      <c r="E51" s="37" t="s">
        <v>640</v>
      </c>
      <c r="F51" s="37" t="s">
        <v>707</v>
      </c>
      <c r="G51" s="37" t="s">
        <v>654</v>
      </c>
      <c r="H51" s="37" t="s">
        <v>650</v>
      </c>
      <c r="I51" s="37" t="s">
        <v>754</v>
      </c>
      <c r="J51" s="37" t="s">
        <v>644</v>
      </c>
      <c r="K51" s="37" t="s">
        <v>14</v>
      </c>
      <c r="L51" s="47">
        <v>49000</v>
      </c>
      <c r="M51" s="47">
        <v>46226.42</v>
      </c>
      <c r="N51" s="47">
        <v>2773.58</v>
      </c>
      <c r="O51" s="37" t="s">
        <v>761</v>
      </c>
      <c r="Q51" s="57"/>
      <c r="R51" s="57" t="s">
        <v>429</v>
      </c>
      <c r="S51" s="58">
        <v>5441537.54</v>
      </c>
      <c r="T51" s="58">
        <v>5133525.93</v>
      </c>
      <c r="U51" s="111"/>
      <c r="V51" s="114"/>
      <c r="W51" s="111"/>
      <c r="X51" s="111"/>
      <c r="Y51" s="119"/>
      <c r="Z51" s="119"/>
      <c r="AA51" s="57"/>
      <c r="AB51" s="57" t="s">
        <v>723</v>
      </c>
      <c r="AC51" s="58">
        <v>617770</v>
      </c>
      <c r="AD51" s="58">
        <v>1036690</v>
      </c>
      <c r="AE51" s="58">
        <v>937910</v>
      </c>
      <c r="AF51" s="58">
        <v>1895460</v>
      </c>
      <c r="AG51" s="58">
        <v>1487790</v>
      </c>
      <c r="AH51" s="58">
        <v>1847380</v>
      </c>
      <c r="AI51" s="58">
        <v>1538330</v>
      </c>
      <c r="AJ51" s="58">
        <v>1346652.9</v>
      </c>
      <c r="AK51" s="58">
        <v>569950</v>
      </c>
      <c r="AL51" s="58">
        <v>557500</v>
      </c>
      <c r="AM51" s="58">
        <v>368570</v>
      </c>
      <c r="AN51" s="58">
        <v>321830</v>
      </c>
      <c r="AO51" s="58">
        <v>12525832.9</v>
      </c>
    </row>
    <row r="52" s="107" customFormat="1" customHeight="1" spans="1:41">
      <c r="A52" s="37" t="s">
        <v>637</v>
      </c>
      <c r="B52" s="38">
        <v>44957</v>
      </c>
      <c r="C52" s="37" t="s">
        <v>748</v>
      </c>
      <c r="D52" s="37" t="s">
        <v>639</v>
      </c>
      <c r="E52" s="37" t="s">
        <v>640</v>
      </c>
      <c r="F52" s="37" t="s">
        <v>707</v>
      </c>
      <c r="G52" s="37" t="s">
        <v>642</v>
      </c>
      <c r="H52" s="37" t="s">
        <v>643</v>
      </c>
      <c r="I52" s="37" t="s">
        <v>429</v>
      </c>
      <c r="J52" s="37" t="s">
        <v>644</v>
      </c>
      <c r="K52" s="37" t="s">
        <v>14</v>
      </c>
      <c r="L52" s="47">
        <v>56218.57</v>
      </c>
      <c r="M52" s="47">
        <v>53036.39</v>
      </c>
      <c r="N52" s="47">
        <v>3182.18</v>
      </c>
      <c r="O52" s="37" t="s">
        <v>762</v>
      </c>
      <c r="Q52" s="57"/>
      <c r="R52" s="57" t="s">
        <v>763</v>
      </c>
      <c r="S52" s="58">
        <v>114553.87</v>
      </c>
      <c r="T52" s="58">
        <v>108069.66</v>
      </c>
      <c r="U52" s="111"/>
      <c r="V52" s="114"/>
      <c r="W52" s="111"/>
      <c r="X52" s="111"/>
      <c r="Y52" s="119"/>
      <c r="Z52" s="119"/>
      <c r="AA52" s="57"/>
      <c r="AB52" s="57" t="s">
        <v>763</v>
      </c>
      <c r="AC52" s="58">
        <v>19598.56</v>
      </c>
      <c r="AD52" s="58">
        <v>13892.25</v>
      </c>
      <c r="AE52" s="58">
        <v>14483.35</v>
      </c>
      <c r="AF52" s="58">
        <v>17500.52</v>
      </c>
      <c r="AG52" s="58">
        <v>19982.42</v>
      </c>
      <c r="AH52" s="58">
        <v>7079.69</v>
      </c>
      <c r="AI52" s="58">
        <v>5857.44</v>
      </c>
      <c r="AJ52" s="58">
        <v>3715.97</v>
      </c>
      <c r="AK52" s="58">
        <v>2729.76</v>
      </c>
      <c r="AL52" s="58">
        <v>2405.64</v>
      </c>
      <c r="AM52" s="58">
        <v>4757.8</v>
      </c>
      <c r="AN52" s="58">
        <v>2550.47</v>
      </c>
      <c r="AO52" s="58">
        <v>114553.87</v>
      </c>
    </row>
    <row r="53" s="107" customFormat="1" customHeight="1" spans="1:41">
      <c r="A53" s="37" t="s">
        <v>637</v>
      </c>
      <c r="B53" s="38">
        <v>44957</v>
      </c>
      <c r="C53" s="37" t="s">
        <v>748</v>
      </c>
      <c r="D53" s="37" t="s">
        <v>639</v>
      </c>
      <c r="E53" s="37" t="s">
        <v>640</v>
      </c>
      <c r="F53" s="37" t="s">
        <v>641</v>
      </c>
      <c r="G53" s="37" t="s">
        <v>642</v>
      </c>
      <c r="H53" s="37" t="s">
        <v>650</v>
      </c>
      <c r="I53" s="37" t="s">
        <v>430</v>
      </c>
      <c r="J53" s="37" t="s">
        <v>644</v>
      </c>
      <c r="K53" s="37" t="s">
        <v>14</v>
      </c>
      <c r="L53" s="47">
        <v>192264.1</v>
      </c>
      <c r="M53" s="47">
        <v>181381.23</v>
      </c>
      <c r="N53" s="47">
        <v>10882.87</v>
      </c>
      <c r="O53" s="37" t="s">
        <v>764</v>
      </c>
      <c r="Q53" s="57"/>
      <c r="R53" s="57" t="s">
        <v>728</v>
      </c>
      <c r="S53" s="58">
        <v>4.82</v>
      </c>
      <c r="T53" s="58">
        <v>4.55</v>
      </c>
      <c r="U53" s="111"/>
      <c r="V53" s="114"/>
      <c r="W53" s="111"/>
      <c r="X53" s="111"/>
      <c r="Y53" s="119"/>
      <c r="Z53" s="119"/>
      <c r="AA53" s="57"/>
      <c r="AB53" s="57" t="s">
        <v>429</v>
      </c>
      <c r="AC53" s="58">
        <v>1575108.8</v>
      </c>
      <c r="AD53" s="58">
        <v>615898.79</v>
      </c>
      <c r="AE53" s="58">
        <v>992118.98</v>
      </c>
      <c r="AF53" s="58">
        <v>847653.41</v>
      </c>
      <c r="AG53" s="58">
        <v>392720.93</v>
      </c>
      <c r="AH53" s="58">
        <v>192093.15</v>
      </c>
      <c r="AI53" s="58">
        <v>509.7</v>
      </c>
      <c r="AJ53" s="58">
        <v>60355.46</v>
      </c>
      <c r="AK53" s="58">
        <v>55263.29</v>
      </c>
      <c r="AL53" s="58">
        <v>159931.92</v>
      </c>
      <c r="AM53" s="58">
        <v>272914.57</v>
      </c>
      <c r="AN53" s="58">
        <v>276968.54</v>
      </c>
      <c r="AO53" s="58">
        <v>5441537.54</v>
      </c>
    </row>
    <row r="54" s="107" customFormat="1" customHeight="1" spans="1:41">
      <c r="A54" s="37" t="s">
        <v>637</v>
      </c>
      <c r="B54" s="38">
        <v>44957</v>
      </c>
      <c r="C54" s="37" t="s">
        <v>748</v>
      </c>
      <c r="D54" s="37" t="s">
        <v>639</v>
      </c>
      <c r="E54" s="37" t="s">
        <v>640</v>
      </c>
      <c r="F54" s="37" t="s">
        <v>749</v>
      </c>
      <c r="G54" s="37" t="s">
        <v>648</v>
      </c>
      <c r="H54" s="37" t="s">
        <v>650</v>
      </c>
      <c r="I54" s="37" t="s">
        <v>461</v>
      </c>
      <c r="J54" s="37" t="s">
        <v>644</v>
      </c>
      <c r="K54" s="37" t="s">
        <v>14</v>
      </c>
      <c r="L54" s="47">
        <v>89406.3</v>
      </c>
      <c r="M54" s="47">
        <v>84345.57</v>
      </c>
      <c r="N54" s="47">
        <v>5060.73</v>
      </c>
      <c r="O54" s="37" t="s">
        <v>765</v>
      </c>
      <c r="Q54" s="57"/>
      <c r="R54" s="57" t="s">
        <v>766</v>
      </c>
      <c r="S54" s="58">
        <v>1615</v>
      </c>
      <c r="T54" s="58">
        <v>1523.58</v>
      </c>
      <c r="U54" s="111"/>
      <c r="V54" s="114"/>
      <c r="W54" s="111"/>
      <c r="X54" s="111"/>
      <c r="Y54" s="119"/>
      <c r="Z54" s="119"/>
      <c r="AA54" s="57"/>
      <c r="AB54" s="57" t="s">
        <v>728</v>
      </c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>
        <v>4.82</v>
      </c>
      <c r="AO54" s="58">
        <v>4.82</v>
      </c>
    </row>
    <row r="55" s="107" customFormat="1" customHeight="1" spans="1:41">
      <c r="A55" s="37" t="s">
        <v>637</v>
      </c>
      <c r="B55" s="38">
        <v>44957</v>
      </c>
      <c r="C55" s="37" t="s">
        <v>748</v>
      </c>
      <c r="D55" s="37" t="s">
        <v>639</v>
      </c>
      <c r="E55" s="37" t="s">
        <v>640</v>
      </c>
      <c r="F55" s="37" t="s">
        <v>749</v>
      </c>
      <c r="G55" s="37" t="s">
        <v>648</v>
      </c>
      <c r="H55" s="37" t="s">
        <v>650</v>
      </c>
      <c r="I55" s="37" t="s">
        <v>461</v>
      </c>
      <c r="J55" s="37" t="s">
        <v>644</v>
      </c>
      <c r="K55" s="37" t="s">
        <v>14</v>
      </c>
      <c r="L55" s="47">
        <v>290504.6</v>
      </c>
      <c r="M55" s="47">
        <v>274060.94</v>
      </c>
      <c r="N55" s="47">
        <v>16443.66</v>
      </c>
      <c r="O55" s="37" t="s">
        <v>767</v>
      </c>
      <c r="Q55" s="57"/>
      <c r="R55" s="57" t="s">
        <v>732</v>
      </c>
      <c r="S55" s="58">
        <v>126775.6</v>
      </c>
      <c r="T55" s="58">
        <v>119599.62</v>
      </c>
      <c r="U55" s="111"/>
      <c r="V55" s="114"/>
      <c r="W55" s="111"/>
      <c r="X55" s="111"/>
      <c r="Y55" s="119"/>
      <c r="Z55" s="119"/>
      <c r="AA55" s="57"/>
      <c r="AB55" s="57" t="s">
        <v>766</v>
      </c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>
        <v>1615</v>
      </c>
      <c r="AN55" s="58"/>
      <c r="AO55" s="58">
        <v>1615</v>
      </c>
    </row>
    <row r="56" s="107" customFormat="1" customHeight="1" spans="1:41">
      <c r="A56" s="37" t="s">
        <v>637</v>
      </c>
      <c r="B56" s="38">
        <v>44957</v>
      </c>
      <c r="C56" s="37" t="s">
        <v>748</v>
      </c>
      <c r="D56" s="37" t="s">
        <v>639</v>
      </c>
      <c r="E56" s="37" t="s">
        <v>640</v>
      </c>
      <c r="F56" s="37" t="s">
        <v>707</v>
      </c>
      <c r="G56" s="37" t="s">
        <v>654</v>
      </c>
      <c r="H56" s="37" t="s">
        <v>650</v>
      </c>
      <c r="I56" s="37" t="s">
        <v>754</v>
      </c>
      <c r="J56" s="37" t="s">
        <v>644</v>
      </c>
      <c r="K56" s="37" t="s">
        <v>14</v>
      </c>
      <c r="L56" s="47">
        <v>480000</v>
      </c>
      <c r="M56" s="47">
        <v>452830.19</v>
      </c>
      <c r="N56" s="47">
        <v>27169.81</v>
      </c>
      <c r="O56" s="37" t="s">
        <v>768</v>
      </c>
      <c r="Q56" s="57" t="s">
        <v>14</v>
      </c>
      <c r="R56" s="57"/>
      <c r="S56" s="58">
        <v>369975597.35</v>
      </c>
      <c r="T56" s="58">
        <v>349033582.51</v>
      </c>
      <c r="U56" s="111"/>
      <c r="V56" s="114"/>
      <c r="W56" s="111"/>
      <c r="X56" s="111"/>
      <c r="Y56" s="119"/>
      <c r="Z56" s="119"/>
      <c r="AA56" s="57"/>
      <c r="AB56" s="57" t="s">
        <v>732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>
        <v>126775.6</v>
      </c>
      <c r="AN56" s="58"/>
      <c r="AO56" s="58">
        <v>126775.6</v>
      </c>
    </row>
    <row r="57" s="107" customFormat="1" customHeight="1" spans="1:41">
      <c r="A57" s="37" t="s">
        <v>637</v>
      </c>
      <c r="B57" s="38">
        <v>44957</v>
      </c>
      <c r="C57" s="37" t="s">
        <v>748</v>
      </c>
      <c r="D57" s="37" t="s">
        <v>639</v>
      </c>
      <c r="E57" s="37" t="s">
        <v>640</v>
      </c>
      <c r="F57" s="37" t="s">
        <v>707</v>
      </c>
      <c r="G57" s="37" t="s">
        <v>648</v>
      </c>
      <c r="H57" s="37" t="s">
        <v>650</v>
      </c>
      <c r="I57" s="37" t="s">
        <v>769</v>
      </c>
      <c r="J57" s="37" t="s">
        <v>644</v>
      </c>
      <c r="K57" s="37" t="s">
        <v>14</v>
      </c>
      <c r="L57" s="47">
        <v>71311</v>
      </c>
      <c r="M57" s="47">
        <v>67274.53</v>
      </c>
      <c r="N57" s="47">
        <v>4036.47</v>
      </c>
      <c r="O57" s="37" t="s">
        <v>770</v>
      </c>
      <c r="Q57" s="57"/>
      <c r="R57" s="115" t="s">
        <v>430</v>
      </c>
      <c r="S57" s="116">
        <v>127589488.19</v>
      </c>
      <c r="T57" s="116">
        <v>120367441.36</v>
      </c>
      <c r="U57" s="111"/>
      <c r="V57" s="114"/>
      <c r="W57" s="111"/>
      <c r="X57" s="111"/>
      <c r="Y57" s="119"/>
      <c r="Z57" s="119"/>
      <c r="AA57" s="57" t="s">
        <v>14</v>
      </c>
      <c r="AB57" s="57"/>
      <c r="AC57" s="58">
        <v>36191194.62</v>
      </c>
      <c r="AD57" s="58">
        <v>26409072.2</v>
      </c>
      <c r="AE57" s="58">
        <v>23538939.43</v>
      </c>
      <c r="AF57" s="58">
        <v>18935435.18</v>
      </c>
      <c r="AG57" s="58">
        <v>27825177.65</v>
      </c>
      <c r="AH57" s="58">
        <v>51418853.31</v>
      </c>
      <c r="AI57" s="58">
        <v>30409878.62</v>
      </c>
      <c r="AJ57" s="58">
        <v>27464583.49</v>
      </c>
      <c r="AK57" s="58">
        <v>25145535.19</v>
      </c>
      <c r="AL57" s="58">
        <v>25963515.98</v>
      </c>
      <c r="AM57" s="58">
        <v>41929588.9</v>
      </c>
      <c r="AN57" s="58">
        <v>34743822.78</v>
      </c>
      <c r="AO57" s="58">
        <v>369975597.35</v>
      </c>
    </row>
    <row r="58" s="107" customFormat="1" customHeight="1" spans="1:41">
      <c r="A58" s="37" t="s">
        <v>637</v>
      </c>
      <c r="B58" s="38">
        <v>44957</v>
      </c>
      <c r="C58" s="37" t="s">
        <v>748</v>
      </c>
      <c r="D58" s="37" t="s">
        <v>639</v>
      </c>
      <c r="E58" s="37" t="s">
        <v>640</v>
      </c>
      <c r="F58" s="37" t="s">
        <v>707</v>
      </c>
      <c r="G58" s="37" t="s">
        <v>648</v>
      </c>
      <c r="H58" s="37" t="s">
        <v>650</v>
      </c>
      <c r="I58" s="37" t="s">
        <v>754</v>
      </c>
      <c r="J58" s="37" t="s">
        <v>644</v>
      </c>
      <c r="K58" s="37" t="s">
        <v>14</v>
      </c>
      <c r="L58" s="47">
        <v>1884318.4</v>
      </c>
      <c r="M58" s="47">
        <v>1777658.87</v>
      </c>
      <c r="N58" s="47">
        <v>106659.53</v>
      </c>
      <c r="O58" s="37" t="s">
        <v>771</v>
      </c>
      <c r="Q58" s="57"/>
      <c r="R58" s="57" t="s">
        <v>447</v>
      </c>
      <c r="S58" s="58">
        <v>1026790.03</v>
      </c>
      <c r="T58" s="58">
        <v>968669.8</v>
      </c>
      <c r="U58" s="111"/>
      <c r="V58" s="114"/>
      <c r="W58" s="111"/>
      <c r="X58" s="111"/>
      <c r="Y58" s="119"/>
      <c r="Z58" s="119"/>
      <c r="AA58" s="57"/>
      <c r="AB58" s="121" t="s">
        <v>430</v>
      </c>
      <c r="AC58" s="122">
        <v>13284808.54</v>
      </c>
      <c r="AD58" s="122">
        <v>11933075.45</v>
      </c>
      <c r="AE58" s="122">
        <v>8515571.73</v>
      </c>
      <c r="AF58" s="122">
        <v>4199738.67</v>
      </c>
      <c r="AG58" s="122">
        <v>7227845.25</v>
      </c>
      <c r="AH58" s="122">
        <v>9201828.2</v>
      </c>
      <c r="AI58" s="122">
        <v>10392291.4</v>
      </c>
      <c r="AJ58" s="122">
        <v>9951194.47</v>
      </c>
      <c r="AK58" s="122">
        <v>10537785.85</v>
      </c>
      <c r="AL58" s="122">
        <v>11283819.19</v>
      </c>
      <c r="AM58" s="122">
        <v>16820074.33</v>
      </c>
      <c r="AN58" s="122">
        <v>14241455.11</v>
      </c>
      <c r="AO58" s="122">
        <v>127589488.19</v>
      </c>
    </row>
    <row r="59" s="107" customFormat="1" customHeight="1" spans="1:41">
      <c r="A59" s="37" t="s">
        <v>637</v>
      </c>
      <c r="B59" s="38">
        <v>44957</v>
      </c>
      <c r="C59" s="37" t="s">
        <v>748</v>
      </c>
      <c r="D59" s="37" t="s">
        <v>639</v>
      </c>
      <c r="E59" s="37" t="s">
        <v>640</v>
      </c>
      <c r="F59" s="37" t="s">
        <v>641</v>
      </c>
      <c r="G59" s="37" t="s">
        <v>648</v>
      </c>
      <c r="H59" s="37" t="s">
        <v>650</v>
      </c>
      <c r="I59" s="37" t="s">
        <v>430</v>
      </c>
      <c r="J59" s="37" t="s">
        <v>644</v>
      </c>
      <c r="K59" s="37" t="s">
        <v>14</v>
      </c>
      <c r="L59" s="47">
        <v>-163767.8</v>
      </c>
      <c r="M59" s="47">
        <v>-154497.92</v>
      </c>
      <c r="N59" s="47">
        <v>-9269.88</v>
      </c>
      <c r="O59" s="37" t="s">
        <v>772</v>
      </c>
      <c r="Q59" s="57"/>
      <c r="R59" s="57" t="s">
        <v>769</v>
      </c>
      <c r="S59" s="58">
        <v>2006092.51</v>
      </c>
      <c r="T59" s="58">
        <v>1892540.11</v>
      </c>
      <c r="U59" s="111"/>
      <c r="V59" s="114"/>
      <c r="W59" s="111"/>
      <c r="X59" s="111"/>
      <c r="Y59" s="119"/>
      <c r="Z59" s="119"/>
      <c r="AA59" s="57"/>
      <c r="AB59" s="57" t="s">
        <v>447</v>
      </c>
      <c r="AC59" s="58">
        <v>86215.2</v>
      </c>
      <c r="AD59" s="58">
        <v>84316.4</v>
      </c>
      <c r="AE59" s="58">
        <v>92577.97</v>
      </c>
      <c r="AF59" s="58">
        <v>82484.58</v>
      </c>
      <c r="AG59" s="58">
        <v>73538.48</v>
      </c>
      <c r="AH59" s="58">
        <v>84435.88</v>
      </c>
      <c r="AI59" s="58">
        <v>88441.98</v>
      </c>
      <c r="AJ59" s="58">
        <v>88714.45</v>
      </c>
      <c r="AK59" s="58">
        <v>87173.72</v>
      </c>
      <c r="AL59" s="58">
        <v>85470.61</v>
      </c>
      <c r="AM59" s="58">
        <v>99755.12</v>
      </c>
      <c r="AN59" s="58">
        <v>73665.64</v>
      </c>
      <c r="AO59" s="58">
        <v>1026790.03</v>
      </c>
    </row>
    <row r="60" s="107" customFormat="1" customHeight="1" spans="1:41">
      <c r="A60" s="37" t="s">
        <v>637</v>
      </c>
      <c r="B60" s="38">
        <v>44957</v>
      </c>
      <c r="C60" s="37" t="s">
        <v>748</v>
      </c>
      <c r="D60" s="37" t="s">
        <v>639</v>
      </c>
      <c r="E60" s="37" t="s">
        <v>640</v>
      </c>
      <c r="F60" s="37" t="s">
        <v>707</v>
      </c>
      <c r="G60" s="37" t="s">
        <v>648</v>
      </c>
      <c r="H60" s="37" t="s">
        <v>650</v>
      </c>
      <c r="I60" s="37" t="s">
        <v>773</v>
      </c>
      <c r="J60" s="37" t="s">
        <v>644</v>
      </c>
      <c r="K60" s="37" t="s">
        <v>14</v>
      </c>
      <c r="L60" s="47">
        <v>7977.8</v>
      </c>
      <c r="M60" s="47">
        <v>7526.23</v>
      </c>
      <c r="N60" s="47">
        <v>451.57</v>
      </c>
      <c r="O60" s="37" t="s">
        <v>774</v>
      </c>
      <c r="Q60" s="57"/>
      <c r="R60" s="57" t="s">
        <v>461</v>
      </c>
      <c r="S60" s="58">
        <v>4130737.04</v>
      </c>
      <c r="T60" s="58">
        <v>3896921.84</v>
      </c>
      <c r="U60" s="111"/>
      <c r="V60" s="114"/>
      <c r="W60" s="111"/>
      <c r="X60" s="111"/>
      <c r="Y60" s="119"/>
      <c r="Z60" s="119"/>
      <c r="AA60" s="57"/>
      <c r="AB60" s="57" t="s">
        <v>757</v>
      </c>
      <c r="AC60" s="58">
        <v>16716.2</v>
      </c>
      <c r="AD60" s="58"/>
      <c r="AE60" s="58">
        <v>32777.1</v>
      </c>
      <c r="AF60" s="58">
        <v>27353.8</v>
      </c>
      <c r="AG60" s="58">
        <v>23395.1</v>
      </c>
      <c r="AH60" s="58">
        <v>3546.4</v>
      </c>
      <c r="AI60" s="58"/>
      <c r="AJ60" s="58"/>
      <c r="AK60" s="58"/>
      <c r="AL60" s="58"/>
      <c r="AM60" s="58"/>
      <c r="AN60" s="58"/>
      <c r="AO60" s="58">
        <v>103788.6</v>
      </c>
    </row>
    <row r="61" s="107" customFormat="1" customHeight="1" spans="1:41">
      <c r="A61" s="37" t="s">
        <v>637</v>
      </c>
      <c r="B61" s="38">
        <v>44957</v>
      </c>
      <c r="C61" s="37" t="s">
        <v>748</v>
      </c>
      <c r="D61" s="37" t="s">
        <v>639</v>
      </c>
      <c r="E61" s="37" t="s">
        <v>640</v>
      </c>
      <c r="F61" s="37" t="s">
        <v>707</v>
      </c>
      <c r="G61" s="37" t="s">
        <v>648</v>
      </c>
      <c r="H61" s="37" t="s">
        <v>650</v>
      </c>
      <c r="I61" s="37" t="s">
        <v>763</v>
      </c>
      <c r="J61" s="37" t="s">
        <v>644</v>
      </c>
      <c r="K61" s="37" t="s">
        <v>165</v>
      </c>
      <c r="L61" s="47">
        <v>-34.05</v>
      </c>
      <c r="M61" s="47">
        <v>-32.12</v>
      </c>
      <c r="N61" s="47">
        <v>-1.93</v>
      </c>
      <c r="O61" s="37" t="s">
        <v>775</v>
      </c>
      <c r="Q61" s="57"/>
      <c r="R61" s="57" t="s">
        <v>441</v>
      </c>
      <c r="S61" s="58">
        <v>79121120.28</v>
      </c>
      <c r="T61" s="58">
        <v>74642566.27</v>
      </c>
      <c r="U61" s="111"/>
      <c r="V61" s="114"/>
      <c r="W61" s="111"/>
      <c r="X61" s="111"/>
      <c r="Y61" s="119"/>
      <c r="Z61" s="119"/>
      <c r="AA61" s="57"/>
      <c r="AB61" s="57" t="s">
        <v>776</v>
      </c>
      <c r="AC61" s="58">
        <v>349999.97</v>
      </c>
      <c r="AD61" s="58">
        <v>350000</v>
      </c>
      <c r="AE61" s="58">
        <v>350000</v>
      </c>
      <c r="AF61" s="58">
        <v>315000</v>
      </c>
      <c r="AG61" s="58">
        <v>315000</v>
      </c>
      <c r="AH61" s="58">
        <v>315000</v>
      </c>
      <c r="AI61" s="58">
        <v>329000</v>
      </c>
      <c r="AJ61" s="58">
        <v>315000</v>
      </c>
      <c r="AK61" s="58">
        <v>315000</v>
      </c>
      <c r="AL61" s="58">
        <v>280000</v>
      </c>
      <c r="AM61" s="58">
        <v>105000</v>
      </c>
      <c r="AN61" s="58"/>
      <c r="AO61" s="58">
        <v>3338999.97</v>
      </c>
    </row>
    <row r="62" s="107" customFormat="1" customHeight="1" spans="1:41">
      <c r="A62" s="37" t="s">
        <v>637</v>
      </c>
      <c r="B62" s="38">
        <v>44957</v>
      </c>
      <c r="C62" s="37" t="s">
        <v>748</v>
      </c>
      <c r="D62" s="37" t="s">
        <v>639</v>
      </c>
      <c r="E62" s="37" t="s">
        <v>640</v>
      </c>
      <c r="F62" s="37" t="s">
        <v>641</v>
      </c>
      <c r="G62" s="37" t="s">
        <v>648</v>
      </c>
      <c r="H62" s="37" t="s">
        <v>650</v>
      </c>
      <c r="I62" s="37" t="s">
        <v>776</v>
      </c>
      <c r="J62" s="37" t="s">
        <v>644</v>
      </c>
      <c r="K62" s="37" t="s">
        <v>14</v>
      </c>
      <c r="L62" s="47">
        <v>-46099.06</v>
      </c>
      <c r="M62" s="47">
        <v>-43489.68</v>
      </c>
      <c r="N62" s="47">
        <v>-2609.38</v>
      </c>
      <c r="O62" s="37" t="s">
        <v>777</v>
      </c>
      <c r="Q62" s="57"/>
      <c r="R62" s="112" t="s">
        <v>460</v>
      </c>
      <c r="S62" s="113">
        <v>17130528.24</v>
      </c>
      <c r="T62" s="113">
        <v>16160875.72</v>
      </c>
      <c r="U62" s="111"/>
      <c r="V62" s="114"/>
      <c r="W62" s="111"/>
      <c r="X62" s="111"/>
      <c r="Y62" s="119"/>
      <c r="Z62" s="119"/>
      <c r="AA62" s="57"/>
      <c r="AB62" s="57" t="s">
        <v>769</v>
      </c>
      <c r="AC62" s="58">
        <v>71311</v>
      </c>
      <c r="AD62" s="58">
        <v>-70965.98</v>
      </c>
      <c r="AE62" s="58"/>
      <c r="AF62" s="58"/>
      <c r="AG62" s="58">
        <v>512174.25</v>
      </c>
      <c r="AH62" s="58">
        <v>506018.7</v>
      </c>
      <c r="AI62" s="58">
        <v>150846.75</v>
      </c>
      <c r="AJ62" s="58">
        <v>154197</v>
      </c>
      <c r="AK62" s="58">
        <v>163217.55</v>
      </c>
      <c r="AL62" s="58">
        <v>176983.5</v>
      </c>
      <c r="AM62" s="58">
        <v>165285</v>
      </c>
      <c r="AN62" s="58">
        <v>177024.74</v>
      </c>
      <c r="AO62" s="58">
        <v>2006092.51</v>
      </c>
    </row>
    <row r="63" s="107" customFormat="1" customHeight="1" spans="1:41">
      <c r="A63" s="37" t="s">
        <v>637</v>
      </c>
      <c r="B63" s="38">
        <v>44957</v>
      </c>
      <c r="C63" s="37" t="s">
        <v>748</v>
      </c>
      <c r="D63" s="37" t="s">
        <v>639</v>
      </c>
      <c r="E63" s="37" t="s">
        <v>640</v>
      </c>
      <c r="F63" s="37" t="s">
        <v>641</v>
      </c>
      <c r="G63" s="37" t="s">
        <v>642</v>
      </c>
      <c r="H63" s="37" t="s">
        <v>697</v>
      </c>
      <c r="I63" s="37" t="s">
        <v>430</v>
      </c>
      <c r="J63" s="37" t="s">
        <v>644</v>
      </c>
      <c r="K63" s="37" t="s">
        <v>14</v>
      </c>
      <c r="L63" s="47">
        <v>-1035.65</v>
      </c>
      <c r="M63" s="47">
        <v>-977.03</v>
      </c>
      <c r="N63" s="47">
        <v>-58.62</v>
      </c>
      <c r="O63" s="37" t="s">
        <v>778</v>
      </c>
      <c r="Q63" s="57"/>
      <c r="R63" s="117" t="s">
        <v>442</v>
      </c>
      <c r="S63" s="118">
        <v>15427543.47</v>
      </c>
      <c r="T63" s="118">
        <v>14554286.44</v>
      </c>
      <c r="U63" s="111"/>
      <c r="V63" s="114"/>
      <c r="W63" s="111"/>
      <c r="X63" s="111"/>
      <c r="Y63" s="119"/>
      <c r="Z63" s="119"/>
      <c r="AA63" s="57"/>
      <c r="AB63" s="57" t="s">
        <v>461</v>
      </c>
      <c r="AC63" s="58">
        <v>379910.9</v>
      </c>
      <c r="AD63" s="58">
        <v>284306.4</v>
      </c>
      <c r="AE63" s="58">
        <v>266974.6</v>
      </c>
      <c r="AF63" s="58">
        <v>370838.84</v>
      </c>
      <c r="AG63" s="58">
        <v>345988.8</v>
      </c>
      <c r="AH63" s="58">
        <v>353149.2</v>
      </c>
      <c r="AI63" s="58">
        <v>273752.1</v>
      </c>
      <c r="AJ63" s="58">
        <v>292608.7</v>
      </c>
      <c r="AK63" s="58">
        <v>412701.8</v>
      </c>
      <c r="AL63" s="58">
        <v>334147.6</v>
      </c>
      <c r="AM63" s="58">
        <v>340854.7</v>
      </c>
      <c r="AN63" s="58">
        <v>475503.4</v>
      </c>
      <c r="AO63" s="58">
        <v>4130737.04</v>
      </c>
    </row>
    <row r="64" s="107" customFormat="1" customHeight="1" spans="1:41">
      <c r="A64" s="37" t="s">
        <v>637</v>
      </c>
      <c r="B64" s="38">
        <v>44957</v>
      </c>
      <c r="C64" s="37" t="s">
        <v>748</v>
      </c>
      <c r="D64" s="37" t="s">
        <v>639</v>
      </c>
      <c r="E64" s="37" t="s">
        <v>640</v>
      </c>
      <c r="F64" s="37" t="s">
        <v>749</v>
      </c>
      <c r="G64" s="37" t="s">
        <v>654</v>
      </c>
      <c r="H64" s="37" t="s">
        <v>650</v>
      </c>
      <c r="I64" s="37" t="s">
        <v>779</v>
      </c>
      <c r="J64" s="37" t="s">
        <v>644</v>
      </c>
      <c r="K64" s="37" t="s">
        <v>14</v>
      </c>
      <c r="L64" s="47">
        <v>-130863.45</v>
      </c>
      <c r="M64" s="47">
        <v>-123456.08</v>
      </c>
      <c r="N64" s="47">
        <v>-7407.37</v>
      </c>
      <c r="O64" s="37" t="s">
        <v>780</v>
      </c>
      <c r="Q64" s="57"/>
      <c r="R64" s="115" t="s">
        <v>429</v>
      </c>
      <c r="S64" s="116">
        <v>76435114.98</v>
      </c>
      <c r="T64" s="116">
        <v>72108599.08</v>
      </c>
      <c r="U64" s="111"/>
      <c r="V64" s="114"/>
      <c r="W64" s="111"/>
      <c r="X64" s="111"/>
      <c r="Y64" s="119"/>
      <c r="Z64" s="119"/>
      <c r="AA64" s="57"/>
      <c r="AB64" s="121" t="s">
        <v>441</v>
      </c>
      <c r="AC64" s="122">
        <v>8618749.25</v>
      </c>
      <c r="AD64" s="122">
        <v>4509377.5</v>
      </c>
      <c r="AE64" s="122">
        <v>3903114.5</v>
      </c>
      <c r="AF64" s="122">
        <v>3590129.25</v>
      </c>
      <c r="AG64" s="122">
        <v>5393974.05</v>
      </c>
      <c r="AH64" s="122">
        <v>8313049.04</v>
      </c>
      <c r="AI64" s="122">
        <v>10853567.2</v>
      </c>
      <c r="AJ64" s="122">
        <v>6340721.4</v>
      </c>
      <c r="AK64" s="122">
        <v>6322998.25</v>
      </c>
      <c r="AL64" s="122">
        <v>4536209</v>
      </c>
      <c r="AM64" s="122">
        <v>8379942.59</v>
      </c>
      <c r="AN64" s="122">
        <v>8359288.25</v>
      </c>
      <c r="AO64" s="122">
        <v>79121120.28</v>
      </c>
    </row>
    <row r="65" s="107" customFormat="1" customHeight="1" spans="1:41">
      <c r="A65" s="37" t="s">
        <v>637</v>
      </c>
      <c r="B65" s="38">
        <v>44957</v>
      </c>
      <c r="C65" s="37" t="s">
        <v>748</v>
      </c>
      <c r="D65" s="37" t="s">
        <v>639</v>
      </c>
      <c r="E65" s="37" t="s">
        <v>640</v>
      </c>
      <c r="F65" s="37" t="s">
        <v>641</v>
      </c>
      <c r="G65" s="37" t="s">
        <v>642</v>
      </c>
      <c r="H65" s="37" t="s">
        <v>643</v>
      </c>
      <c r="I65" s="37" t="s">
        <v>430</v>
      </c>
      <c r="J65" s="37" t="s">
        <v>644</v>
      </c>
      <c r="K65" s="37" t="s">
        <v>14</v>
      </c>
      <c r="L65" s="47">
        <v>-218890.83</v>
      </c>
      <c r="M65" s="47">
        <v>-206500.78</v>
      </c>
      <c r="N65" s="47">
        <v>-12390.05</v>
      </c>
      <c r="O65" s="37" t="s">
        <v>781</v>
      </c>
      <c r="Q65" s="57"/>
      <c r="R65" s="117" t="s">
        <v>754</v>
      </c>
      <c r="S65" s="118">
        <v>41072449.01</v>
      </c>
      <c r="T65" s="118">
        <v>38747593.42</v>
      </c>
      <c r="U65" s="111"/>
      <c r="V65" s="114"/>
      <c r="W65" s="111"/>
      <c r="X65" s="111"/>
      <c r="Y65" s="119"/>
      <c r="Z65" s="119"/>
      <c r="AA65" s="57"/>
      <c r="AB65" s="57" t="s">
        <v>782</v>
      </c>
      <c r="AC65" s="58">
        <v>16666.67</v>
      </c>
      <c r="AD65" s="58">
        <v>6666.67</v>
      </c>
      <c r="AE65" s="58">
        <v>6666.67</v>
      </c>
      <c r="AF65" s="58">
        <v>13333.33</v>
      </c>
      <c r="AG65" s="58">
        <v>26666.67</v>
      </c>
      <c r="AH65" s="58">
        <v>10000</v>
      </c>
      <c r="AI65" s="58"/>
      <c r="AJ65" s="58"/>
      <c r="AK65" s="58"/>
      <c r="AL65" s="58"/>
      <c r="AM65" s="58"/>
      <c r="AN65" s="58"/>
      <c r="AO65" s="58">
        <v>80000.01</v>
      </c>
    </row>
    <row r="66" s="107" customFormat="1" customHeight="1" spans="1:41">
      <c r="A66" s="37" t="s">
        <v>637</v>
      </c>
      <c r="B66" s="38">
        <v>44957</v>
      </c>
      <c r="C66" s="37" t="s">
        <v>748</v>
      </c>
      <c r="D66" s="37" t="s">
        <v>639</v>
      </c>
      <c r="E66" s="37" t="s">
        <v>640</v>
      </c>
      <c r="F66" s="37" t="s">
        <v>641</v>
      </c>
      <c r="G66" s="37" t="s">
        <v>648</v>
      </c>
      <c r="H66" s="37" t="s">
        <v>650</v>
      </c>
      <c r="I66" s="37" t="s">
        <v>447</v>
      </c>
      <c r="J66" s="37" t="s">
        <v>644</v>
      </c>
      <c r="K66" s="37" t="s">
        <v>14</v>
      </c>
      <c r="L66" s="47">
        <v>86215.2</v>
      </c>
      <c r="M66" s="47">
        <v>81335.09</v>
      </c>
      <c r="N66" s="47">
        <v>4880.11</v>
      </c>
      <c r="O66" s="37" t="s">
        <v>783</v>
      </c>
      <c r="Q66" s="57"/>
      <c r="R66" s="57" t="s">
        <v>779</v>
      </c>
      <c r="S66" s="58">
        <v>1541604.2</v>
      </c>
      <c r="T66" s="58">
        <v>1454343.71</v>
      </c>
      <c r="U66" s="111"/>
      <c r="V66" s="114"/>
      <c r="W66" s="111"/>
      <c r="X66" s="111"/>
      <c r="Y66" s="119"/>
      <c r="Z66" s="119"/>
      <c r="AA66" s="57"/>
      <c r="AB66" s="57" t="s">
        <v>773</v>
      </c>
      <c r="AC66" s="58">
        <v>7977.8</v>
      </c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>
        <v>7977.8</v>
      </c>
    </row>
    <row r="67" s="107" customFormat="1" customHeight="1" spans="1:41">
      <c r="A67" s="37" t="s">
        <v>637</v>
      </c>
      <c r="B67" s="38">
        <v>44957</v>
      </c>
      <c r="C67" s="37" t="s">
        <v>748</v>
      </c>
      <c r="D67" s="37" t="s">
        <v>639</v>
      </c>
      <c r="E67" s="37" t="s">
        <v>647</v>
      </c>
      <c r="F67" s="37" t="s">
        <v>707</v>
      </c>
      <c r="G67" s="37" t="s">
        <v>642</v>
      </c>
      <c r="H67" s="37" t="s">
        <v>650</v>
      </c>
      <c r="I67" s="37" t="s">
        <v>429</v>
      </c>
      <c r="J67" s="37" t="s">
        <v>644</v>
      </c>
      <c r="K67" s="37" t="s">
        <v>165</v>
      </c>
      <c r="L67" s="47">
        <v>1575108.8</v>
      </c>
      <c r="M67" s="47">
        <v>1485951.7</v>
      </c>
      <c r="N67" s="47">
        <v>89157.1</v>
      </c>
      <c r="O67" s="37" t="s">
        <v>784</v>
      </c>
      <c r="Q67" s="57"/>
      <c r="R67" s="57" t="s">
        <v>435</v>
      </c>
      <c r="S67" s="58">
        <v>10493</v>
      </c>
      <c r="T67" s="58">
        <v>9899.09</v>
      </c>
      <c r="U67" s="111"/>
      <c r="V67" s="114"/>
      <c r="W67" s="111"/>
      <c r="X67" s="111"/>
      <c r="Y67" s="119"/>
      <c r="Z67" s="119"/>
      <c r="AA67" s="57"/>
      <c r="AB67" s="57" t="s">
        <v>460</v>
      </c>
      <c r="AC67" s="58">
        <v>1477859.64</v>
      </c>
      <c r="AD67" s="58">
        <v>107924.45</v>
      </c>
      <c r="AE67" s="58">
        <v>348562.83</v>
      </c>
      <c r="AF67" s="58">
        <v>1095704.93</v>
      </c>
      <c r="AG67" s="58">
        <v>940873.72</v>
      </c>
      <c r="AH67" s="58">
        <v>3247837.24</v>
      </c>
      <c r="AI67" s="58">
        <v>516992.28</v>
      </c>
      <c r="AJ67" s="58">
        <v>668205.55</v>
      </c>
      <c r="AK67" s="58">
        <v>927156.25</v>
      </c>
      <c r="AL67" s="58">
        <v>3472487.99</v>
      </c>
      <c r="AM67" s="58">
        <v>4233991.96</v>
      </c>
      <c r="AN67" s="58">
        <v>92931.4</v>
      </c>
      <c r="AO67" s="58">
        <v>17130528.24</v>
      </c>
    </row>
    <row r="68" s="107" customFormat="1" customHeight="1" spans="1:41">
      <c r="A68" s="37" t="s">
        <v>637</v>
      </c>
      <c r="B68" s="38">
        <v>44957</v>
      </c>
      <c r="C68" s="37" t="s">
        <v>748</v>
      </c>
      <c r="D68" s="37" t="s">
        <v>639</v>
      </c>
      <c r="E68" s="37" t="s">
        <v>647</v>
      </c>
      <c r="F68" s="37" t="s">
        <v>707</v>
      </c>
      <c r="G68" s="37" t="s">
        <v>642</v>
      </c>
      <c r="H68" s="37" t="s">
        <v>650</v>
      </c>
      <c r="I68" s="37" t="s">
        <v>460</v>
      </c>
      <c r="J68" s="37" t="s">
        <v>644</v>
      </c>
      <c r="K68" s="37" t="s">
        <v>14</v>
      </c>
      <c r="L68" s="47">
        <v>1475392.8</v>
      </c>
      <c r="M68" s="47">
        <v>1391880</v>
      </c>
      <c r="N68" s="47">
        <v>83512.8</v>
      </c>
      <c r="O68" s="37" t="s">
        <v>785</v>
      </c>
      <c r="Q68" s="57"/>
      <c r="R68" s="57" t="s">
        <v>686</v>
      </c>
      <c r="S68" s="58">
        <v>56485.33</v>
      </c>
      <c r="T68" s="58">
        <v>53288.07</v>
      </c>
      <c r="U68" s="111"/>
      <c r="V68" s="114"/>
      <c r="W68" s="111"/>
      <c r="X68" s="111"/>
      <c r="Y68" s="119"/>
      <c r="Z68" s="119"/>
      <c r="AA68" s="57"/>
      <c r="AB68" s="57" t="s">
        <v>442</v>
      </c>
      <c r="AC68" s="58">
        <v>1939447.24</v>
      </c>
      <c r="AD68" s="58">
        <v>1643079.63</v>
      </c>
      <c r="AE68" s="58">
        <v>1818657.12</v>
      </c>
      <c r="AF68" s="58">
        <v>2481033.36</v>
      </c>
      <c r="AG68" s="58">
        <v>1574485.25</v>
      </c>
      <c r="AH68" s="58">
        <v>1420603.05</v>
      </c>
      <c r="AI68" s="58">
        <v>1176748.51</v>
      </c>
      <c r="AJ68" s="58">
        <v>822415.04</v>
      </c>
      <c r="AK68" s="58">
        <v>968127.17</v>
      </c>
      <c r="AL68" s="58">
        <v>863727.78</v>
      </c>
      <c r="AM68" s="58">
        <v>824104.18</v>
      </c>
      <c r="AN68" s="58">
        <v>-104884.86</v>
      </c>
      <c r="AO68" s="58">
        <v>15427543.47</v>
      </c>
    </row>
    <row r="69" s="107" customFormat="1" customHeight="1" spans="1:41">
      <c r="A69" s="37" t="s">
        <v>637</v>
      </c>
      <c r="B69" s="38">
        <v>44957</v>
      </c>
      <c r="C69" s="37" t="s">
        <v>748</v>
      </c>
      <c r="D69" s="37" t="s">
        <v>639</v>
      </c>
      <c r="E69" s="37" t="s">
        <v>647</v>
      </c>
      <c r="F69" s="37" t="s">
        <v>641</v>
      </c>
      <c r="G69" s="37" t="s">
        <v>642</v>
      </c>
      <c r="H69" s="37" t="s">
        <v>650</v>
      </c>
      <c r="I69" s="37" t="s">
        <v>436</v>
      </c>
      <c r="J69" s="37" t="s">
        <v>644</v>
      </c>
      <c r="K69" s="37" t="s">
        <v>350</v>
      </c>
      <c r="L69" s="47">
        <v>13978.8</v>
      </c>
      <c r="M69" s="47">
        <v>13187.56</v>
      </c>
      <c r="N69" s="47">
        <v>791.24</v>
      </c>
      <c r="O69" s="37" t="s">
        <v>786</v>
      </c>
      <c r="Q69" s="57"/>
      <c r="R69" s="57" t="s">
        <v>776</v>
      </c>
      <c r="S69" s="58">
        <v>3338999.97</v>
      </c>
      <c r="T69" s="58">
        <v>3149999.98</v>
      </c>
      <c r="U69" s="111"/>
      <c r="V69" s="114"/>
      <c r="W69" s="111"/>
      <c r="X69" s="111"/>
      <c r="Y69" s="119"/>
      <c r="Z69" s="119"/>
      <c r="AA69" s="57"/>
      <c r="AB69" s="121" t="s">
        <v>429</v>
      </c>
      <c r="AC69" s="122">
        <v>7317145.73</v>
      </c>
      <c r="AD69" s="122">
        <v>5045839.01</v>
      </c>
      <c r="AE69" s="122">
        <v>4417782.14</v>
      </c>
      <c r="AF69" s="122">
        <v>2916360.18</v>
      </c>
      <c r="AG69" s="122">
        <v>7617213.08</v>
      </c>
      <c r="AH69" s="122">
        <v>22176793.33</v>
      </c>
      <c r="AI69" s="122">
        <v>3149384.14</v>
      </c>
      <c r="AJ69" s="122">
        <v>5691628.45</v>
      </c>
      <c r="AK69" s="122">
        <v>2761037.19</v>
      </c>
      <c r="AL69" s="122">
        <v>2520063.47</v>
      </c>
      <c r="AM69" s="122">
        <v>7081040.48</v>
      </c>
      <c r="AN69" s="122">
        <v>5740827.78</v>
      </c>
      <c r="AO69" s="122">
        <v>76435114.98</v>
      </c>
    </row>
    <row r="70" s="107" customFormat="1" customHeight="1" spans="1:41">
      <c r="A70" s="37" t="s">
        <v>637</v>
      </c>
      <c r="B70" s="38">
        <v>44957</v>
      </c>
      <c r="C70" s="37" t="s">
        <v>748</v>
      </c>
      <c r="D70" s="37" t="s">
        <v>639</v>
      </c>
      <c r="E70" s="37" t="s">
        <v>647</v>
      </c>
      <c r="F70" s="37" t="s">
        <v>749</v>
      </c>
      <c r="G70" s="37" t="s">
        <v>642</v>
      </c>
      <c r="H70" s="37" t="s">
        <v>650</v>
      </c>
      <c r="I70" s="37" t="s">
        <v>779</v>
      </c>
      <c r="J70" s="37" t="s">
        <v>644</v>
      </c>
      <c r="K70" s="37" t="s">
        <v>14</v>
      </c>
      <c r="L70" s="47">
        <v>147320.57</v>
      </c>
      <c r="M70" s="47">
        <v>138981.7</v>
      </c>
      <c r="N70" s="47">
        <v>8338.87</v>
      </c>
      <c r="O70" s="37" t="s">
        <v>787</v>
      </c>
      <c r="Q70" s="57"/>
      <c r="R70" s="57" t="s">
        <v>757</v>
      </c>
      <c r="S70" s="58">
        <v>103788.6</v>
      </c>
      <c r="T70" s="58">
        <v>97913.77</v>
      </c>
      <c r="U70" s="111"/>
      <c r="V70" s="114"/>
      <c r="W70" s="111"/>
      <c r="X70" s="111"/>
      <c r="Y70" s="119"/>
      <c r="Z70" s="119"/>
      <c r="AA70" s="57"/>
      <c r="AB70" s="57" t="s">
        <v>444</v>
      </c>
      <c r="AC70" s="58"/>
      <c r="AD70" s="58"/>
      <c r="AE70" s="58">
        <v>3556.65</v>
      </c>
      <c r="AF70" s="58"/>
      <c r="AG70" s="58"/>
      <c r="AH70" s="58">
        <v>7801.76</v>
      </c>
      <c r="AI70" s="58">
        <v>13714.95</v>
      </c>
      <c r="AJ70" s="58">
        <v>31830.45</v>
      </c>
      <c r="AK70" s="58">
        <v>44407.65</v>
      </c>
      <c r="AL70" s="58">
        <v>33670.69</v>
      </c>
      <c r="AM70" s="58">
        <v>7879.46</v>
      </c>
      <c r="AN70" s="58">
        <v>9870.45</v>
      </c>
      <c r="AO70" s="58">
        <v>152732.06</v>
      </c>
    </row>
    <row r="71" customHeight="1" spans="1:41">
      <c r="A71" s="37" t="s">
        <v>637</v>
      </c>
      <c r="B71" s="38">
        <v>44957</v>
      </c>
      <c r="C71" s="37" t="s">
        <v>748</v>
      </c>
      <c r="D71" s="37" t="s">
        <v>639</v>
      </c>
      <c r="E71" s="37" t="s">
        <v>647</v>
      </c>
      <c r="F71" s="37" t="s">
        <v>689</v>
      </c>
      <c r="G71" s="37" t="s">
        <v>654</v>
      </c>
      <c r="H71" s="37" t="s">
        <v>697</v>
      </c>
      <c r="I71" s="37" t="s">
        <v>669</v>
      </c>
      <c r="J71" s="37" t="s">
        <v>656</v>
      </c>
      <c r="K71" s="37" t="s">
        <v>350</v>
      </c>
      <c r="L71" s="47">
        <v>20251.5</v>
      </c>
      <c r="M71" s="47">
        <v>19105.18</v>
      </c>
      <c r="N71" s="47">
        <v>1146.32</v>
      </c>
      <c r="O71" s="37" t="s">
        <v>788</v>
      </c>
      <c r="R71" s="57" t="s">
        <v>782</v>
      </c>
      <c r="S71" s="58">
        <v>80000.01</v>
      </c>
      <c r="T71" s="58">
        <v>75471.7</v>
      </c>
      <c r="V71" s="114"/>
      <c r="W71" s="111"/>
      <c r="X71" s="111"/>
      <c r="Y71" s="119"/>
      <c r="AB71" s="57" t="s">
        <v>754</v>
      </c>
      <c r="AC71" s="58">
        <v>2413237.37</v>
      </c>
      <c r="AD71" s="58">
        <v>2414893.6</v>
      </c>
      <c r="AE71" s="58">
        <v>3600416.16</v>
      </c>
      <c r="AF71" s="58">
        <v>3800386.4</v>
      </c>
      <c r="AG71" s="58">
        <v>3727577.2</v>
      </c>
      <c r="AH71" s="58">
        <v>5396241.6</v>
      </c>
      <c r="AI71" s="58">
        <v>3286648.78</v>
      </c>
      <c r="AJ71" s="58">
        <v>2870938.1</v>
      </c>
      <c r="AK71" s="58">
        <v>2575893</v>
      </c>
      <c r="AL71" s="58">
        <v>2352330.4</v>
      </c>
      <c r="AM71" s="58">
        <v>3572907</v>
      </c>
      <c r="AN71" s="58">
        <v>5060979.4</v>
      </c>
      <c r="AO71" s="58">
        <v>41072449.01</v>
      </c>
    </row>
    <row r="72" customHeight="1" spans="1:41">
      <c r="A72" s="37" t="s">
        <v>637</v>
      </c>
      <c r="B72" s="38">
        <v>44957</v>
      </c>
      <c r="C72" s="37" t="s">
        <v>748</v>
      </c>
      <c r="D72" s="37" t="s">
        <v>682</v>
      </c>
      <c r="E72" s="37" t="s">
        <v>647</v>
      </c>
      <c r="F72" s="37" t="s">
        <v>641</v>
      </c>
      <c r="G72" s="37" t="s">
        <v>648</v>
      </c>
      <c r="H72" s="37" t="s">
        <v>650</v>
      </c>
      <c r="I72" s="37" t="s">
        <v>711</v>
      </c>
      <c r="J72" s="37" t="s">
        <v>656</v>
      </c>
      <c r="K72" s="37" t="s">
        <v>13</v>
      </c>
      <c r="L72" s="47">
        <v>77328</v>
      </c>
      <c r="M72" s="47">
        <v>72950.94</v>
      </c>
      <c r="N72" s="47">
        <v>4377.06</v>
      </c>
      <c r="O72" s="37" t="s">
        <v>789</v>
      </c>
      <c r="R72" s="57" t="s">
        <v>773</v>
      </c>
      <c r="S72" s="58">
        <v>7977.8</v>
      </c>
      <c r="T72" s="58">
        <v>7526.23</v>
      </c>
      <c r="AB72" s="57" t="s">
        <v>686</v>
      </c>
      <c r="AC72" s="58">
        <v>6463.64</v>
      </c>
      <c r="AD72" s="58">
        <v>11432.71</v>
      </c>
      <c r="AE72" s="58">
        <v>7136.3</v>
      </c>
      <c r="AF72" s="58">
        <v>6681.52</v>
      </c>
      <c r="AG72" s="58">
        <v>7018.88</v>
      </c>
      <c r="AH72" s="58">
        <v>17752.28</v>
      </c>
      <c r="AI72" s="58">
        <v>0</v>
      </c>
      <c r="AJ72" s="58">
        <v>0</v>
      </c>
      <c r="AK72" s="58"/>
      <c r="AL72" s="58"/>
      <c r="AM72" s="58"/>
      <c r="AN72" s="58"/>
      <c r="AO72" s="58">
        <v>56485.33</v>
      </c>
    </row>
    <row r="73" customHeight="1" spans="1:41">
      <c r="A73" s="37" t="s">
        <v>637</v>
      </c>
      <c r="B73" s="38">
        <v>44957</v>
      </c>
      <c r="C73" s="37" t="s">
        <v>748</v>
      </c>
      <c r="D73" s="37" t="s">
        <v>639</v>
      </c>
      <c r="E73" s="37" t="s">
        <v>647</v>
      </c>
      <c r="F73" s="37" t="s">
        <v>707</v>
      </c>
      <c r="G73" s="37" t="s">
        <v>654</v>
      </c>
      <c r="H73" s="37" t="s">
        <v>697</v>
      </c>
      <c r="I73" s="37" t="s">
        <v>782</v>
      </c>
      <c r="J73" s="37" t="s">
        <v>644</v>
      </c>
      <c r="K73" s="37" t="s">
        <v>14</v>
      </c>
      <c r="L73" s="47">
        <v>16666.67</v>
      </c>
      <c r="M73" s="47">
        <v>15723.27</v>
      </c>
      <c r="N73" s="47">
        <v>943.4</v>
      </c>
      <c r="O73" s="37" t="s">
        <v>790</v>
      </c>
      <c r="R73" s="57" t="s">
        <v>444</v>
      </c>
      <c r="S73" s="58">
        <v>152732.06</v>
      </c>
      <c r="T73" s="58">
        <v>144086.85</v>
      </c>
      <c r="AB73" s="57" t="s">
        <v>435</v>
      </c>
      <c r="AC73" s="58"/>
      <c r="AD73" s="58">
        <v>10493</v>
      </c>
      <c r="AE73" s="58"/>
      <c r="AF73" s="58"/>
      <c r="AG73" s="58"/>
      <c r="AH73" s="58">
        <v>4910.82</v>
      </c>
      <c r="AI73" s="58"/>
      <c r="AJ73" s="58">
        <v>-4910.82</v>
      </c>
      <c r="AK73" s="58"/>
      <c r="AL73" s="58"/>
      <c r="AM73" s="58">
        <v>0</v>
      </c>
      <c r="AN73" s="58"/>
      <c r="AO73" s="58">
        <v>10493</v>
      </c>
    </row>
    <row r="74" customHeight="1" spans="1:41">
      <c r="A74" s="37" t="s">
        <v>637</v>
      </c>
      <c r="B74" s="38">
        <v>44957</v>
      </c>
      <c r="C74" s="37" t="s">
        <v>748</v>
      </c>
      <c r="D74" s="37" t="s">
        <v>682</v>
      </c>
      <c r="E74" s="37" t="s">
        <v>647</v>
      </c>
      <c r="F74" s="37" t="s">
        <v>641</v>
      </c>
      <c r="G74" s="37" t="s">
        <v>648</v>
      </c>
      <c r="H74" s="37" t="s">
        <v>650</v>
      </c>
      <c r="I74" s="37" t="s">
        <v>711</v>
      </c>
      <c r="J74" s="37" t="s">
        <v>656</v>
      </c>
      <c r="K74" s="37" t="s">
        <v>13</v>
      </c>
      <c r="L74" s="47">
        <v>59454</v>
      </c>
      <c r="M74" s="47">
        <v>56088.68</v>
      </c>
      <c r="N74" s="47">
        <v>3365.32</v>
      </c>
      <c r="O74" s="37" t="s">
        <v>791</v>
      </c>
      <c r="R74" s="57" t="s">
        <v>792</v>
      </c>
      <c r="S74" s="58">
        <v>158425.35</v>
      </c>
      <c r="T74" s="58">
        <v>149457.84</v>
      </c>
      <c r="AB74" s="57" t="s">
        <v>779</v>
      </c>
      <c r="AC74" s="58">
        <v>204685.47</v>
      </c>
      <c r="AD74" s="58">
        <v>78633.36</v>
      </c>
      <c r="AE74" s="58">
        <v>175145.66</v>
      </c>
      <c r="AF74" s="58">
        <v>36390.32</v>
      </c>
      <c r="AG74" s="58">
        <v>39426.92</v>
      </c>
      <c r="AH74" s="58">
        <v>359885.81</v>
      </c>
      <c r="AI74" s="58">
        <v>178490.53</v>
      </c>
      <c r="AJ74" s="58">
        <v>182340.7</v>
      </c>
      <c r="AK74" s="58">
        <v>30036.76</v>
      </c>
      <c r="AL74" s="58">
        <v>24605.75</v>
      </c>
      <c r="AM74" s="58">
        <v>46742.9</v>
      </c>
      <c r="AN74" s="58">
        <v>185220.02</v>
      </c>
      <c r="AO74" s="58">
        <v>1541604.2</v>
      </c>
    </row>
    <row r="75" customHeight="1" spans="1:41">
      <c r="A75" s="37" t="s">
        <v>637</v>
      </c>
      <c r="B75" s="38">
        <v>44957</v>
      </c>
      <c r="C75" s="37" t="s">
        <v>748</v>
      </c>
      <c r="D75" s="37" t="s">
        <v>639</v>
      </c>
      <c r="E75" s="37" t="s">
        <v>647</v>
      </c>
      <c r="F75" s="37" t="s">
        <v>689</v>
      </c>
      <c r="G75" s="37" t="s">
        <v>654</v>
      </c>
      <c r="H75" s="37" t="s">
        <v>697</v>
      </c>
      <c r="I75" s="37" t="s">
        <v>672</v>
      </c>
      <c r="J75" s="37" t="s">
        <v>656</v>
      </c>
      <c r="K75" s="37" t="s">
        <v>350</v>
      </c>
      <c r="L75" s="47">
        <v>516610</v>
      </c>
      <c r="M75" s="47">
        <v>487367.93</v>
      </c>
      <c r="N75" s="47">
        <v>29242.07</v>
      </c>
      <c r="O75" s="37" t="s">
        <v>793</v>
      </c>
      <c r="R75" s="57" t="s">
        <v>794</v>
      </c>
      <c r="S75" s="58">
        <v>403921.26</v>
      </c>
      <c r="T75" s="58">
        <v>381057.79</v>
      </c>
      <c r="AB75" s="57" t="s">
        <v>792</v>
      </c>
      <c r="AC75" s="58"/>
      <c r="AD75" s="58"/>
      <c r="AE75" s="58"/>
      <c r="AF75" s="58"/>
      <c r="AG75" s="58"/>
      <c r="AH75" s="58"/>
      <c r="AI75" s="58"/>
      <c r="AJ75" s="58">
        <v>59700</v>
      </c>
      <c r="AK75" s="58">
        <v>0</v>
      </c>
      <c r="AL75" s="58">
        <v>0</v>
      </c>
      <c r="AM75" s="58">
        <v>0</v>
      </c>
      <c r="AN75" s="58">
        <v>98725.35</v>
      </c>
      <c r="AO75" s="58">
        <v>158425.35</v>
      </c>
    </row>
    <row r="76" customHeight="1" spans="1:41">
      <c r="A76" s="37" t="s">
        <v>637</v>
      </c>
      <c r="B76" s="38">
        <v>44957</v>
      </c>
      <c r="C76" s="37" t="s">
        <v>748</v>
      </c>
      <c r="D76" s="37" t="s">
        <v>639</v>
      </c>
      <c r="E76" s="37" t="s">
        <v>647</v>
      </c>
      <c r="F76" s="37" t="s">
        <v>689</v>
      </c>
      <c r="G76" s="37" t="s">
        <v>654</v>
      </c>
      <c r="H76" s="37" t="s">
        <v>697</v>
      </c>
      <c r="I76" s="37" t="s">
        <v>665</v>
      </c>
      <c r="J76" s="37" t="s">
        <v>656</v>
      </c>
      <c r="K76" s="37" t="s">
        <v>350</v>
      </c>
      <c r="L76" s="47">
        <v>1342.5</v>
      </c>
      <c r="M76" s="47">
        <v>1266.51</v>
      </c>
      <c r="N76" s="47">
        <v>75.99</v>
      </c>
      <c r="O76" s="37" t="s">
        <v>795</v>
      </c>
      <c r="R76" s="57" t="s">
        <v>796</v>
      </c>
      <c r="S76" s="58">
        <v>68791.02</v>
      </c>
      <c r="T76" s="58">
        <v>64897.21</v>
      </c>
      <c r="AB76" s="57" t="s">
        <v>794</v>
      </c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>
        <v>206918.14</v>
      </c>
      <c r="AN76" s="58">
        <v>197003.12</v>
      </c>
      <c r="AO76" s="58">
        <v>403921.26</v>
      </c>
    </row>
    <row r="77" customHeight="1" spans="1:41">
      <c r="A77" s="37" t="s">
        <v>637</v>
      </c>
      <c r="B77" s="38">
        <v>44957</v>
      </c>
      <c r="C77" s="37" t="s">
        <v>748</v>
      </c>
      <c r="D77" s="37" t="s">
        <v>639</v>
      </c>
      <c r="E77" s="37" t="s">
        <v>647</v>
      </c>
      <c r="F77" s="37" t="s">
        <v>689</v>
      </c>
      <c r="G77" s="37" t="s">
        <v>654</v>
      </c>
      <c r="H77" s="37" t="s">
        <v>650</v>
      </c>
      <c r="I77" s="37" t="s">
        <v>664</v>
      </c>
      <c r="J77" s="37" t="s">
        <v>656</v>
      </c>
      <c r="K77" s="37" t="s">
        <v>350</v>
      </c>
      <c r="L77" s="47">
        <v>17302.25</v>
      </c>
      <c r="M77" s="47">
        <v>16322.87</v>
      </c>
      <c r="N77" s="47">
        <v>979.38</v>
      </c>
      <c r="O77" s="37" t="s">
        <v>797</v>
      </c>
      <c r="R77" s="57" t="s">
        <v>798</v>
      </c>
      <c r="S77" s="58">
        <v>112515</v>
      </c>
      <c r="T77" s="58">
        <v>106146.23</v>
      </c>
      <c r="AB77" s="57" t="s">
        <v>796</v>
      </c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>
        <v>45093.04</v>
      </c>
      <c r="AN77" s="58">
        <v>23697.98</v>
      </c>
      <c r="AO77" s="58">
        <v>68791.02</v>
      </c>
    </row>
    <row r="78" customHeight="1" spans="1:41">
      <c r="A78" s="37" t="s">
        <v>637</v>
      </c>
      <c r="B78" s="38">
        <v>44957</v>
      </c>
      <c r="C78" s="37" t="s">
        <v>748</v>
      </c>
      <c r="D78" s="37" t="s">
        <v>639</v>
      </c>
      <c r="E78" s="37" t="s">
        <v>647</v>
      </c>
      <c r="F78" s="37" t="s">
        <v>641</v>
      </c>
      <c r="G78" s="37" t="s">
        <v>648</v>
      </c>
      <c r="H78" s="37" t="s">
        <v>643</v>
      </c>
      <c r="I78" s="37" t="s">
        <v>430</v>
      </c>
      <c r="J78" s="37" t="s">
        <v>644</v>
      </c>
      <c r="K78" s="37" t="s">
        <v>14</v>
      </c>
      <c r="L78" s="47">
        <v>2821424.46</v>
      </c>
      <c r="M78" s="47">
        <v>2661721.21</v>
      </c>
      <c r="N78" s="47">
        <v>159703.25</v>
      </c>
      <c r="O78" s="37" t="s">
        <v>799</v>
      </c>
      <c r="Q78" s="57" t="s">
        <v>319</v>
      </c>
      <c r="S78" s="58">
        <v>450381872.02</v>
      </c>
      <c r="T78" s="58">
        <v>424888558.09</v>
      </c>
      <c r="AB78" s="57" t="s">
        <v>798</v>
      </c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>
        <v>112515</v>
      </c>
      <c r="AO78" s="58">
        <v>112515</v>
      </c>
    </row>
    <row r="79" customHeight="1" spans="1:41">
      <c r="A79" s="37" t="s">
        <v>637</v>
      </c>
      <c r="B79" s="38">
        <v>44957</v>
      </c>
      <c r="C79" s="37" t="s">
        <v>748</v>
      </c>
      <c r="D79" s="37" t="s">
        <v>639</v>
      </c>
      <c r="E79" s="37" t="s">
        <v>647</v>
      </c>
      <c r="F79" s="37" t="s">
        <v>641</v>
      </c>
      <c r="G79" s="37" t="s">
        <v>642</v>
      </c>
      <c r="H79" s="37" t="s">
        <v>650</v>
      </c>
      <c r="I79" s="37" t="s">
        <v>430</v>
      </c>
      <c r="J79" s="37" t="s">
        <v>644</v>
      </c>
      <c r="K79" s="37" t="s">
        <v>14</v>
      </c>
      <c r="L79" s="47">
        <v>355773.38</v>
      </c>
      <c r="M79" s="47">
        <v>335635.28</v>
      </c>
      <c r="N79" s="47">
        <v>20138.1</v>
      </c>
      <c r="O79" s="37" t="s">
        <v>800</v>
      </c>
      <c r="AA79" s="57" t="s">
        <v>319</v>
      </c>
      <c r="AC79" s="58">
        <v>47455835.9</v>
      </c>
      <c r="AD79" s="58">
        <v>32120460.78</v>
      </c>
      <c r="AE79" s="58">
        <v>27402651.31</v>
      </c>
      <c r="AF79" s="58">
        <v>23338713.24</v>
      </c>
      <c r="AG79" s="58">
        <v>37216533.24</v>
      </c>
      <c r="AH79" s="58">
        <v>56855824.17</v>
      </c>
      <c r="AI79" s="58">
        <v>35155456</v>
      </c>
      <c r="AJ79" s="58">
        <v>37705406.65</v>
      </c>
      <c r="AK79" s="58">
        <v>27980401.69</v>
      </c>
      <c r="AL79" s="58">
        <v>29202433.94</v>
      </c>
      <c r="AM79" s="58">
        <v>49890772.27</v>
      </c>
      <c r="AN79" s="58">
        <v>46057382.83</v>
      </c>
      <c r="AO79" s="58">
        <v>450381872.02</v>
      </c>
    </row>
    <row r="80" customHeight="1" spans="1:15">
      <c r="A80" s="37" t="s">
        <v>637</v>
      </c>
      <c r="B80" s="38">
        <v>44957</v>
      </c>
      <c r="C80" s="37" t="s">
        <v>748</v>
      </c>
      <c r="D80" s="37" t="s">
        <v>639</v>
      </c>
      <c r="E80" s="37" t="s">
        <v>647</v>
      </c>
      <c r="F80" s="37" t="s">
        <v>641</v>
      </c>
      <c r="G80" s="37" t="s">
        <v>648</v>
      </c>
      <c r="H80" s="37" t="s">
        <v>650</v>
      </c>
      <c r="I80" s="37" t="s">
        <v>776</v>
      </c>
      <c r="J80" s="37" t="s">
        <v>644</v>
      </c>
      <c r="K80" s="37" t="s">
        <v>14</v>
      </c>
      <c r="L80" s="47">
        <v>396099.03</v>
      </c>
      <c r="M80" s="47">
        <v>373678.31</v>
      </c>
      <c r="N80" s="47">
        <v>22420.72</v>
      </c>
      <c r="O80" s="37" t="s">
        <v>801</v>
      </c>
    </row>
    <row r="81" customHeight="1" spans="1:15">
      <c r="A81" s="37" t="s">
        <v>637</v>
      </c>
      <c r="B81" s="38">
        <v>44957</v>
      </c>
      <c r="C81" s="37" t="s">
        <v>748</v>
      </c>
      <c r="D81" s="37" t="s">
        <v>639</v>
      </c>
      <c r="E81" s="37" t="s">
        <v>647</v>
      </c>
      <c r="F81" s="37" t="s">
        <v>707</v>
      </c>
      <c r="G81" s="37" t="s">
        <v>642</v>
      </c>
      <c r="H81" s="37" t="s">
        <v>650</v>
      </c>
      <c r="I81" s="37" t="s">
        <v>429</v>
      </c>
      <c r="J81" s="37" t="s">
        <v>644</v>
      </c>
      <c r="K81" s="37" t="s">
        <v>14</v>
      </c>
      <c r="L81" s="47">
        <v>2922597.16</v>
      </c>
      <c r="M81" s="47">
        <v>2757167.1</v>
      </c>
      <c r="N81" s="47">
        <v>165430.06</v>
      </c>
      <c r="O81" s="37" t="s">
        <v>802</v>
      </c>
    </row>
    <row r="82" customHeight="1" spans="1:15">
      <c r="A82" s="37" t="s">
        <v>637</v>
      </c>
      <c r="B82" s="38">
        <v>44957</v>
      </c>
      <c r="C82" s="37" t="s">
        <v>748</v>
      </c>
      <c r="D82" s="37" t="s">
        <v>639</v>
      </c>
      <c r="E82" s="37" t="s">
        <v>647</v>
      </c>
      <c r="F82" s="37" t="s">
        <v>707</v>
      </c>
      <c r="G82" s="37" t="s">
        <v>648</v>
      </c>
      <c r="H82" s="37" t="s">
        <v>650</v>
      </c>
      <c r="I82" s="37" t="s">
        <v>763</v>
      </c>
      <c r="J82" s="37" t="s">
        <v>644</v>
      </c>
      <c r="K82" s="37" t="s">
        <v>165</v>
      </c>
      <c r="L82" s="47">
        <v>19632.61</v>
      </c>
      <c r="M82" s="47">
        <v>18521.34</v>
      </c>
      <c r="N82" s="47">
        <v>1111.27</v>
      </c>
      <c r="O82" s="37" t="s">
        <v>803</v>
      </c>
    </row>
    <row r="83" customHeight="1" spans="1:15">
      <c r="A83" s="37" t="s">
        <v>637</v>
      </c>
      <c r="B83" s="38">
        <v>44957</v>
      </c>
      <c r="C83" s="37" t="s">
        <v>748</v>
      </c>
      <c r="D83" s="37" t="s">
        <v>639</v>
      </c>
      <c r="E83" s="37" t="s">
        <v>647</v>
      </c>
      <c r="F83" s="37" t="s">
        <v>749</v>
      </c>
      <c r="G83" s="37" t="s">
        <v>648</v>
      </c>
      <c r="H83" s="37" t="s">
        <v>643</v>
      </c>
      <c r="I83" s="37" t="s">
        <v>779</v>
      </c>
      <c r="J83" s="37" t="s">
        <v>644</v>
      </c>
      <c r="K83" s="37" t="s">
        <v>14</v>
      </c>
      <c r="L83" s="47">
        <v>188228.35</v>
      </c>
      <c r="M83" s="47">
        <v>177573.93</v>
      </c>
      <c r="N83" s="47">
        <v>10654.42</v>
      </c>
      <c r="O83" s="37" t="s">
        <v>804</v>
      </c>
    </row>
    <row r="84" customHeight="1" spans="1:15">
      <c r="A84" s="37" t="s">
        <v>637</v>
      </c>
      <c r="B84" s="38">
        <v>44957</v>
      </c>
      <c r="C84" s="37" t="s">
        <v>748</v>
      </c>
      <c r="D84" s="37" t="s">
        <v>639</v>
      </c>
      <c r="E84" s="37" t="s">
        <v>647</v>
      </c>
      <c r="F84" s="37" t="s">
        <v>641</v>
      </c>
      <c r="G84" s="37" t="s">
        <v>648</v>
      </c>
      <c r="H84" s="37" t="s">
        <v>697</v>
      </c>
      <c r="I84" s="37" t="s">
        <v>441</v>
      </c>
      <c r="J84" s="37" t="s">
        <v>644</v>
      </c>
      <c r="K84" s="37" t="s">
        <v>14</v>
      </c>
      <c r="L84" s="47">
        <v>8618749.25</v>
      </c>
      <c r="M84" s="47">
        <v>8130895.52</v>
      </c>
      <c r="N84" s="47">
        <v>487853.73</v>
      </c>
      <c r="O84" s="37" t="s">
        <v>805</v>
      </c>
    </row>
    <row r="85" customHeight="1" spans="1:15">
      <c r="A85" s="44" t="s">
        <v>637</v>
      </c>
      <c r="B85" s="86">
        <v>44985</v>
      </c>
      <c r="C85" s="44" t="s">
        <v>646</v>
      </c>
      <c r="D85" s="44" t="s">
        <v>653</v>
      </c>
      <c r="E85" s="44" t="s">
        <v>640</v>
      </c>
      <c r="F85" s="44" t="s">
        <v>659</v>
      </c>
      <c r="G85" s="44" t="s">
        <v>648</v>
      </c>
      <c r="H85" s="44" t="s">
        <v>650</v>
      </c>
      <c r="I85" s="44" t="s">
        <v>462</v>
      </c>
      <c r="J85" s="44" t="s">
        <v>656</v>
      </c>
      <c r="K85" s="44" t="s">
        <v>166</v>
      </c>
      <c r="L85" s="48">
        <v>393915.65</v>
      </c>
      <c r="M85" s="48">
        <v>371618.54</v>
      </c>
      <c r="N85" s="48">
        <v>22297.11</v>
      </c>
      <c r="O85" s="44" t="s">
        <v>806</v>
      </c>
    </row>
    <row r="86" customHeight="1" spans="1:15">
      <c r="A86" s="44" t="s">
        <v>637</v>
      </c>
      <c r="B86" s="86">
        <v>44985</v>
      </c>
      <c r="C86" s="44" t="s">
        <v>646</v>
      </c>
      <c r="D86" s="44" t="s">
        <v>639</v>
      </c>
      <c r="E86" s="44" t="s">
        <v>647</v>
      </c>
      <c r="F86" s="44" t="s">
        <v>689</v>
      </c>
      <c r="G86" s="44" t="s">
        <v>654</v>
      </c>
      <c r="H86" s="44" t="s">
        <v>697</v>
      </c>
      <c r="I86" s="44" t="s">
        <v>658</v>
      </c>
      <c r="J86" s="44" t="s">
        <v>656</v>
      </c>
      <c r="K86" s="44" t="s">
        <v>350</v>
      </c>
      <c r="L86" s="48">
        <v>306718.3</v>
      </c>
      <c r="M86" s="48">
        <v>289356.88</v>
      </c>
      <c r="N86" s="48">
        <v>17361.42</v>
      </c>
      <c r="O86" s="44" t="s">
        <v>807</v>
      </c>
    </row>
    <row r="87" customHeight="1" spans="1:15">
      <c r="A87" s="44" t="s">
        <v>637</v>
      </c>
      <c r="B87" s="86">
        <v>44985</v>
      </c>
      <c r="C87" s="44" t="s">
        <v>646</v>
      </c>
      <c r="D87" s="44" t="s">
        <v>639</v>
      </c>
      <c r="E87" s="44" t="s">
        <v>647</v>
      </c>
      <c r="F87" s="44" t="s">
        <v>641</v>
      </c>
      <c r="G87" s="44" t="s">
        <v>642</v>
      </c>
      <c r="H87" s="44" t="s">
        <v>650</v>
      </c>
      <c r="I87" s="44" t="s">
        <v>430</v>
      </c>
      <c r="J87" s="44" t="s">
        <v>644</v>
      </c>
      <c r="K87" s="44" t="s">
        <v>14</v>
      </c>
      <c r="L87" s="48">
        <v>523274.08</v>
      </c>
      <c r="M87" s="48">
        <v>493654.79</v>
      </c>
      <c r="N87" s="48">
        <v>29619.29</v>
      </c>
      <c r="O87" s="44" t="s">
        <v>808</v>
      </c>
    </row>
    <row r="88" customHeight="1" spans="1:15">
      <c r="A88" s="44" t="s">
        <v>637</v>
      </c>
      <c r="B88" s="86">
        <v>44985</v>
      </c>
      <c r="C88" s="44" t="s">
        <v>646</v>
      </c>
      <c r="D88" s="44" t="s">
        <v>639</v>
      </c>
      <c r="E88" s="44" t="s">
        <v>647</v>
      </c>
      <c r="F88" s="44" t="s">
        <v>641</v>
      </c>
      <c r="G88" s="44" t="s">
        <v>654</v>
      </c>
      <c r="H88" s="44" t="s">
        <v>643</v>
      </c>
      <c r="I88" s="44" t="s">
        <v>661</v>
      </c>
      <c r="J88" s="44" t="s">
        <v>656</v>
      </c>
      <c r="K88" s="44" t="s">
        <v>350</v>
      </c>
      <c r="L88" s="48">
        <v>652.5</v>
      </c>
      <c r="M88" s="48">
        <v>615.56</v>
      </c>
      <c r="N88" s="48">
        <v>36.94</v>
      </c>
      <c r="O88" s="44" t="s">
        <v>809</v>
      </c>
    </row>
    <row r="89" customHeight="1" spans="1:15">
      <c r="A89" s="44" t="s">
        <v>637</v>
      </c>
      <c r="B89" s="86">
        <v>44985</v>
      </c>
      <c r="C89" s="44" t="s">
        <v>646</v>
      </c>
      <c r="D89" s="44" t="s">
        <v>653</v>
      </c>
      <c r="E89" s="44" t="s">
        <v>640</v>
      </c>
      <c r="F89" s="44" t="s">
        <v>641</v>
      </c>
      <c r="G89" s="44" t="s">
        <v>648</v>
      </c>
      <c r="H89" s="44" t="s">
        <v>697</v>
      </c>
      <c r="I89" s="44" t="s">
        <v>462</v>
      </c>
      <c r="J89" s="44" t="s">
        <v>656</v>
      </c>
      <c r="K89" s="44" t="s">
        <v>166</v>
      </c>
      <c r="L89" s="48">
        <v>63201.86</v>
      </c>
      <c r="M89" s="48">
        <v>59624.4</v>
      </c>
      <c r="N89" s="48">
        <v>3577.46</v>
      </c>
      <c r="O89" s="44" t="s">
        <v>810</v>
      </c>
    </row>
    <row r="90" customHeight="1" spans="1:15">
      <c r="A90" s="44" t="s">
        <v>637</v>
      </c>
      <c r="B90" s="86">
        <v>44985</v>
      </c>
      <c r="C90" s="44" t="s">
        <v>811</v>
      </c>
      <c r="D90" s="44" t="s">
        <v>639</v>
      </c>
      <c r="E90" s="44" t="s">
        <v>647</v>
      </c>
      <c r="F90" s="44" t="s">
        <v>641</v>
      </c>
      <c r="G90" s="44" t="s">
        <v>642</v>
      </c>
      <c r="H90" s="44" t="s">
        <v>650</v>
      </c>
      <c r="I90" s="44" t="s">
        <v>430</v>
      </c>
      <c r="J90" s="44" t="s">
        <v>644</v>
      </c>
      <c r="K90" s="44" t="s">
        <v>14</v>
      </c>
      <c r="L90" s="48">
        <v>23520.22</v>
      </c>
      <c r="M90" s="48">
        <v>22188.88</v>
      </c>
      <c r="N90" s="48">
        <v>1331.34</v>
      </c>
      <c r="O90" s="44" t="s">
        <v>812</v>
      </c>
    </row>
    <row r="91" customHeight="1" spans="1:15">
      <c r="A91" s="44" t="s">
        <v>637</v>
      </c>
      <c r="B91" s="86">
        <v>44985</v>
      </c>
      <c r="C91" s="44" t="s">
        <v>646</v>
      </c>
      <c r="D91" s="44" t="s">
        <v>653</v>
      </c>
      <c r="E91" s="44" t="s">
        <v>647</v>
      </c>
      <c r="F91" s="44" t="s">
        <v>641</v>
      </c>
      <c r="G91" s="44" t="s">
        <v>654</v>
      </c>
      <c r="H91" s="44" t="s">
        <v>655</v>
      </c>
      <c r="I91" s="44" t="s">
        <v>462</v>
      </c>
      <c r="J91" s="44" t="s">
        <v>656</v>
      </c>
      <c r="K91" s="44" t="s">
        <v>166</v>
      </c>
      <c r="L91" s="48">
        <v>18609.51</v>
      </c>
      <c r="M91" s="48">
        <v>17556.14</v>
      </c>
      <c r="N91" s="48">
        <v>1053.37</v>
      </c>
      <c r="O91" s="44" t="s">
        <v>813</v>
      </c>
    </row>
    <row r="92" customHeight="1" spans="1:15">
      <c r="A92" s="44" t="s">
        <v>637</v>
      </c>
      <c r="B92" s="86">
        <v>44985</v>
      </c>
      <c r="C92" s="44" t="s">
        <v>646</v>
      </c>
      <c r="D92" s="44" t="s">
        <v>639</v>
      </c>
      <c r="E92" s="44" t="s">
        <v>647</v>
      </c>
      <c r="F92" s="44" t="s">
        <v>641</v>
      </c>
      <c r="G92" s="44" t="s">
        <v>642</v>
      </c>
      <c r="H92" s="44" t="s">
        <v>650</v>
      </c>
      <c r="I92" s="44" t="s">
        <v>678</v>
      </c>
      <c r="J92" s="44" t="s">
        <v>656</v>
      </c>
      <c r="K92" s="44" t="s">
        <v>350</v>
      </c>
      <c r="L92" s="48">
        <v>3468</v>
      </c>
      <c r="M92" s="48">
        <v>3271.66</v>
      </c>
      <c r="N92" s="48">
        <v>196.34</v>
      </c>
      <c r="O92" s="44" t="s">
        <v>814</v>
      </c>
    </row>
    <row r="93" customHeight="1" spans="1:15">
      <c r="A93" s="44" t="s">
        <v>637</v>
      </c>
      <c r="B93" s="86">
        <v>44985</v>
      </c>
      <c r="C93" s="44" t="s">
        <v>646</v>
      </c>
      <c r="D93" s="44" t="s">
        <v>653</v>
      </c>
      <c r="E93" s="44" t="s">
        <v>647</v>
      </c>
      <c r="F93" s="44" t="s">
        <v>659</v>
      </c>
      <c r="G93" s="44" t="s">
        <v>654</v>
      </c>
      <c r="H93" s="44" t="s">
        <v>650</v>
      </c>
      <c r="I93" s="44" t="s">
        <v>462</v>
      </c>
      <c r="J93" s="44" t="s">
        <v>656</v>
      </c>
      <c r="K93" s="44" t="s">
        <v>166</v>
      </c>
      <c r="L93" s="48">
        <v>74438.04</v>
      </c>
      <c r="M93" s="48">
        <v>70224.56</v>
      </c>
      <c r="N93" s="48">
        <v>4213.48</v>
      </c>
      <c r="O93" s="44" t="s">
        <v>815</v>
      </c>
    </row>
    <row r="94" customHeight="1" spans="1:15">
      <c r="A94" s="44" t="s">
        <v>637</v>
      </c>
      <c r="B94" s="86">
        <v>44985</v>
      </c>
      <c r="C94" s="44" t="s">
        <v>646</v>
      </c>
      <c r="D94" s="44" t="s">
        <v>639</v>
      </c>
      <c r="E94" s="44" t="s">
        <v>647</v>
      </c>
      <c r="F94" s="44" t="s">
        <v>641</v>
      </c>
      <c r="G94" s="44" t="s">
        <v>648</v>
      </c>
      <c r="H94" s="44" t="s">
        <v>650</v>
      </c>
      <c r="I94" s="44" t="s">
        <v>667</v>
      </c>
      <c r="J94" s="44" t="s">
        <v>644</v>
      </c>
      <c r="K94" s="44" t="s">
        <v>350</v>
      </c>
      <c r="L94" s="48">
        <v>231</v>
      </c>
      <c r="M94" s="48">
        <v>217.91</v>
      </c>
      <c r="N94" s="48">
        <v>13.09</v>
      </c>
      <c r="O94" s="44" t="s">
        <v>816</v>
      </c>
    </row>
    <row r="95" customHeight="1" spans="1:15">
      <c r="A95" s="44" t="s">
        <v>637</v>
      </c>
      <c r="B95" s="86">
        <v>44985</v>
      </c>
      <c r="C95" s="44" t="s">
        <v>646</v>
      </c>
      <c r="D95" s="44" t="s">
        <v>639</v>
      </c>
      <c r="E95" s="44" t="s">
        <v>647</v>
      </c>
      <c r="F95" s="44" t="s">
        <v>641</v>
      </c>
      <c r="G95" s="44" t="s">
        <v>648</v>
      </c>
      <c r="H95" s="44" t="s">
        <v>643</v>
      </c>
      <c r="I95" s="44" t="s">
        <v>430</v>
      </c>
      <c r="J95" s="44" t="s">
        <v>644</v>
      </c>
      <c r="K95" s="44" t="s">
        <v>14</v>
      </c>
      <c r="L95" s="48">
        <v>793714.75</v>
      </c>
      <c r="M95" s="48">
        <v>748787.45</v>
      </c>
      <c r="N95" s="48">
        <v>44927.3</v>
      </c>
      <c r="O95" s="44" t="s">
        <v>817</v>
      </c>
    </row>
    <row r="96" customHeight="1" spans="1:15">
      <c r="A96" s="44" t="s">
        <v>637</v>
      </c>
      <c r="B96" s="86">
        <v>44985</v>
      </c>
      <c r="C96" s="44" t="s">
        <v>646</v>
      </c>
      <c r="D96" s="44" t="s">
        <v>639</v>
      </c>
      <c r="E96" s="44" t="s">
        <v>647</v>
      </c>
      <c r="F96" s="44" t="s">
        <v>641</v>
      </c>
      <c r="G96" s="44" t="s">
        <v>648</v>
      </c>
      <c r="H96" s="44" t="s">
        <v>650</v>
      </c>
      <c r="I96" s="44" t="s">
        <v>686</v>
      </c>
      <c r="J96" s="44" t="s">
        <v>656</v>
      </c>
      <c r="K96" s="44" t="s">
        <v>14</v>
      </c>
      <c r="L96" s="48">
        <v>11456.68</v>
      </c>
      <c r="M96" s="48">
        <v>10808.2</v>
      </c>
      <c r="N96" s="48">
        <v>648.48</v>
      </c>
      <c r="O96" s="44" t="s">
        <v>818</v>
      </c>
    </row>
    <row r="97" customHeight="1" spans="1:15">
      <c r="A97" s="44" t="s">
        <v>637</v>
      </c>
      <c r="B97" s="86">
        <v>44985</v>
      </c>
      <c r="C97" s="44" t="s">
        <v>700</v>
      </c>
      <c r="D97" s="44" t="s">
        <v>639</v>
      </c>
      <c r="E97" s="44" t="s">
        <v>640</v>
      </c>
      <c r="F97" s="44" t="s">
        <v>641</v>
      </c>
      <c r="G97" s="44" t="s">
        <v>654</v>
      </c>
      <c r="H97" s="44" t="s">
        <v>650</v>
      </c>
      <c r="I97" s="44" t="s">
        <v>442</v>
      </c>
      <c r="J97" s="44" t="s">
        <v>644</v>
      </c>
      <c r="K97" s="44" t="s">
        <v>14</v>
      </c>
      <c r="L97" s="48">
        <v>-480000</v>
      </c>
      <c r="M97" s="48">
        <v>-452830.19</v>
      </c>
      <c r="N97" s="48">
        <v>-27169.81</v>
      </c>
      <c r="O97" s="44" t="s">
        <v>819</v>
      </c>
    </row>
    <row r="98" customHeight="1" spans="1:15">
      <c r="A98" s="44" t="s">
        <v>637</v>
      </c>
      <c r="B98" s="86">
        <v>44985</v>
      </c>
      <c r="C98" s="44" t="s">
        <v>700</v>
      </c>
      <c r="D98" s="44" t="s">
        <v>639</v>
      </c>
      <c r="E98" s="44" t="s">
        <v>647</v>
      </c>
      <c r="F98" s="44" t="s">
        <v>641</v>
      </c>
      <c r="G98" s="44" t="s">
        <v>648</v>
      </c>
      <c r="H98" s="44" t="s">
        <v>643</v>
      </c>
      <c r="I98" s="44" t="s">
        <v>442</v>
      </c>
      <c r="J98" s="44" t="s">
        <v>644</v>
      </c>
      <c r="K98" s="44" t="s">
        <v>14</v>
      </c>
      <c r="L98" s="48">
        <v>12280.63</v>
      </c>
      <c r="M98" s="48">
        <v>11585.51</v>
      </c>
      <c r="N98" s="48">
        <v>695.12</v>
      </c>
      <c r="O98" s="44" t="s">
        <v>820</v>
      </c>
    </row>
    <row r="99" customHeight="1" spans="1:15">
      <c r="A99" s="44" t="s">
        <v>637</v>
      </c>
      <c r="B99" s="86">
        <v>44985</v>
      </c>
      <c r="C99" s="44" t="s">
        <v>700</v>
      </c>
      <c r="D99" s="44" t="s">
        <v>639</v>
      </c>
      <c r="E99" s="44" t="s">
        <v>647</v>
      </c>
      <c r="F99" s="44" t="s">
        <v>641</v>
      </c>
      <c r="G99" s="44" t="s">
        <v>648</v>
      </c>
      <c r="H99" s="44" t="s">
        <v>650</v>
      </c>
      <c r="I99" s="44" t="s">
        <v>460</v>
      </c>
      <c r="J99" s="44" t="s">
        <v>644</v>
      </c>
      <c r="K99" s="44" t="s">
        <v>14</v>
      </c>
      <c r="L99" s="48">
        <v>107924.45</v>
      </c>
      <c r="M99" s="48">
        <v>101815.55</v>
      </c>
      <c r="N99" s="48">
        <v>6108.9</v>
      </c>
      <c r="O99" s="44" t="s">
        <v>821</v>
      </c>
    </row>
    <row r="100" customHeight="1" spans="1:15">
      <c r="A100" s="44" t="s">
        <v>637</v>
      </c>
      <c r="B100" s="86">
        <v>44985</v>
      </c>
      <c r="C100" s="44" t="s">
        <v>700</v>
      </c>
      <c r="D100" s="44" t="s">
        <v>639</v>
      </c>
      <c r="E100" s="44" t="s">
        <v>647</v>
      </c>
      <c r="F100" s="44" t="s">
        <v>641</v>
      </c>
      <c r="G100" s="44" t="s">
        <v>654</v>
      </c>
      <c r="H100" s="44" t="s">
        <v>643</v>
      </c>
      <c r="I100" s="44" t="s">
        <v>442</v>
      </c>
      <c r="J100" s="44" t="s">
        <v>644</v>
      </c>
      <c r="K100" s="44" t="s">
        <v>14</v>
      </c>
      <c r="L100" s="48">
        <v>495708</v>
      </c>
      <c r="M100" s="48">
        <v>467649.05</v>
      </c>
      <c r="N100" s="48">
        <v>28058.95</v>
      </c>
      <c r="O100" s="44" t="s">
        <v>822</v>
      </c>
    </row>
    <row r="101" customHeight="1" spans="1:15">
      <c r="A101" s="44" t="s">
        <v>637</v>
      </c>
      <c r="B101" s="86">
        <v>44985</v>
      </c>
      <c r="C101" s="44" t="s">
        <v>700</v>
      </c>
      <c r="D101" s="44" t="s">
        <v>639</v>
      </c>
      <c r="E101" s="44" t="s">
        <v>647</v>
      </c>
      <c r="F101" s="44" t="s">
        <v>641</v>
      </c>
      <c r="G101" s="44" t="s">
        <v>648</v>
      </c>
      <c r="H101" s="44" t="s">
        <v>643</v>
      </c>
      <c r="I101" s="44" t="s">
        <v>430</v>
      </c>
      <c r="J101" s="44" t="s">
        <v>644</v>
      </c>
      <c r="K101" s="44" t="s">
        <v>14</v>
      </c>
      <c r="L101" s="48">
        <v>889138.39</v>
      </c>
      <c r="M101" s="48">
        <v>838809.78</v>
      </c>
      <c r="N101" s="48">
        <v>50328.61</v>
      </c>
      <c r="O101" s="44" t="s">
        <v>823</v>
      </c>
    </row>
    <row r="102" customHeight="1" spans="1:15">
      <c r="A102" s="44" t="s">
        <v>637</v>
      </c>
      <c r="B102" s="86">
        <v>44985</v>
      </c>
      <c r="C102" s="44" t="s">
        <v>700</v>
      </c>
      <c r="D102" s="44" t="s">
        <v>639</v>
      </c>
      <c r="E102" s="44" t="s">
        <v>647</v>
      </c>
      <c r="F102" s="44" t="s">
        <v>659</v>
      </c>
      <c r="G102" s="44" t="s">
        <v>642</v>
      </c>
      <c r="H102" s="44" t="s">
        <v>650</v>
      </c>
      <c r="I102" s="44" t="s">
        <v>442</v>
      </c>
      <c r="J102" s="44" t="s">
        <v>644</v>
      </c>
      <c r="K102" s="44" t="s">
        <v>14</v>
      </c>
      <c r="L102" s="48">
        <v>1615091</v>
      </c>
      <c r="M102" s="48">
        <v>1523670.76</v>
      </c>
      <c r="N102" s="48">
        <v>91420.24</v>
      </c>
      <c r="O102" s="44" t="s">
        <v>824</v>
      </c>
    </row>
    <row r="103" customHeight="1" spans="1:15">
      <c r="A103" s="44" t="s">
        <v>637</v>
      </c>
      <c r="B103" s="86">
        <v>44985</v>
      </c>
      <c r="C103" s="44" t="s">
        <v>725</v>
      </c>
      <c r="D103" s="44" t="s">
        <v>726</v>
      </c>
      <c r="E103" s="44" t="s">
        <v>647</v>
      </c>
      <c r="F103" s="44" t="s">
        <v>641</v>
      </c>
      <c r="G103" s="44" t="s">
        <v>642</v>
      </c>
      <c r="H103" s="44" t="s">
        <v>650</v>
      </c>
      <c r="I103" s="44" t="s">
        <v>430</v>
      </c>
      <c r="J103" s="44" t="s">
        <v>644</v>
      </c>
      <c r="K103" s="44" t="s">
        <v>14</v>
      </c>
      <c r="L103" s="48">
        <v>227007.84</v>
      </c>
      <c r="M103" s="48">
        <v>214158.34</v>
      </c>
      <c r="N103" s="48">
        <v>12849.5</v>
      </c>
      <c r="O103" s="44" t="s">
        <v>825</v>
      </c>
    </row>
    <row r="104" customHeight="1" spans="1:15">
      <c r="A104" s="44" t="s">
        <v>637</v>
      </c>
      <c r="B104" s="86">
        <v>44985</v>
      </c>
      <c r="C104" s="44" t="s">
        <v>725</v>
      </c>
      <c r="D104" s="44" t="s">
        <v>740</v>
      </c>
      <c r="E104" s="44" t="s">
        <v>647</v>
      </c>
      <c r="F104" s="44" t="s">
        <v>641</v>
      </c>
      <c r="G104" s="44" t="s">
        <v>642</v>
      </c>
      <c r="H104" s="44" t="s">
        <v>650</v>
      </c>
      <c r="I104" s="44" t="s">
        <v>430</v>
      </c>
      <c r="J104" s="44" t="s">
        <v>644</v>
      </c>
      <c r="K104" s="44" t="s">
        <v>14</v>
      </c>
      <c r="L104" s="48">
        <v>41613.82</v>
      </c>
      <c r="M104" s="48">
        <v>39258.32</v>
      </c>
      <c r="N104" s="48">
        <v>2355.5</v>
      </c>
      <c r="O104" s="44" t="s">
        <v>826</v>
      </c>
    </row>
    <row r="105" customHeight="1" spans="1:15">
      <c r="A105" s="44" t="s">
        <v>637</v>
      </c>
      <c r="B105" s="86">
        <v>44985</v>
      </c>
      <c r="C105" s="44" t="s">
        <v>710</v>
      </c>
      <c r="D105" s="44" t="s">
        <v>682</v>
      </c>
      <c r="E105" s="44" t="s">
        <v>647</v>
      </c>
      <c r="F105" s="44" t="s">
        <v>641</v>
      </c>
      <c r="G105" s="44" t="s">
        <v>648</v>
      </c>
      <c r="H105" s="44" t="s">
        <v>650</v>
      </c>
      <c r="I105" s="44" t="s">
        <v>711</v>
      </c>
      <c r="J105" s="44" t="s">
        <v>656</v>
      </c>
      <c r="K105" s="44" t="s">
        <v>13</v>
      </c>
      <c r="L105" s="48">
        <v>38718</v>
      </c>
      <c r="M105" s="48">
        <v>36526.42</v>
      </c>
      <c r="N105" s="48">
        <v>2191.58</v>
      </c>
      <c r="O105" s="44" t="s">
        <v>827</v>
      </c>
    </row>
    <row r="106" customHeight="1" spans="1:15">
      <c r="A106" s="44" t="s">
        <v>637</v>
      </c>
      <c r="B106" s="86">
        <v>44985</v>
      </c>
      <c r="C106" s="44" t="s">
        <v>715</v>
      </c>
      <c r="D106" s="44" t="s">
        <v>653</v>
      </c>
      <c r="E106" s="44" t="s">
        <v>640</v>
      </c>
      <c r="F106" s="44" t="s">
        <v>659</v>
      </c>
      <c r="G106" s="44" t="s">
        <v>654</v>
      </c>
      <c r="H106" s="44" t="s">
        <v>650</v>
      </c>
      <c r="I106" s="44" t="s">
        <v>716</v>
      </c>
      <c r="J106" s="44" t="s">
        <v>656</v>
      </c>
      <c r="K106" s="44" t="s">
        <v>166</v>
      </c>
      <c r="L106" s="48">
        <v>301.59</v>
      </c>
      <c r="M106" s="48">
        <v>284.52</v>
      </c>
      <c r="N106" s="48">
        <v>17.07</v>
      </c>
      <c r="O106" s="44" t="s">
        <v>828</v>
      </c>
    </row>
    <row r="107" customHeight="1" spans="1:15">
      <c r="A107" s="44" t="s">
        <v>637</v>
      </c>
      <c r="B107" s="86">
        <v>44985</v>
      </c>
      <c r="C107" s="44" t="s">
        <v>730</v>
      </c>
      <c r="D107" s="44" t="s">
        <v>653</v>
      </c>
      <c r="E107" s="44" t="s">
        <v>640</v>
      </c>
      <c r="F107" s="44" t="s">
        <v>659</v>
      </c>
      <c r="G107" s="44" t="s">
        <v>654</v>
      </c>
      <c r="H107" s="44" t="s">
        <v>650</v>
      </c>
      <c r="I107" s="44" t="s">
        <v>719</v>
      </c>
      <c r="J107" s="44" t="s">
        <v>656</v>
      </c>
      <c r="K107" s="44" t="s">
        <v>166</v>
      </c>
      <c r="L107" s="48">
        <v>115.2</v>
      </c>
      <c r="M107" s="48">
        <v>108.68</v>
      </c>
      <c r="N107" s="48">
        <v>6.52</v>
      </c>
      <c r="O107" s="44" t="s">
        <v>829</v>
      </c>
    </row>
    <row r="108" customHeight="1" spans="1:15">
      <c r="A108" s="44" t="s">
        <v>637</v>
      </c>
      <c r="B108" s="86">
        <v>44985</v>
      </c>
      <c r="C108" s="44" t="s">
        <v>710</v>
      </c>
      <c r="D108" s="44" t="s">
        <v>639</v>
      </c>
      <c r="E108" s="44" t="s">
        <v>640</v>
      </c>
      <c r="F108" s="44" t="s">
        <v>707</v>
      </c>
      <c r="G108" s="44" t="s">
        <v>648</v>
      </c>
      <c r="H108" s="44" t="s">
        <v>650</v>
      </c>
      <c r="I108" s="44" t="s">
        <v>723</v>
      </c>
      <c r="J108" s="44" t="s">
        <v>644</v>
      </c>
      <c r="K108" s="44" t="s">
        <v>165</v>
      </c>
      <c r="L108" s="48">
        <v>-42970</v>
      </c>
      <c r="M108" s="48">
        <v>-40537.74</v>
      </c>
      <c r="N108" s="48">
        <v>-2432.26</v>
      </c>
      <c r="O108" s="44" t="s">
        <v>830</v>
      </c>
    </row>
    <row r="109" customHeight="1" spans="1:15">
      <c r="A109" s="44" t="s">
        <v>637</v>
      </c>
      <c r="B109" s="86">
        <v>44985</v>
      </c>
      <c r="C109" s="44" t="s">
        <v>730</v>
      </c>
      <c r="D109" s="44" t="s">
        <v>653</v>
      </c>
      <c r="E109" s="44" t="s">
        <v>647</v>
      </c>
      <c r="F109" s="44" t="s">
        <v>659</v>
      </c>
      <c r="G109" s="44" t="s">
        <v>648</v>
      </c>
      <c r="H109" s="44" t="s">
        <v>650</v>
      </c>
      <c r="I109" s="44" t="s">
        <v>719</v>
      </c>
      <c r="J109" s="44" t="s">
        <v>656</v>
      </c>
      <c r="K109" s="44" t="s">
        <v>166</v>
      </c>
      <c r="L109" s="48">
        <v>1213.62</v>
      </c>
      <c r="M109" s="48">
        <v>1144.9</v>
      </c>
      <c r="N109" s="48">
        <v>68.72</v>
      </c>
      <c r="O109" s="44" t="s">
        <v>831</v>
      </c>
    </row>
    <row r="110" customHeight="1" spans="1:15">
      <c r="A110" s="44" t="s">
        <v>637</v>
      </c>
      <c r="B110" s="86">
        <v>44985</v>
      </c>
      <c r="C110" s="44" t="s">
        <v>710</v>
      </c>
      <c r="D110" s="44" t="s">
        <v>639</v>
      </c>
      <c r="E110" s="44" t="s">
        <v>647</v>
      </c>
      <c r="F110" s="44" t="s">
        <v>707</v>
      </c>
      <c r="G110" s="44" t="s">
        <v>648</v>
      </c>
      <c r="H110" s="44" t="s">
        <v>650</v>
      </c>
      <c r="I110" s="44" t="s">
        <v>723</v>
      </c>
      <c r="J110" s="44" t="s">
        <v>644</v>
      </c>
      <c r="K110" s="44" t="s">
        <v>165</v>
      </c>
      <c r="L110" s="48">
        <v>1079660</v>
      </c>
      <c r="M110" s="48">
        <v>1018547.18</v>
      </c>
      <c r="N110" s="48">
        <v>61112.82</v>
      </c>
      <c r="O110" s="44" t="s">
        <v>832</v>
      </c>
    </row>
    <row r="111" customHeight="1" spans="1:15">
      <c r="A111" s="44" t="s">
        <v>637</v>
      </c>
      <c r="B111" s="86">
        <v>44985</v>
      </c>
      <c r="C111" s="44" t="s">
        <v>811</v>
      </c>
      <c r="D111" s="44" t="s">
        <v>653</v>
      </c>
      <c r="E111" s="44" t="s">
        <v>640</v>
      </c>
      <c r="F111" s="44" t="s">
        <v>641</v>
      </c>
      <c r="G111" s="44" t="s">
        <v>642</v>
      </c>
      <c r="H111" s="44" t="s">
        <v>650</v>
      </c>
      <c r="I111" s="44" t="s">
        <v>437</v>
      </c>
      <c r="J111" s="44" t="s">
        <v>656</v>
      </c>
      <c r="K111" s="44" t="s">
        <v>166</v>
      </c>
      <c r="L111" s="48">
        <v>400310.25</v>
      </c>
      <c r="M111" s="48">
        <v>377651.18</v>
      </c>
      <c r="N111" s="48">
        <v>22659.07</v>
      </c>
      <c r="O111" s="44" t="s">
        <v>833</v>
      </c>
    </row>
    <row r="112" customHeight="1" spans="1:15">
      <c r="A112" s="44" t="s">
        <v>637</v>
      </c>
      <c r="B112" s="86">
        <v>44985</v>
      </c>
      <c r="C112" s="44" t="s">
        <v>725</v>
      </c>
      <c r="D112" s="44" t="s">
        <v>740</v>
      </c>
      <c r="E112" s="44" t="s">
        <v>647</v>
      </c>
      <c r="F112" s="44" t="s">
        <v>641</v>
      </c>
      <c r="G112" s="44" t="s">
        <v>648</v>
      </c>
      <c r="H112" s="44" t="s">
        <v>643</v>
      </c>
      <c r="I112" s="44" t="s">
        <v>430</v>
      </c>
      <c r="J112" s="44" t="s">
        <v>644</v>
      </c>
      <c r="K112" s="44" t="s">
        <v>14</v>
      </c>
      <c r="L112" s="48">
        <v>171750.97</v>
      </c>
      <c r="M112" s="48">
        <v>162029.25</v>
      </c>
      <c r="N112" s="48">
        <v>9721.72</v>
      </c>
      <c r="O112" s="44" t="s">
        <v>834</v>
      </c>
    </row>
    <row r="113" customHeight="1" spans="1:15">
      <c r="A113" s="44" t="s">
        <v>637</v>
      </c>
      <c r="B113" s="86">
        <v>44985</v>
      </c>
      <c r="C113" s="44" t="s">
        <v>725</v>
      </c>
      <c r="D113" s="44" t="s">
        <v>726</v>
      </c>
      <c r="E113" s="44" t="s">
        <v>647</v>
      </c>
      <c r="F113" s="44" t="s">
        <v>641</v>
      </c>
      <c r="G113" s="44" t="s">
        <v>648</v>
      </c>
      <c r="H113" s="44" t="s">
        <v>643</v>
      </c>
      <c r="I113" s="44" t="s">
        <v>430</v>
      </c>
      <c r="J113" s="44" t="s">
        <v>644</v>
      </c>
      <c r="K113" s="44" t="s">
        <v>14</v>
      </c>
      <c r="L113" s="48">
        <v>447608.82</v>
      </c>
      <c r="M113" s="48">
        <v>422272.41</v>
      </c>
      <c r="N113" s="48">
        <v>25336.41</v>
      </c>
      <c r="O113" s="44" t="s">
        <v>835</v>
      </c>
    </row>
    <row r="114" customHeight="1" spans="1:15">
      <c r="A114" s="44" t="s">
        <v>637</v>
      </c>
      <c r="B114" s="86">
        <v>44985</v>
      </c>
      <c r="C114" s="44" t="s">
        <v>725</v>
      </c>
      <c r="D114" s="44" t="s">
        <v>726</v>
      </c>
      <c r="E114" s="44" t="s">
        <v>647</v>
      </c>
      <c r="F114" s="44" t="s">
        <v>641</v>
      </c>
      <c r="G114" s="44" t="s">
        <v>648</v>
      </c>
      <c r="H114" s="44" t="s">
        <v>643</v>
      </c>
      <c r="I114" s="44" t="s">
        <v>430</v>
      </c>
      <c r="J114" s="44" t="s">
        <v>644</v>
      </c>
      <c r="K114" s="44" t="s">
        <v>14</v>
      </c>
      <c r="L114" s="48">
        <v>59448.18</v>
      </c>
      <c r="M114" s="48">
        <v>56083.2</v>
      </c>
      <c r="N114" s="48">
        <v>3364.98</v>
      </c>
      <c r="O114" s="44" t="s">
        <v>836</v>
      </c>
    </row>
    <row r="115" customHeight="1" spans="1:15">
      <c r="A115" s="44" t="s">
        <v>637</v>
      </c>
      <c r="B115" s="86">
        <v>44985</v>
      </c>
      <c r="C115" s="44" t="s">
        <v>811</v>
      </c>
      <c r="D115" s="44" t="s">
        <v>653</v>
      </c>
      <c r="E115" s="44" t="s">
        <v>640</v>
      </c>
      <c r="F115" s="44" t="s">
        <v>641</v>
      </c>
      <c r="G115" s="44" t="s">
        <v>642</v>
      </c>
      <c r="H115" s="44" t="s">
        <v>650</v>
      </c>
      <c r="I115" s="44" t="s">
        <v>437</v>
      </c>
      <c r="J115" s="44" t="s">
        <v>656</v>
      </c>
      <c r="K115" s="44" t="s">
        <v>166</v>
      </c>
      <c r="L115" s="48">
        <v>4595</v>
      </c>
      <c r="M115" s="48">
        <v>4334.91</v>
      </c>
      <c r="N115" s="48">
        <v>260.09</v>
      </c>
      <c r="O115" s="44" t="s">
        <v>837</v>
      </c>
    </row>
    <row r="116" customHeight="1" spans="1:15">
      <c r="A116" s="44" t="s">
        <v>637</v>
      </c>
      <c r="B116" s="86">
        <v>44985</v>
      </c>
      <c r="C116" s="44" t="s">
        <v>725</v>
      </c>
      <c r="D116" s="44" t="s">
        <v>740</v>
      </c>
      <c r="E116" s="44" t="s">
        <v>647</v>
      </c>
      <c r="F116" s="44" t="s">
        <v>641</v>
      </c>
      <c r="G116" s="44" t="s">
        <v>648</v>
      </c>
      <c r="H116" s="44" t="s">
        <v>643</v>
      </c>
      <c r="I116" s="44" t="s">
        <v>430</v>
      </c>
      <c r="J116" s="44" t="s">
        <v>644</v>
      </c>
      <c r="K116" s="44" t="s">
        <v>14</v>
      </c>
      <c r="L116" s="48">
        <v>201186.83</v>
      </c>
      <c r="M116" s="48">
        <v>189798.91</v>
      </c>
      <c r="N116" s="48">
        <v>11387.92</v>
      </c>
      <c r="O116" s="44" t="s">
        <v>838</v>
      </c>
    </row>
    <row r="117" customHeight="1" spans="1:15">
      <c r="A117" s="44" t="s">
        <v>637</v>
      </c>
      <c r="B117" s="86">
        <v>44985</v>
      </c>
      <c r="C117" s="44" t="s">
        <v>811</v>
      </c>
      <c r="D117" s="44" t="s">
        <v>639</v>
      </c>
      <c r="E117" s="44" t="s">
        <v>640</v>
      </c>
      <c r="F117" s="44" t="s">
        <v>641</v>
      </c>
      <c r="G117" s="44" t="s">
        <v>642</v>
      </c>
      <c r="H117" s="44" t="s">
        <v>643</v>
      </c>
      <c r="I117" s="44" t="s">
        <v>430</v>
      </c>
      <c r="J117" s="44" t="s">
        <v>656</v>
      </c>
      <c r="K117" s="44" t="s">
        <v>14</v>
      </c>
      <c r="L117" s="48">
        <v>90856.68</v>
      </c>
      <c r="M117" s="48">
        <v>85713.85</v>
      </c>
      <c r="N117" s="48">
        <v>5142.83</v>
      </c>
      <c r="O117" s="44" t="s">
        <v>839</v>
      </c>
    </row>
    <row r="118" customHeight="1" spans="1:15">
      <c r="A118" s="44" t="s">
        <v>637</v>
      </c>
      <c r="B118" s="86">
        <v>44985</v>
      </c>
      <c r="C118" s="44" t="s">
        <v>811</v>
      </c>
      <c r="D118" s="44" t="s">
        <v>639</v>
      </c>
      <c r="E118" s="44" t="s">
        <v>640</v>
      </c>
      <c r="F118" s="44" t="s">
        <v>641</v>
      </c>
      <c r="G118" s="44" t="s">
        <v>648</v>
      </c>
      <c r="H118" s="44" t="s">
        <v>643</v>
      </c>
      <c r="I118" s="44" t="s">
        <v>430</v>
      </c>
      <c r="J118" s="44" t="s">
        <v>656</v>
      </c>
      <c r="K118" s="44" t="s">
        <v>14</v>
      </c>
      <c r="L118" s="48">
        <v>166820.21</v>
      </c>
      <c r="M118" s="48">
        <v>157377.56</v>
      </c>
      <c r="N118" s="48">
        <v>9442.65</v>
      </c>
      <c r="O118" s="44" t="s">
        <v>840</v>
      </c>
    </row>
    <row r="119" customHeight="1" spans="1:15">
      <c r="A119" s="44" t="s">
        <v>637</v>
      </c>
      <c r="B119" s="86">
        <v>44985</v>
      </c>
      <c r="C119" s="44" t="s">
        <v>748</v>
      </c>
      <c r="D119" s="44" t="s">
        <v>639</v>
      </c>
      <c r="E119" s="44" t="s">
        <v>640</v>
      </c>
      <c r="F119" s="44" t="s">
        <v>749</v>
      </c>
      <c r="G119" s="44" t="s">
        <v>654</v>
      </c>
      <c r="H119" s="44" t="s">
        <v>650</v>
      </c>
      <c r="I119" s="44" t="s">
        <v>652</v>
      </c>
      <c r="J119" s="44" t="s">
        <v>644</v>
      </c>
      <c r="K119" s="44" t="s">
        <v>350</v>
      </c>
      <c r="L119" s="48">
        <v>169175</v>
      </c>
      <c r="M119" s="48">
        <v>159599.06</v>
      </c>
      <c r="N119" s="48">
        <v>9575.94</v>
      </c>
      <c r="O119" s="44" t="s">
        <v>841</v>
      </c>
    </row>
    <row r="120" customHeight="1" spans="1:15">
      <c r="A120" s="44" t="s">
        <v>637</v>
      </c>
      <c r="B120" s="86">
        <v>44985</v>
      </c>
      <c r="C120" s="44" t="s">
        <v>748</v>
      </c>
      <c r="D120" s="44" t="s">
        <v>653</v>
      </c>
      <c r="E120" s="44" t="s">
        <v>640</v>
      </c>
      <c r="F120" s="44" t="s">
        <v>659</v>
      </c>
      <c r="G120" s="44" t="s">
        <v>648</v>
      </c>
      <c r="H120" s="44" t="s">
        <v>650</v>
      </c>
      <c r="I120" s="44" t="s">
        <v>728</v>
      </c>
      <c r="J120" s="44" t="s">
        <v>656</v>
      </c>
      <c r="K120" s="44" t="s">
        <v>166</v>
      </c>
      <c r="L120" s="48">
        <v>9209.26</v>
      </c>
      <c r="M120" s="48">
        <v>8687.98</v>
      </c>
      <c r="N120" s="48">
        <v>521.28</v>
      </c>
      <c r="O120" s="44" t="s">
        <v>842</v>
      </c>
    </row>
    <row r="121" customHeight="1" spans="1:15">
      <c r="A121" s="44" t="s">
        <v>637</v>
      </c>
      <c r="B121" s="86">
        <v>44985</v>
      </c>
      <c r="C121" s="44" t="s">
        <v>748</v>
      </c>
      <c r="D121" s="44" t="s">
        <v>653</v>
      </c>
      <c r="E121" s="44" t="s">
        <v>640</v>
      </c>
      <c r="F121" s="44" t="s">
        <v>659</v>
      </c>
      <c r="G121" s="44" t="s">
        <v>648</v>
      </c>
      <c r="H121" s="44" t="s">
        <v>650</v>
      </c>
      <c r="I121" s="44" t="s">
        <v>728</v>
      </c>
      <c r="J121" s="44" t="s">
        <v>656</v>
      </c>
      <c r="K121" s="44" t="s">
        <v>166</v>
      </c>
      <c r="L121" s="48">
        <v>-1193.11</v>
      </c>
      <c r="M121" s="48">
        <v>-1125.58</v>
      </c>
      <c r="N121" s="48">
        <v>-67.53</v>
      </c>
      <c r="O121" s="44" t="s">
        <v>843</v>
      </c>
    </row>
    <row r="122" customHeight="1" spans="1:15">
      <c r="A122" s="44" t="s">
        <v>637</v>
      </c>
      <c r="B122" s="86">
        <v>44985</v>
      </c>
      <c r="C122" s="44" t="s">
        <v>748</v>
      </c>
      <c r="D122" s="44" t="s">
        <v>639</v>
      </c>
      <c r="E122" s="44" t="s">
        <v>640</v>
      </c>
      <c r="F122" s="44" t="s">
        <v>689</v>
      </c>
      <c r="G122" s="44" t="s">
        <v>654</v>
      </c>
      <c r="H122" s="44" t="s">
        <v>650</v>
      </c>
      <c r="I122" s="44" t="s">
        <v>681</v>
      </c>
      <c r="J122" s="44" t="s">
        <v>656</v>
      </c>
      <c r="K122" s="44" t="s">
        <v>350</v>
      </c>
      <c r="L122" s="48">
        <v>10000</v>
      </c>
      <c r="M122" s="48">
        <v>9433.96</v>
      </c>
      <c r="N122" s="48">
        <v>566.04</v>
      </c>
      <c r="O122" s="44" t="s">
        <v>844</v>
      </c>
    </row>
    <row r="123" customHeight="1" spans="1:15">
      <c r="A123" s="44" t="s">
        <v>637</v>
      </c>
      <c r="B123" s="86">
        <v>44985</v>
      </c>
      <c r="C123" s="44" t="s">
        <v>748</v>
      </c>
      <c r="D123" s="44" t="s">
        <v>639</v>
      </c>
      <c r="E123" s="44" t="s">
        <v>640</v>
      </c>
      <c r="F123" s="44" t="s">
        <v>707</v>
      </c>
      <c r="G123" s="44" t="s">
        <v>642</v>
      </c>
      <c r="H123" s="44" t="s">
        <v>650</v>
      </c>
      <c r="I123" s="44" t="s">
        <v>435</v>
      </c>
      <c r="J123" s="44" t="s">
        <v>644</v>
      </c>
      <c r="K123" s="44" t="s">
        <v>14</v>
      </c>
      <c r="L123" s="48">
        <v>10493</v>
      </c>
      <c r="M123" s="48">
        <v>9899.06</v>
      </c>
      <c r="N123" s="48">
        <v>593.94</v>
      </c>
      <c r="O123" s="44" t="s">
        <v>845</v>
      </c>
    </row>
    <row r="124" customHeight="1" spans="1:15">
      <c r="A124" s="44" t="s">
        <v>637</v>
      </c>
      <c r="B124" s="86">
        <v>44985</v>
      </c>
      <c r="C124" s="44" t="s">
        <v>748</v>
      </c>
      <c r="D124" s="44" t="s">
        <v>639</v>
      </c>
      <c r="E124" s="44" t="s">
        <v>640</v>
      </c>
      <c r="F124" s="44" t="s">
        <v>749</v>
      </c>
      <c r="G124" s="44" t="s">
        <v>642</v>
      </c>
      <c r="H124" s="44" t="s">
        <v>650</v>
      </c>
      <c r="I124" s="44" t="s">
        <v>779</v>
      </c>
      <c r="J124" s="44" t="s">
        <v>644</v>
      </c>
      <c r="K124" s="44" t="s">
        <v>14</v>
      </c>
      <c r="L124" s="48">
        <v>11384.65</v>
      </c>
      <c r="M124" s="48">
        <v>10740.24</v>
      </c>
      <c r="N124" s="48">
        <v>644.41</v>
      </c>
      <c r="O124" s="44" t="s">
        <v>846</v>
      </c>
    </row>
    <row r="125" customHeight="1" spans="1:15">
      <c r="A125" s="44" t="s">
        <v>637</v>
      </c>
      <c r="B125" s="86">
        <v>44985</v>
      </c>
      <c r="C125" s="44" t="s">
        <v>748</v>
      </c>
      <c r="D125" s="44" t="s">
        <v>639</v>
      </c>
      <c r="E125" s="44" t="s">
        <v>640</v>
      </c>
      <c r="F125" s="44" t="s">
        <v>707</v>
      </c>
      <c r="G125" s="44" t="s">
        <v>642</v>
      </c>
      <c r="H125" s="44" t="s">
        <v>643</v>
      </c>
      <c r="I125" s="44" t="s">
        <v>429</v>
      </c>
      <c r="J125" s="44" t="s">
        <v>644</v>
      </c>
      <c r="K125" s="44" t="s">
        <v>14</v>
      </c>
      <c r="L125" s="48">
        <v>-27</v>
      </c>
      <c r="M125" s="48">
        <v>-25.47</v>
      </c>
      <c r="N125" s="48">
        <v>-1.53</v>
      </c>
      <c r="O125" s="44" t="s">
        <v>847</v>
      </c>
    </row>
    <row r="126" customHeight="1" spans="1:15">
      <c r="A126" s="44" t="s">
        <v>637</v>
      </c>
      <c r="B126" s="86">
        <v>44985</v>
      </c>
      <c r="C126" s="44" t="s">
        <v>748</v>
      </c>
      <c r="D126" s="44" t="s">
        <v>639</v>
      </c>
      <c r="E126" s="44" t="s">
        <v>640</v>
      </c>
      <c r="F126" s="44" t="s">
        <v>749</v>
      </c>
      <c r="G126" s="44" t="s">
        <v>654</v>
      </c>
      <c r="H126" s="44" t="s">
        <v>650</v>
      </c>
      <c r="I126" s="44" t="s">
        <v>652</v>
      </c>
      <c r="J126" s="44" t="s">
        <v>644</v>
      </c>
      <c r="K126" s="44" t="s">
        <v>350</v>
      </c>
      <c r="L126" s="48">
        <v>106050</v>
      </c>
      <c r="M126" s="48">
        <v>100047.17</v>
      </c>
      <c r="N126" s="48">
        <v>6002.83</v>
      </c>
      <c r="O126" s="44" t="s">
        <v>848</v>
      </c>
    </row>
    <row r="127" customHeight="1" spans="1:15">
      <c r="A127" s="44" t="s">
        <v>637</v>
      </c>
      <c r="B127" s="86">
        <v>44985</v>
      </c>
      <c r="C127" s="44" t="s">
        <v>748</v>
      </c>
      <c r="D127" s="44" t="s">
        <v>653</v>
      </c>
      <c r="E127" s="44" t="s">
        <v>640</v>
      </c>
      <c r="F127" s="44" t="s">
        <v>659</v>
      </c>
      <c r="G127" s="44" t="s">
        <v>642</v>
      </c>
      <c r="H127" s="44" t="s">
        <v>650</v>
      </c>
      <c r="I127" s="44" t="s">
        <v>429</v>
      </c>
      <c r="J127" s="44" t="s">
        <v>656</v>
      </c>
      <c r="K127" s="44" t="s">
        <v>166</v>
      </c>
      <c r="L127" s="48">
        <v>982.19</v>
      </c>
      <c r="M127" s="48">
        <v>926.59</v>
      </c>
      <c r="N127" s="48">
        <v>55.6</v>
      </c>
      <c r="O127" s="44" t="s">
        <v>849</v>
      </c>
    </row>
    <row r="128" customHeight="1" spans="1:15">
      <c r="A128" s="44" t="s">
        <v>637</v>
      </c>
      <c r="B128" s="86">
        <v>44985</v>
      </c>
      <c r="C128" s="44" t="s">
        <v>748</v>
      </c>
      <c r="D128" s="44" t="s">
        <v>653</v>
      </c>
      <c r="E128" s="44" t="s">
        <v>640</v>
      </c>
      <c r="F128" s="44" t="s">
        <v>641</v>
      </c>
      <c r="G128" s="44" t="s">
        <v>642</v>
      </c>
      <c r="H128" s="44" t="s">
        <v>650</v>
      </c>
      <c r="I128" s="44" t="s">
        <v>728</v>
      </c>
      <c r="J128" s="44" t="s">
        <v>644</v>
      </c>
      <c r="K128" s="44" t="s">
        <v>166</v>
      </c>
      <c r="L128" s="48">
        <v>12083.09</v>
      </c>
      <c r="M128" s="48">
        <v>11399.14</v>
      </c>
      <c r="N128" s="48">
        <v>683.95</v>
      </c>
      <c r="O128" s="44" t="s">
        <v>850</v>
      </c>
    </row>
    <row r="129" customHeight="1" spans="1:15">
      <c r="A129" s="44" t="s">
        <v>637</v>
      </c>
      <c r="B129" s="86">
        <v>44985</v>
      </c>
      <c r="C129" s="44" t="s">
        <v>748</v>
      </c>
      <c r="D129" s="44" t="s">
        <v>653</v>
      </c>
      <c r="E129" s="44" t="s">
        <v>640</v>
      </c>
      <c r="F129" s="44" t="s">
        <v>641</v>
      </c>
      <c r="G129" s="44" t="s">
        <v>642</v>
      </c>
      <c r="H129" s="44" t="s">
        <v>650</v>
      </c>
      <c r="I129" s="44" t="s">
        <v>728</v>
      </c>
      <c r="J129" s="44" t="s">
        <v>644</v>
      </c>
      <c r="K129" s="44" t="s">
        <v>166</v>
      </c>
      <c r="L129" s="48">
        <v>1752.21</v>
      </c>
      <c r="M129" s="48">
        <v>1653.03</v>
      </c>
      <c r="N129" s="48">
        <v>99.18</v>
      </c>
      <c r="O129" s="44" t="s">
        <v>851</v>
      </c>
    </row>
    <row r="130" customHeight="1" spans="1:15">
      <c r="A130" s="44" t="s">
        <v>637</v>
      </c>
      <c r="B130" s="86">
        <v>44985</v>
      </c>
      <c r="C130" s="44" t="s">
        <v>748</v>
      </c>
      <c r="D130" s="44" t="s">
        <v>639</v>
      </c>
      <c r="E130" s="44" t="s">
        <v>640</v>
      </c>
      <c r="F130" s="44" t="s">
        <v>707</v>
      </c>
      <c r="G130" s="44" t="s">
        <v>642</v>
      </c>
      <c r="H130" s="44" t="s">
        <v>643</v>
      </c>
      <c r="I130" s="44" t="s">
        <v>429</v>
      </c>
      <c r="J130" s="44" t="s">
        <v>644</v>
      </c>
      <c r="K130" s="44" t="s">
        <v>14</v>
      </c>
      <c r="L130" s="48">
        <v>-982.93</v>
      </c>
      <c r="M130" s="48">
        <v>-927.29</v>
      </c>
      <c r="N130" s="48">
        <v>-55.64</v>
      </c>
      <c r="O130" s="44" t="s">
        <v>852</v>
      </c>
    </row>
    <row r="131" customHeight="1" spans="1:15">
      <c r="A131" s="44" t="s">
        <v>637</v>
      </c>
      <c r="B131" s="86">
        <v>44985</v>
      </c>
      <c r="C131" s="44" t="s">
        <v>748</v>
      </c>
      <c r="D131" s="44" t="s">
        <v>682</v>
      </c>
      <c r="E131" s="44" t="s">
        <v>640</v>
      </c>
      <c r="F131" s="44" t="s">
        <v>641</v>
      </c>
      <c r="G131" s="44" t="s">
        <v>642</v>
      </c>
      <c r="H131" s="44" t="s">
        <v>650</v>
      </c>
      <c r="I131" s="44" t="s">
        <v>742</v>
      </c>
      <c r="J131" s="44" t="s">
        <v>656</v>
      </c>
      <c r="K131" s="44" t="s">
        <v>13</v>
      </c>
      <c r="L131" s="48">
        <v>5683.1</v>
      </c>
      <c r="M131" s="48">
        <v>5361.42</v>
      </c>
      <c r="N131" s="48">
        <v>321.68</v>
      </c>
      <c r="O131" s="44" t="s">
        <v>853</v>
      </c>
    </row>
    <row r="132" customHeight="1" spans="1:15">
      <c r="A132" s="44" t="s">
        <v>637</v>
      </c>
      <c r="B132" s="86">
        <v>44985</v>
      </c>
      <c r="C132" s="44" t="s">
        <v>748</v>
      </c>
      <c r="D132" s="44" t="s">
        <v>639</v>
      </c>
      <c r="E132" s="44" t="s">
        <v>640</v>
      </c>
      <c r="F132" s="44" t="s">
        <v>707</v>
      </c>
      <c r="G132" s="44" t="s">
        <v>654</v>
      </c>
      <c r="H132" s="44" t="s">
        <v>650</v>
      </c>
      <c r="I132" s="44" t="s">
        <v>754</v>
      </c>
      <c r="J132" s="44" t="s">
        <v>644</v>
      </c>
      <c r="K132" s="44" t="s">
        <v>14</v>
      </c>
      <c r="L132" s="48">
        <v>230000</v>
      </c>
      <c r="M132" s="48">
        <v>216981.13</v>
      </c>
      <c r="N132" s="48">
        <v>13018.87</v>
      </c>
      <c r="O132" s="44" t="s">
        <v>854</v>
      </c>
    </row>
    <row r="133" customHeight="1" spans="1:15">
      <c r="A133" s="44" t="s">
        <v>637</v>
      </c>
      <c r="B133" s="86">
        <v>44985</v>
      </c>
      <c r="C133" s="44" t="s">
        <v>748</v>
      </c>
      <c r="D133" s="44" t="s">
        <v>639</v>
      </c>
      <c r="E133" s="44" t="s">
        <v>640</v>
      </c>
      <c r="F133" s="44" t="s">
        <v>641</v>
      </c>
      <c r="G133" s="44" t="s">
        <v>642</v>
      </c>
      <c r="H133" s="44" t="s">
        <v>643</v>
      </c>
      <c r="I133" s="44" t="s">
        <v>430</v>
      </c>
      <c r="J133" s="44" t="s">
        <v>644</v>
      </c>
      <c r="K133" s="44" t="s">
        <v>14</v>
      </c>
      <c r="L133" s="48">
        <v>-37112.67</v>
      </c>
      <c r="M133" s="48">
        <v>-35011.95</v>
      </c>
      <c r="N133" s="48">
        <v>-2100.72</v>
      </c>
      <c r="O133" s="44" t="s">
        <v>855</v>
      </c>
    </row>
    <row r="134" customHeight="1" spans="1:15">
      <c r="A134" s="44" t="s">
        <v>637</v>
      </c>
      <c r="B134" s="86">
        <v>44985</v>
      </c>
      <c r="C134" s="44" t="s">
        <v>748</v>
      </c>
      <c r="D134" s="44" t="s">
        <v>639</v>
      </c>
      <c r="E134" s="44" t="s">
        <v>640</v>
      </c>
      <c r="F134" s="44" t="s">
        <v>749</v>
      </c>
      <c r="G134" s="44" t="s">
        <v>642</v>
      </c>
      <c r="H134" s="44" t="s">
        <v>643</v>
      </c>
      <c r="I134" s="44" t="s">
        <v>779</v>
      </c>
      <c r="J134" s="44" t="s">
        <v>644</v>
      </c>
      <c r="K134" s="44" t="s">
        <v>14</v>
      </c>
      <c r="L134" s="48">
        <v>25338.28</v>
      </c>
      <c r="M134" s="48">
        <v>23904.04</v>
      </c>
      <c r="N134" s="48">
        <v>1434.24</v>
      </c>
      <c r="O134" s="44" t="s">
        <v>856</v>
      </c>
    </row>
    <row r="135" customHeight="1" spans="1:15">
      <c r="A135" s="44" t="s">
        <v>637</v>
      </c>
      <c r="B135" s="86">
        <v>44985</v>
      </c>
      <c r="C135" s="44" t="s">
        <v>748</v>
      </c>
      <c r="D135" s="44" t="s">
        <v>653</v>
      </c>
      <c r="E135" s="44" t="s">
        <v>640</v>
      </c>
      <c r="F135" s="44" t="s">
        <v>659</v>
      </c>
      <c r="G135" s="44" t="s">
        <v>642</v>
      </c>
      <c r="H135" s="44" t="s">
        <v>650</v>
      </c>
      <c r="I135" s="44" t="s">
        <v>728</v>
      </c>
      <c r="J135" s="44" t="s">
        <v>656</v>
      </c>
      <c r="K135" s="44" t="s">
        <v>166</v>
      </c>
      <c r="L135" s="48">
        <v>37.99</v>
      </c>
      <c r="M135" s="48">
        <v>35.84</v>
      </c>
      <c r="N135" s="48">
        <v>2.15</v>
      </c>
      <c r="O135" s="44" t="s">
        <v>857</v>
      </c>
    </row>
    <row r="136" customHeight="1" spans="1:15">
      <c r="A136" s="44" t="s">
        <v>637</v>
      </c>
      <c r="B136" s="86">
        <v>44985</v>
      </c>
      <c r="C136" s="44" t="s">
        <v>748</v>
      </c>
      <c r="D136" s="44" t="s">
        <v>639</v>
      </c>
      <c r="E136" s="44" t="s">
        <v>640</v>
      </c>
      <c r="F136" s="44" t="s">
        <v>749</v>
      </c>
      <c r="G136" s="44" t="s">
        <v>648</v>
      </c>
      <c r="H136" s="44" t="s">
        <v>643</v>
      </c>
      <c r="I136" s="44" t="s">
        <v>779</v>
      </c>
      <c r="J136" s="44" t="s">
        <v>644</v>
      </c>
      <c r="K136" s="44" t="s">
        <v>14</v>
      </c>
      <c r="L136" s="48">
        <v>-101264.97</v>
      </c>
      <c r="M136" s="48">
        <v>-95532.99</v>
      </c>
      <c r="N136" s="48">
        <v>-5731.98</v>
      </c>
      <c r="O136" s="44" t="s">
        <v>858</v>
      </c>
    </row>
    <row r="137" customHeight="1" spans="1:15">
      <c r="A137" s="44" t="s">
        <v>637</v>
      </c>
      <c r="B137" s="86">
        <v>44985</v>
      </c>
      <c r="C137" s="44" t="s">
        <v>748</v>
      </c>
      <c r="D137" s="44" t="s">
        <v>653</v>
      </c>
      <c r="E137" s="44" t="s">
        <v>640</v>
      </c>
      <c r="F137" s="44" t="s">
        <v>659</v>
      </c>
      <c r="G137" s="44" t="s">
        <v>642</v>
      </c>
      <c r="H137" s="44" t="s">
        <v>650</v>
      </c>
      <c r="I137" s="44" t="s">
        <v>429</v>
      </c>
      <c r="J137" s="44" t="s">
        <v>656</v>
      </c>
      <c r="K137" s="44" t="s">
        <v>166</v>
      </c>
      <c r="L137" s="48">
        <v>1113.94</v>
      </c>
      <c r="M137" s="48">
        <v>1050.89</v>
      </c>
      <c r="N137" s="48">
        <v>63.05</v>
      </c>
      <c r="O137" s="44" t="s">
        <v>859</v>
      </c>
    </row>
    <row r="138" customHeight="1" spans="1:15">
      <c r="A138" s="44" t="s">
        <v>637</v>
      </c>
      <c r="B138" s="86">
        <v>44985</v>
      </c>
      <c r="C138" s="44" t="s">
        <v>748</v>
      </c>
      <c r="D138" s="44" t="s">
        <v>639</v>
      </c>
      <c r="E138" s="44" t="s">
        <v>640</v>
      </c>
      <c r="F138" s="44" t="s">
        <v>641</v>
      </c>
      <c r="G138" s="44" t="s">
        <v>648</v>
      </c>
      <c r="H138" s="44" t="s">
        <v>643</v>
      </c>
      <c r="I138" s="44" t="s">
        <v>430</v>
      </c>
      <c r="J138" s="44" t="s">
        <v>644</v>
      </c>
      <c r="K138" s="44" t="s">
        <v>14</v>
      </c>
      <c r="L138" s="48">
        <v>324089.93</v>
      </c>
      <c r="M138" s="48">
        <v>305745.22</v>
      </c>
      <c r="N138" s="48">
        <v>18344.71</v>
      </c>
      <c r="O138" s="44" t="s">
        <v>860</v>
      </c>
    </row>
    <row r="139" customHeight="1" spans="1:15">
      <c r="A139" s="44" t="s">
        <v>637</v>
      </c>
      <c r="B139" s="86">
        <v>44985</v>
      </c>
      <c r="C139" s="44" t="s">
        <v>748</v>
      </c>
      <c r="D139" s="44" t="s">
        <v>653</v>
      </c>
      <c r="E139" s="44" t="s">
        <v>640</v>
      </c>
      <c r="F139" s="44" t="s">
        <v>659</v>
      </c>
      <c r="G139" s="44" t="s">
        <v>642</v>
      </c>
      <c r="H139" s="44" t="s">
        <v>650</v>
      </c>
      <c r="I139" s="44" t="s">
        <v>728</v>
      </c>
      <c r="J139" s="44" t="s">
        <v>656</v>
      </c>
      <c r="K139" s="44" t="s">
        <v>166</v>
      </c>
      <c r="L139" s="48">
        <v>5402.28</v>
      </c>
      <c r="M139" s="48">
        <v>5096.49</v>
      </c>
      <c r="N139" s="48">
        <v>305.79</v>
      </c>
      <c r="O139" s="44" t="s">
        <v>861</v>
      </c>
    </row>
    <row r="140" customHeight="1" spans="1:15">
      <c r="A140" s="44" t="s">
        <v>637</v>
      </c>
      <c r="B140" s="86">
        <v>44985</v>
      </c>
      <c r="C140" s="44" t="s">
        <v>748</v>
      </c>
      <c r="D140" s="44" t="s">
        <v>639</v>
      </c>
      <c r="E140" s="44" t="s">
        <v>647</v>
      </c>
      <c r="F140" s="44" t="s">
        <v>641</v>
      </c>
      <c r="G140" s="44" t="s">
        <v>642</v>
      </c>
      <c r="H140" s="44" t="s">
        <v>650</v>
      </c>
      <c r="I140" s="44" t="s">
        <v>436</v>
      </c>
      <c r="J140" s="44" t="s">
        <v>644</v>
      </c>
      <c r="K140" s="44" t="s">
        <v>350</v>
      </c>
      <c r="L140" s="48">
        <v>26716</v>
      </c>
      <c r="M140" s="48">
        <v>25203.77</v>
      </c>
      <c r="N140" s="48">
        <v>1512.23</v>
      </c>
      <c r="O140" s="44" t="s">
        <v>862</v>
      </c>
    </row>
    <row r="141" customHeight="1" spans="1:15">
      <c r="A141" s="44" t="s">
        <v>637</v>
      </c>
      <c r="B141" s="86">
        <v>44985</v>
      </c>
      <c r="C141" s="44" t="s">
        <v>748</v>
      </c>
      <c r="D141" s="44" t="s">
        <v>639</v>
      </c>
      <c r="E141" s="44" t="s">
        <v>647</v>
      </c>
      <c r="F141" s="44" t="s">
        <v>707</v>
      </c>
      <c r="G141" s="44" t="s">
        <v>642</v>
      </c>
      <c r="H141" s="44" t="s">
        <v>650</v>
      </c>
      <c r="I141" s="44" t="s">
        <v>435</v>
      </c>
      <c r="J141" s="44" t="s">
        <v>644</v>
      </c>
      <c r="K141" s="44" t="s">
        <v>14</v>
      </c>
      <c r="L141" s="48">
        <v>3</v>
      </c>
      <c r="M141" s="48">
        <v>2.84</v>
      </c>
      <c r="N141" s="48">
        <v>0.16</v>
      </c>
      <c r="O141" s="44" t="s">
        <v>863</v>
      </c>
    </row>
    <row r="142" customHeight="1" spans="1:15">
      <c r="A142" s="44" t="s">
        <v>637</v>
      </c>
      <c r="B142" s="86">
        <v>44985</v>
      </c>
      <c r="C142" s="44" t="s">
        <v>748</v>
      </c>
      <c r="D142" s="44" t="s">
        <v>639</v>
      </c>
      <c r="E142" s="44" t="s">
        <v>640</v>
      </c>
      <c r="F142" s="44" t="s">
        <v>707</v>
      </c>
      <c r="G142" s="44" t="s">
        <v>648</v>
      </c>
      <c r="H142" s="44" t="s">
        <v>650</v>
      </c>
      <c r="I142" s="44" t="s">
        <v>769</v>
      </c>
      <c r="J142" s="44" t="s">
        <v>644</v>
      </c>
      <c r="K142" s="44" t="s">
        <v>14</v>
      </c>
      <c r="L142" s="48">
        <v>-70965.98</v>
      </c>
      <c r="M142" s="48">
        <v>-66949.04</v>
      </c>
      <c r="N142" s="48">
        <v>-4016.94</v>
      </c>
      <c r="O142" s="44" t="s">
        <v>864</v>
      </c>
    </row>
    <row r="143" customHeight="1" spans="1:15">
      <c r="A143" s="44" t="s">
        <v>637</v>
      </c>
      <c r="B143" s="86">
        <v>44985</v>
      </c>
      <c r="C143" s="44" t="s">
        <v>748</v>
      </c>
      <c r="D143" s="44" t="s">
        <v>639</v>
      </c>
      <c r="E143" s="44" t="s">
        <v>640</v>
      </c>
      <c r="F143" s="44" t="s">
        <v>707</v>
      </c>
      <c r="G143" s="44" t="s">
        <v>648</v>
      </c>
      <c r="H143" s="44" t="s">
        <v>650</v>
      </c>
      <c r="I143" s="44" t="s">
        <v>754</v>
      </c>
      <c r="J143" s="44" t="s">
        <v>644</v>
      </c>
      <c r="K143" s="44" t="s">
        <v>14</v>
      </c>
      <c r="L143" s="48">
        <v>2184893.6</v>
      </c>
      <c r="M143" s="48">
        <v>2061220.38</v>
      </c>
      <c r="N143" s="48">
        <v>123673.22</v>
      </c>
      <c r="O143" s="44" t="s">
        <v>865</v>
      </c>
    </row>
    <row r="144" customHeight="1" spans="1:15">
      <c r="A144" s="44" t="s">
        <v>637</v>
      </c>
      <c r="B144" s="86">
        <v>44985</v>
      </c>
      <c r="C144" s="44" t="s">
        <v>748</v>
      </c>
      <c r="D144" s="44" t="s">
        <v>639</v>
      </c>
      <c r="E144" s="44" t="s">
        <v>640</v>
      </c>
      <c r="F144" s="44" t="s">
        <v>641</v>
      </c>
      <c r="G144" s="44" t="s">
        <v>648</v>
      </c>
      <c r="H144" s="44" t="s">
        <v>650</v>
      </c>
      <c r="I144" s="44" t="s">
        <v>447</v>
      </c>
      <c r="J144" s="44" t="s">
        <v>644</v>
      </c>
      <c r="K144" s="44" t="s">
        <v>14</v>
      </c>
      <c r="L144" s="48">
        <v>84316.4</v>
      </c>
      <c r="M144" s="48">
        <v>79543.77</v>
      </c>
      <c r="N144" s="48">
        <v>4772.63</v>
      </c>
      <c r="O144" s="44" t="s">
        <v>866</v>
      </c>
    </row>
    <row r="145" customHeight="1" spans="1:15">
      <c r="A145" s="44" t="s">
        <v>637</v>
      </c>
      <c r="B145" s="86">
        <v>44985</v>
      </c>
      <c r="C145" s="44" t="s">
        <v>748</v>
      </c>
      <c r="D145" s="44" t="s">
        <v>639</v>
      </c>
      <c r="E145" s="44" t="s">
        <v>640</v>
      </c>
      <c r="F145" s="44" t="s">
        <v>707</v>
      </c>
      <c r="G145" s="44" t="s">
        <v>642</v>
      </c>
      <c r="H145" s="44" t="s">
        <v>643</v>
      </c>
      <c r="I145" s="44" t="s">
        <v>435</v>
      </c>
      <c r="J145" s="44" t="s">
        <v>644</v>
      </c>
      <c r="K145" s="44" t="s">
        <v>14</v>
      </c>
      <c r="L145" s="48">
        <v>-3</v>
      </c>
      <c r="M145" s="48">
        <v>-2.83</v>
      </c>
      <c r="N145" s="48">
        <v>-0.17</v>
      </c>
      <c r="O145" s="44" t="s">
        <v>867</v>
      </c>
    </row>
    <row r="146" customHeight="1" spans="1:15">
      <c r="A146" s="44" t="s">
        <v>637</v>
      </c>
      <c r="B146" s="86">
        <v>44985</v>
      </c>
      <c r="C146" s="44" t="s">
        <v>748</v>
      </c>
      <c r="D146" s="44" t="s">
        <v>639</v>
      </c>
      <c r="E146" s="44" t="s">
        <v>647</v>
      </c>
      <c r="F146" s="44" t="s">
        <v>641</v>
      </c>
      <c r="G146" s="44" t="s">
        <v>654</v>
      </c>
      <c r="H146" s="44" t="s">
        <v>650</v>
      </c>
      <c r="I146" s="44" t="s">
        <v>674</v>
      </c>
      <c r="J146" s="44" t="s">
        <v>644</v>
      </c>
      <c r="K146" s="44" t="s">
        <v>350</v>
      </c>
      <c r="L146" s="48">
        <v>21</v>
      </c>
      <c r="M146" s="48">
        <v>19.81</v>
      </c>
      <c r="N146" s="48">
        <v>1.19</v>
      </c>
      <c r="O146" s="44" t="s">
        <v>868</v>
      </c>
    </row>
    <row r="147" customHeight="1" spans="1:15">
      <c r="A147" s="44" t="s">
        <v>637</v>
      </c>
      <c r="B147" s="86">
        <v>44985</v>
      </c>
      <c r="C147" s="44" t="s">
        <v>748</v>
      </c>
      <c r="D147" s="44" t="s">
        <v>639</v>
      </c>
      <c r="E147" s="44" t="s">
        <v>647</v>
      </c>
      <c r="F147" s="44" t="s">
        <v>689</v>
      </c>
      <c r="G147" s="44" t="s">
        <v>654</v>
      </c>
      <c r="H147" s="44" t="s">
        <v>697</v>
      </c>
      <c r="I147" s="44" t="s">
        <v>669</v>
      </c>
      <c r="J147" s="44" t="s">
        <v>656</v>
      </c>
      <c r="K147" s="44" t="s">
        <v>350</v>
      </c>
      <c r="L147" s="48">
        <v>9540</v>
      </c>
      <c r="M147" s="48">
        <v>9000.02</v>
      </c>
      <c r="N147" s="48">
        <v>539.98</v>
      </c>
      <c r="O147" s="44" t="s">
        <v>869</v>
      </c>
    </row>
    <row r="148" customHeight="1" spans="1:15">
      <c r="A148" s="44" t="s">
        <v>637</v>
      </c>
      <c r="B148" s="86">
        <v>44985</v>
      </c>
      <c r="C148" s="44" t="s">
        <v>748</v>
      </c>
      <c r="D148" s="44" t="s">
        <v>639</v>
      </c>
      <c r="E148" s="44" t="s">
        <v>647</v>
      </c>
      <c r="F148" s="44" t="s">
        <v>689</v>
      </c>
      <c r="G148" s="44" t="s">
        <v>654</v>
      </c>
      <c r="H148" s="44" t="s">
        <v>650</v>
      </c>
      <c r="I148" s="44" t="s">
        <v>664</v>
      </c>
      <c r="J148" s="44" t="s">
        <v>656</v>
      </c>
      <c r="K148" s="44" t="s">
        <v>350</v>
      </c>
      <c r="L148" s="48">
        <v>21736.88</v>
      </c>
      <c r="M148" s="48">
        <v>20506.49</v>
      </c>
      <c r="N148" s="48">
        <v>1230.39</v>
      </c>
      <c r="O148" s="44" t="s">
        <v>870</v>
      </c>
    </row>
    <row r="149" customHeight="1" spans="1:15">
      <c r="A149" s="44" t="s">
        <v>637</v>
      </c>
      <c r="B149" s="86">
        <v>44985</v>
      </c>
      <c r="C149" s="44" t="s">
        <v>748</v>
      </c>
      <c r="D149" s="44" t="s">
        <v>639</v>
      </c>
      <c r="E149" s="44" t="s">
        <v>647</v>
      </c>
      <c r="F149" s="44" t="s">
        <v>749</v>
      </c>
      <c r="G149" s="44" t="s">
        <v>654</v>
      </c>
      <c r="H149" s="44" t="s">
        <v>650</v>
      </c>
      <c r="I149" s="44" t="s">
        <v>652</v>
      </c>
      <c r="J149" s="44" t="s">
        <v>644</v>
      </c>
      <c r="K149" s="44" t="s">
        <v>350</v>
      </c>
      <c r="L149" s="48">
        <v>200485</v>
      </c>
      <c r="M149" s="48">
        <v>189136.79</v>
      </c>
      <c r="N149" s="48">
        <v>11348.21</v>
      </c>
      <c r="O149" s="44" t="s">
        <v>871</v>
      </c>
    </row>
    <row r="150" customHeight="1" spans="1:15">
      <c r="A150" s="44" t="s">
        <v>637</v>
      </c>
      <c r="B150" s="86">
        <v>44985</v>
      </c>
      <c r="C150" s="44" t="s">
        <v>748</v>
      </c>
      <c r="D150" s="44" t="s">
        <v>639</v>
      </c>
      <c r="E150" s="44" t="s">
        <v>647</v>
      </c>
      <c r="F150" s="44" t="s">
        <v>707</v>
      </c>
      <c r="G150" s="44" t="s">
        <v>642</v>
      </c>
      <c r="H150" s="44" t="s">
        <v>650</v>
      </c>
      <c r="I150" s="44" t="s">
        <v>429</v>
      </c>
      <c r="J150" s="44" t="s">
        <v>644</v>
      </c>
      <c r="K150" s="44" t="s">
        <v>165</v>
      </c>
      <c r="L150" s="48">
        <v>615898.79</v>
      </c>
      <c r="M150" s="48">
        <v>581036.6</v>
      </c>
      <c r="N150" s="48">
        <v>34862.19</v>
      </c>
      <c r="O150" s="44" t="s">
        <v>872</v>
      </c>
    </row>
    <row r="151" customHeight="1" spans="1:15">
      <c r="A151" s="44" t="s">
        <v>637</v>
      </c>
      <c r="B151" s="86">
        <v>44985</v>
      </c>
      <c r="C151" s="44" t="s">
        <v>748</v>
      </c>
      <c r="D151" s="44" t="s">
        <v>639</v>
      </c>
      <c r="E151" s="44" t="s">
        <v>647</v>
      </c>
      <c r="F151" s="44" t="s">
        <v>707</v>
      </c>
      <c r="G151" s="44" t="s">
        <v>654</v>
      </c>
      <c r="H151" s="44" t="s">
        <v>697</v>
      </c>
      <c r="I151" s="44" t="s">
        <v>782</v>
      </c>
      <c r="J151" s="44" t="s">
        <v>644</v>
      </c>
      <c r="K151" s="44" t="s">
        <v>14</v>
      </c>
      <c r="L151" s="48">
        <v>6666.67</v>
      </c>
      <c r="M151" s="48">
        <v>6289.31</v>
      </c>
      <c r="N151" s="48">
        <v>377.36</v>
      </c>
      <c r="O151" s="44" t="s">
        <v>873</v>
      </c>
    </row>
    <row r="152" customHeight="1" spans="1:15">
      <c r="A152" s="44" t="s">
        <v>637</v>
      </c>
      <c r="B152" s="86">
        <v>44985</v>
      </c>
      <c r="C152" s="44" t="s">
        <v>748</v>
      </c>
      <c r="D152" s="44" t="s">
        <v>639</v>
      </c>
      <c r="E152" s="44" t="s">
        <v>647</v>
      </c>
      <c r="F152" s="44" t="s">
        <v>641</v>
      </c>
      <c r="G152" s="44" t="s">
        <v>654</v>
      </c>
      <c r="H152" s="44" t="s">
        <v>650</v>
      </c>
      <c r="I152" s="44" t="s">
        <v>776</v>
      </c>
      <c r="J152" s="44" t="s">
        <v>644</v>
      </c>
      <c r="K152" s="44" t="s">
        <v>14</v>
      </c>
      <c r="L152" s="48">
        <v>350000</v>
      </c>
      <c r="M152" s="48">
        <v>330188.68</v>
      </c>
      <c r="N152" s="48">
        <v>19811.32</v>
      </c>
      <c r="O152" s="44" t="s">
        <v>874</v>
      </c>
    </row>
    <row r="153" customHeight="1" spans="1:15">
      <c r="A153" s="44" t="s">
        <v>637</v>
      </c>
      <c r="B153" s="86">
        <v>44985</v>
      </c>
      <c r="C153" s="44" t="s">
        <v>748</v>
      </c>
      <c r="D153" s="44" t="s">
        <v>639</v>
      </c>
      <c r="E153" s="44" t="s">
        <v>647</v>
      </c>
      <c r="F153" s="44" t="s">
        <v>689</v>
      </c>
      <c r="G153" s="44" t="s">
        <v>654</v>
      </c>
      <c r="H153" s="44" t="s">
        <v>697</v>
      </c>
      <c r="I153" s="44" t="s">
        <v>672</v>
      </c>
      <c r="J153" s="44" t="s">
        <v>656</v>
      </c>
      <c r="K153" s="44" t="s">
        <v>350</v>
      </c>
      <c r="L153" s="48">
        <v>2164096.2</v>
      </c>
      <c r="M153" s="48">
        <v>2041600.18</v>
      </c>
      <c r="N153" s="48">
        <v>122496.02</v>
      </c>
      <c r="O153" s="44" t="s">
        <v>875</v>
      </c>
    </row>
    <row r="154" customHeight="1" spans="1:15">
      <c r="A154" s="44" t="s">
        <v>637</v>
      </c>
      <c r="B154" s="86">
        <v>44985</v>
      </c>
      <c r="C154" s="44" t="s">
        <v>748</v>
      </c>
      <c r="D154" s="44" t="s">
        <v>639</v>
      </c>
      <c r="E154" s="44" t="s">
        <v>647</v>
      </c>
      <c r="F154" s="44" t="s">
        <v>689</v>
      </c>
      <c r="G154" s="44" t="s">
        <v>654</v>
      </c>
      <c r="H154" s="44" t="s">
        <v>697</v>
      </c>
      <c r="I154" s="44" t="s">
        <v>665</v>
      </c>
      <c r="J154" s="44" t="s">
        <v>656</v>
      </c>
      <c r="K154" s="44" t="s">
        <v>350</v>
      </c>
      <c r="L154" s="48">
        <v>387.5</v>
      </c>
      <c r="M154" s="48">
        <v>365.56</v>
      </c>
      <c r="N154" s="48">
        <v>21.94</v>
      </c>
      <c r="O154" s="44" t="s">
        <v>876</v>
      </c>
    </row>
    <row r="155" customHeight="1" spans="1:15">
      <c r="A155" s="44" t="s">
        <v>637</v>
      </c>
      <c r="B155" s="86">
        <v>44985</v>
      </c>
      <c r="C155" s="44" t="s">
        <v>748</v>
      </c>
      <c r="D155" s="44" t="s">
        <v>639</v>
      </c>
      <c r="E155" s="44" t="s">
        <v>647</v>
      </c>
      <c r="F155" s="44" t="s">
        <v>749</v>
      </c>
      <c r="G155" s="44" t="s">
        <v>648</v>
      </c>
      <c r="H155" s="44" t="s">
        <v>650</v>
      </c>
      <c r="I155" s="44" t="s">
        <v>461</v>
      </c>
      <c r="J155" s="44" t="s">
        <v>644</v>
      </c>
      <c r="K155" s="44" t="s">
        <v>14</v>
      </c>
      <c r="L155" s="48">
        <v>74811.4</v>
      </c>
      <c r="M155" s="48">
        <v>70576.78</v>
      </c>
      <c r="N155" s="48">
        <v>4234.62</v>
      </c>
      <c r="O155" s="44" t="s">
        <v>877</v>
      </c>
    </row>
    <row r="156" customHeight="1" spans="1:15">
      <c r="A156" s="44" t="s">
        <v>637</v>
      </c>
      <c r="B156" s="86">
        <v>44985</v>
      </c>
      <c r="C156" s="44" t="s">
        <v>748</v>
      </c>
      <c r="D156" s="44" t="s">
        <v>639</v>
      </c>
      <c r="E156" s="44" t="s">
        <v>647</v>
      </c>
      <c r="F156" s="44" t="s">
        <v>749</v>
      </c>
      <c r="G156" s="44" t="s">
        <v>648</v>
      </c>
      <c r="H156" s="44" t="s">
        <v>650</v>
      </c>
      <c r="I156" s="44" t="s">
        <v>461</v>
      </c>
      <c r="J156" s="44" t="s">
        <v>644</v>
      </c>
      <c r="K156" s="44" t="s">
        <v>14</v>
      </c>
      <c r="L156" s="48">
        <v>209495</v>
      </c>
      <c r="M156" s="48">
        <v>197636.83</v>
      </c>
      <c r="N156" s="48">
        <v>11858.17</v>
      </c>
      <c r="O156" s="44" t="s">
        <v>878</v>
      </c>
    </row>
    <row r="157" customHeight="1" spans="1:15">
      <c r="A157" s="44" t="s">
        <v>637</v>
      </c>
      <c r="B157" s="86">
        <v>44985</v>
      </c>
      <c r="C157" s="44" t="s">
        <v>748</v>
      </c>
      <c r="D157" s="44" t="s">
        <v>639</v>
      </c>
      <c r="E157" s="44" t="s">
        <v>647</v>
      </c>
      <c r="F157" s="44" t="s">
        <v>707</v>
      </c>
      <c r="G157" s="44" t="s">
        <v>642</v>
      </c>
      <c r="H157" s="44" t="s">
        <v>650</v>
      </c>
      <c r="I157" s="44" t="s">
        <v>429</v>
      </c>
      <c r="J157" s="44" t="s">
        <v>644</v>
      </c>
      <c r="K157" s="44" t="s">
        <v>14</v>
      </c>
      <c r="L157" s="48">
        <v>63382.8</v>
      </c>
      <c r="M157" s="48">
        <v>59795.1</v>
      </c>
      <c r="N157" s="48">
        <v>3587.7</v>
      </c>
      <c r="O157" s="44" t="s">
        <v>879</v>
      </c>
    </row>
    <row r="158" customHeight="1" spans="1:15">
      <c r="A158" s="44" t="s">
        <v>637</v>
      </c>
      <c r="B158" s="86">
        <v>44985</v>
      </c>
      <c r="C158" s="44" t="s">
        <v>748</v>
      </c>
      <c r="D158" s="44" t="s">
        <v>639</v>
      </c>
      <c r="E158" s="44" t="s">
        <v>647</v>
      </c>
      <c r="F158" s="44" t="s">
        <v>749</v>
      </c>
      <c r="G158" s="44" t="s">
        <v>642</v>
      </c>
      <c r="H158" s="44" t="s">
        <v>650</v>
      </c>
      <c r="I158" s="44" t="s">
        <v>779</v>
      </c>
      <c r="J158" s="44" t="s">
        <v>644</v>
      </c>
      <c r="K158" s="44" t="s">
        <v>14</v>
      </c>
      <c r="L158" s="48">
        <v>2532.55</v>
      </c>
      <c r="M158" s="48">
        <v>2389.21</v>
      </c>
      <c r="N158" s="48">
        <v>143.34</v>
      </c>
      <c r="O158" s="44" t="s">
        <v>880</v>
      </c>
    </row>
    <row r="159" customHeight="1" spans="1:15">
      <c r="A159" s="44" t="s">
        <v>637</v>
      </c>
      <c r="B159" s="86">
        <v>44985</v>
      </c>
      <c r="C159" s="44" t="s">
        <v>748</v>
      </c>
      <c r="D159" s="44" t="s">
        <v>639</v>
      </c>
      <c r="E159" s="44" t="s">
        <v>647</v>
      </c>
      <c r="F159" s="44" t="s">
        <v>749</v>
      </c>
      <c r="G159" s="44" t="s">
        <v>648</v>
      </c>
      <c r="H159" s="44" t="s">
        <v>643</v>
      </c>
      <c r="I159" s="44" t="s">
        <v>779</v>
      </c>
      <c r="J159" s="44" t="s">
        <v>644</v>
      </c>
      <c r="K159" s="44" t="s">
        <v>14</v>
      </c>
      <c r="L159" s="48">
        <v>140642.85</v>
      </c>
      <c r="M159" s="48">
        <v>132681.93</v>
      </c>
      <c r="N159" s="48">
        <v>7960.92</v>
      </c>
      <c r="O159" s="44" t="s">
        <v>881</v>
      </c>
    </row>
    <row r="160" customHeight="1" spans="1:15">
      <c r="A160" s="44" t="s">
        <v>637</v>
      </c>
      <c r="B160" s="86">
        <v>44985</v>
      </c>
      <c r="C160" s="44" t="s">
        <v>748</v>
      </c>
      <c r="D160" s="44" t="s">
        <v>639</v>
      </c>
      <c r="E160" s="44" t="s">
        <v>647</v>
      </c>
      <c r="F160" s="44" t="s">
        <v>641</v>
      </c>
      <c r="G160" s="44" t="s">
        <v>642</v>
      </c>
      <c r="H160" s="44" t="s">
        <v>650</v>
      </c>
      <c r="I160" s="44" t="s">
        <v>430</v>
      </c>
      <c r="J160" s="44" t="s">
        <v>644</v>
      </c>
      <c r="K160" s="44" t="s">
        <v>14</v>
      </c>
      <c r="L160" s="48">
        <v>182784.26</v>
      </c>
      <c r="M160" s="48">
        <v>172437.99</v>
      </c>
      <c r="N160" s="48">
        <v>10346.27</v>
      </c>
      <c r="O160" s="44" t="s">
        <v>882</v>
      </c>
    </row>
    <row r="161" customHeight="1" spans="1:15">
      <c r="A161" s="44" t="s">
        <v>637</v>
      </c>
      <c r="B161" s="86">
        <v>44985</v>
      </c>
      <c r="C161" s="44" t="s">
        <v>748</v>
      </c>
      <c r="D161" s="44" t="s">
        <v>639</v>
      </c>
      <c r="E161" s="44" t="s">
        <v>647</v>
      </c>
      <c r="F161" s="44" t="s">
        <v>641</v>
      </c>
      <c r="G161" s="44" t="s">
        <v>648</v>
      </c>
      <c r="H161" s="44" t="s">
        <v>643</v>
      </c>
      <c r="I161" s="44" t="s">
        <v>430</v>
      </c>
      <c r="J161" s="44" t="s">
        <v>644</v>
      </c>
      <c r="K161" s="44" t="s">
        <v>14</v>
      </c>
      <c r="L161" s="48">
        <v>2933463.29</v>
      </c>
      <c r="M161" s="48">
        <v>2767418.17</v>
      </c>
      <c r="N161" s="48">
        <v>166045.12</v>
      </c>
      <c r="O161" s="44" t="s">
        <v>883</v>
      </c>
    </row>
    <row r="162" customHeight="1" spans="1:15">
      <c r="A162" s="44" t="s">
        <v>637</v>
      </c>
      <c r="B162" s="86">
        <v>44985</v>
      </c>
      <c r="C162" s="44" t="s">
        <v>748</v>
      </c>
      <c r="D162" s="44" t="s">
        <v>639</v>
      </c>
      <c r="E162" s="44" t="s">
        <v>647</v>
      </c>
      <c r="F162" s="44" t="s">
        <v>707</v>
      </c>
      <c r="G162" s="44" t="s">
        <v>642</v>
      </c>
      <c r="H162" s="44" t="s">
        <v>650</v>
      </c>
      <c r="I162" s="44" t="s">
        <v>429</v>
      </c>
      <c r="J162" s="44" t="s">
        <v>644</v>
      </c>
      <c r="K162" s="44" t="s">
        <v>14</v>
      </c>
      <c r="L162" s="48">
        <v>347206.4</v>
      </c>
      <c r="M162" s="48">
        <v>327553.22</v>
      </c>
      <c r="N162" s="48">
        <v>19653.18</v>
      </c>
      <c r="O162" s="44" t="s">
        <v>884</v>
      </c>
    </row>
    <row r="163" customHeight="1" spans="1:15">
      <c r="A163" s="44" t="s">
        <v>637</v>
      </c>
      <c r="B163" s="86">
        <v>44985</v>
      </c>
      <c r="C163" s="44" t="s">
        <v>748</v>
      </c>
      <c r="D163" s="44" t="s">
        <v>639</v>
      </c>
      <c r="E163" s="44" t="s">
        <v>647</v>
      </c>
      <c r="F163" s="44" t="s">
        <v>707</v>
      </c>
      <c r="G163" s="44" t="s">
        <v>648</v>
      </c>
      <c r="H163" s="44" t="s">
        <v>650</v>
      </c>
      <c r="I163" s="44" t="s">
        <v>763</v>
      </c>
      <c r="J163" s="44" t="s">
        <v>644</v>
      </c>
      <c r="K163" s="44" t="s">
        <v>165</v>
      </c>
      <c r="L163" s="48">
        <v>13892.25</v>
      </c>
      <c r="M163" s="48">
        <v>13105.9</v>
      </c>
      <c r="N163" s="48">
        <v>786.35</v>
      </c>
      <c r="O163" s="44" t="s">
        <v>885</v>
      </c>
    </row>
    <row r="164" customHeight="1" spans="1:15">
      <c r="A164" s="44" t="s">
        <v>637</v>
      </c>
      <c r="B164" s="86">
        <v>44985</v>
      </c>
      <c r="C164" s="44" t="s">
        <v>748</v>
      </c>
      <c r="D164" s="44" t="s">
        <v>639</v>
      </c>
      <c r="E164" s="44" t="s">
        <v>647</v>
      </c>
      <c r="F164" s="44" t="s">
        <v>707</v>
      </c>
      <c r="G164" s="44" t="s">
        <v>648</v>
      </c>
      <c r="H164" s="44" t="s">
        <v>643</v>
      </c>
      <c r="I164" s="44" t="s">
        <v>429</v>
      </c>
      <c r="J164" s="44" t="s">
        <v>644</v>
      </c>
      <c r="K164" s="44" t="s">
        <v>14</v>
      </c>
      <c r="L164" s="48">
        <v>4636259.74</v>
      </c>
      <c r="M164" s="48">
        <v>4373829.93</v>
      </c>
      <c r="N164" s="48">
        <v>262429.81</v>
      </c>
      <c r="O164" s="44" t="s">
        <v>886</v>
      </c>
    </row>
    <row r="165" customHeight="1" spans="1:15">
      <c r="A165" s="44" t="s">
        <v>637</v>
      </c>
      <c r="B165" s="86">
        <v>44985</v>
      </c>
      <c r="C165" s="44" t="s">
        <v>748</v>
      </c>
      <c r="D165" s="44" t="s">
        <v>639</v>
      </c>
      <c r="E165" s="44" t="s">
        <v>647</v>
      </c>
      <c r="F165" s="44" t="s">
        <v>641</v>
      </c>
      <c r="G165" s="44" t="s">
        <v>648</v>
      </c>
      <c r="H165" s="44" t="s">
        <v>697</v>
      </c>
      <c r="I165" s="44" t="s">
        <v>441</v>
      </c>
      <c r="J165" s="44" t="s">
        <v>644</v>
      </c>
      <c r="K165" s="44" t="s">
        <v>14</v>
      </c>
      <c r="L165" s="48">
        <v>4509377.5</v>
      </c>
      <c r="M165" s="48">
        <v>4254129.72</v>
      </c>
      <c r="N165" s="48">
        <v>255247.78</v>
      </c>
      <c r="O165" s="44" t="s">
        <v>887</v>
      </c>
    </row>
    <row r="166" customHeight="1" spans="1:15">
      <c r="A166" s="44" t="s">
        <v>637</v>
      </c>
      <c r="B166" s="86">
        <v>44985</v>
      </c>
      <c r="C166" s="44" t="s">
        <v>638</v>
      </c>
      <c r="D166" s="44" t="s">
        <v>639</v>
      </c>
      <c r="E166" s="44" t="s">
        <v>640</v>
      </c>
      <c r="F166" s="44" t="s">
        <v>641</v>
      </c>
      <c r="G166" s="44" t="s">
        <v>642</v>
      </c>
      <c r="H166" s="44" t="s">
        <v>643</v>
      </c>
      <c r="I166" s="44" t="s">
        <v>430</v>
      </c>
      <c r="J166" s="44" t="s">
        <v>644</v>
      </c>
      <c r="K166" s="44" t="s">
        <v>14</v>
      </c>
      <c r="L166" s="48">
        <v>524626.91</v>
      </c>
      <c r="M166" s="48">
        <v>494931.05</v>
      </c>
      <c r="N166" s="48">
        <v>29695.86</v>
      </c>
      <c r="O166" s="44" t="s">
        <v>888</v>
      </c>
    </row>
    <row r="167" customHeight="1" spans="1:15">
      <c r="A167" s="44" t="s">
        <v>637</v>
      </c>
      <c r="B167" s="86">
        <v>44985</v>
      </c>
      <c r="C167" s="44" t="s">
        <v>638</v>
      </c>
      <c r="D167" s="44" t="s">
        <v>639</v>
      </c>
      <c r="E167" s="44" t="s">
        <v>647</v>
      </c>
      <c r="F167" s="44" t="s">
        <v>641</v>
      </c>
      <c r="G167" s="44" t="s">
        <v>648</v>
      </c>
      <c r="H167" s="44" t="s">
        <v>643</v>
      </c>
      <c r="I167" s="44" t="s">
        <v>430</v>
      </c>
      <c r="J167" s="44" t="s">
        <v>644</v>
      </c>
      <c r="K167" s="44" t="s">
        <v>14</v>
      </c>
      <c r="L167" s="48">
        <v>44970.2</v>
      </c>
      <c r="M167" s="48">
        <v>42424.72</v>
      </c>
      <c r="N167" s="48">
        <v>2545.48</v>
      </c>
      <c r="O167" s="44" t="s">
        <v>889</v>
      </c>
    </row>
    <row r="168" customHeight="1" spans="1:15">
      <c r="A168" s="44" t="s">
        <v>637</v>
      </c>
      <c r="B168" s="86">
        <v>44985</v>
      </c>
      <c r="C168" s="44" t="s">
        <v>638</v>
      </c>
      <c r="D168" s="44" t="s">
        <v>639</v>
      </c>
      <c r="E168" s="44" t="s">
        <v>640</v>
      </c>
      <c r="F168" s="44" t="s">
        <v>641</v>
      </c>
      <c r="G168" s="44" t="s">
        <v>648</v>
      </c>
      <c r="H168" s="44" t="s">
        <v>643</v>
      </c>
      <c r="I168" s="44" t="s">
        <v>430</v>
      </c>
      <c r="J168" s="44" t="s">
        <v>644</v>
      </c>
      <c r="K168" s="44" t="s">
        <v>14</v>
      </c>
      <c r="L168" s="48">
        <v>1344886.82</v>
      </c>
      <c r="M168" s="48">
        <v>1268761.15</v>
      </c>
      <c r="N168" s="48">
        <v>76125.67</v>
      </c>
      <c r="O168" s="44" t="s">
        <v>890</v>
      </c>
    </row>
    <row r="169" customHeight="1" spans="1:15">
      <c r="A169" s="44" t="s">
        <v>637</v>
      </c>
      <c r="B169" s="86">
        <v>44985</v>
      </c>
      <c r="C169" s="44" t="s">
        <v>638</v>
      </c>
      <c r="D169" s="44" t="s">
        <v>639</v>
      </c>
      <c r="E169" s="44" t="s">
        <v>647</v>
      </c>
      <c r="F169" s="44" t="s">
        <v>641</v>
      </c>
      <c r="G169" s="44" t="s">
        <v>642</v>
      </c>
      <c r="H169" s="44" t="s">
        <v>650</v>
      </c>
      <c r="I169" s="44" t="s">
        <v>430</v>
      </c>
      <c r="J169" s="44" t="s">
        <v>644</v>
      </c>
      <c r="K169" s="44" t="s">
        <v>14</v>
      </c>
      <c r="L169" s="48">
        <v>2606824.32</v>
      </c>
      <c r="M169" s="48">
        <v>2459268.23</v>
      </c>
      <c r="N169" s="48">
        <v>147556.09</v>
      </c>
      <c r="O169" s="44" t="s">
        <v>891</v>
      </c>
    </row>
    <row r="170" customHeight="1" spans="1:15">
      <c r="A170" s="44" t="s">
        <v>637</v>
      </c>
      <c r="B170" s="86">
        <v>44985</v>
      </c>
      <c r="C170" s="44" t="s">
        <v>638</v>
      </c>
      <c r="D170" s="44" t="s">
        <v>639</v>
      </c>
      <c r="E170" s="44" t="s">
        <v>647</v>
      </c>
      <c r="F170" s="44" t="s">
        <v>641</v>
      </c>
      <c r="G170" s="44" t="s">
        <v>648</v>
      </c>
      <c r="H170" s="44" t="s">
        <v>643</v>
      </c>
      <c r="I170" s="44" t="s">
        <v>430</v>
      </c>
      <c r="J170" s="44" t="s">
        <v>644</v>
      </c>
      <c r="K170" s="44" t="s">
        <v>14</v>
      </c>
      <c r="L170" s="48">
        <v>221480.02</v>
      </c>
      <c r="M170" s="48">
        <v>208943.44</v>
      </c>
      <c r="N170" s="48">
        <v>12536.58</v>
      </c>
      <c r="O170" s="44" t="s">
        <v>892</v>
      </c>
    </row>
    <row r="171" customHeight="1" spans="1:15">
      <c r="A171" s="44" t="s">
        <v>637</v>
      </c>
      <c r="B171" s="86">
        <v>44985</v>
      </c>
      <c r="C171" s="44" t="s">
        <v>646</v>
      </c>
      <c r="D171" s="44" t="s">
        <v>639</v>
      </c>
      <c r="E171" s="44" t="s">
        <v>640</v>
      </c>
      <c r="F171" s="44" t="s">
        <v>689</v>
      </c>
      <c r="G171" s="44" t="s">
        <v>648</v>
      </c>
      <c r="H171" s="44" t="s">
        <v>650</v>
      </c>
      <c r="I171" s="44" t="s">
        <v>690</v>
      </c>
      <c r="J171" s="44" t="s">
        <v>656</v>
      </c>
      <c r="K171" s="44" t="s">
        <v>165</v>
      </c>
      <c r="L171" s="48">
        <v>11115</v>
      </c>
      <c r="M171" s="48">
        <v>10485.85</v>
      </c>
      <c r="N171" s="48">
        <v>629.15</v>
      </c>
      <c r="O171" s="44" t="s">
        <v>893</v>
      </c>
    </row>
    <row r="172" customHeight="1" spans="1:15">
      <c r="A172" s="44" t="s">
        <v>637</v>
      </c>
      <c r="B172" s="86">
        <v>44985</v>
      </c>
      <c r="C172" s="44" t="s">
        <v>646</v>
      </c>
      <c r="D172" s="44" t="s">
        <v>639</v>
      </c>
      <c r="E172" s="44" t="s">
        <v>640</v>
      </c>
      <c r="F172" s="44" t="s">
        <v>641</v>
      </c>
      <c r="G172" s="44" t="s">
        <v>648</v>
      </c>
      <c r="H172" s="44" t="s">
        <v>650</v>
      </c>
      <c r="I172" s="44" t="s">
        <v>686</v>
      </c>
      <c r="J172" s="44" t="s">
        <v>656</v>
      </c>
      <c r="K172" s="44" t="s">
        <v>14</v>
      </c>
      <c r="L172" s="48">
        <v>-23.97</v>
      </c>
      <c r="M172" s="48">
        <v>-22.61</v>
      </c>
      <c r="N172" s="48">
        <v>-1.36</v>
      </c>
      <c r="O172" s="44" t="s">
        <v>894</v>
      </c>
    </row>
    <row r="173" customHeight="1" spans="1:15">
      <c r="A173" s="44" t="s">
        <v>637</v>
      </c>
      <c r="B173" s="86">
        <v>44985</v>
      </c>
      <c r="C173" s="44" t="s">
        <v>646</v>
      </c>
      <c r="D173" s="44" t="s">
        <v>639</v>
      </c>
      <c r="E173" s="44" t="s">
        <v>640</v>
      </c>
      <c r="F173" s="44" t="s">
        <v>641</v>
      </c>
      <c r="G173" s="44" t="s">
        <v>648</v>
      </c>
      <c r="H173" s="44" t="s">
        <v>643</v>
      </c>
      <c r="I173" s="44" t="s">
        <v>430</v>
      </c>
      <c r="J173" s="44" t="s">
        <v>644</v>
      </c>
      <c r="K173" s="44" t="s">
        <v>14</v>
      </c>
      <c r="L173" s="48">
        <v>175832.45</v>
      </c>
      <c r="M173" s="48">
        <v>165879.67</v>
      </c>
      <c r="N173" s="48">
        <v>9952.78</v>
      </c>
      <c r="O173" s="44" t="s">
        <v>895</v>
      </c>
    </row>
    <row r="174" customHeight="1" spans="1:15">
      <c r="A174" s="44" t="s">
        <v>637</v>
      </c>
      <c r="B174" s="86">
        <v>44985</v>
      </c>
      <c r="C174" s="44" t="s">
        <v>646</v>
      </c>
      <c r="D174" s="44" t="s">
        <v>639</v>
      </c>
      <c r="E174" s="44" t="s">
        <v>640</v>
      </c>
      <c r="F174" s="44" t="s">
        <v>641</v>
      </c>
      <c r="G174" s="44" t="s">
        <v>642</v>
      </c>
      <c r="H174" s="44" t="s">
        <v>643</v>
      </c>
      <c r="I174" s="44" t="s">
        <v>430</v>
      </c>
      <c r="J174" s="44" t="s">
        <v>644</v>
      </c>
      <c r="K174" s="44" t="s">
        <v>14</v>
      </c>
      <c r="L174" s="48">
        <v>-24710.87</v>
      </c>
      <c r="M174" s="48">
        <v>-23312.14</v>
      </c>
      <c r="N174" s="48">
        <v>-1398.73</v>
      </c>
      <c r="O174" s="44" t="s">
        <v>896</v>
      </c>
    </row>
    <row r="175" customHeight="1" spans="1:15">
      <c r="A175" s="44" t="s">
        <v>637</v>
      </c>
      <c r="B175" s="86">
        <v>44985</v>
      </c>
      <c r="C175" s="44" t="s">
        <v>646</v>
      </c>
      <c r="D175" s="44" t="s">
        <v>639</v>
      </c>
      <c r="E175" s="44" t="s">
        <v>640</v>
      </c>
      <c r="F175" s="44" t="s">
        <v>689</v>
      </c>
      <c r="G175" s="44" t="s">
        <v>654</v>
      </c>
      <c r="H175" s="44" t="s">
        <v>650</v>
      </c>
      <c r="I175" s="44" t="s">
        <v>658</v>
      </c>
      <c r="J175" s="44" t="s">
        <v>656</v>
      </c>
      <c r="K175" s="44" t="s">
        <v>350</v>
      </c>
      <c r="L175" s="48">
        <v>-15974.51</v>
      </c>
      <c r="M175" s="48">
        <v>-15070.29</v>
      </c>
      <c r="N175" s="48">
        <v>-904.22</v>
      </c>
      <c r="O175" s="44" t="s">
        <v>897</v>
      </c>
    </row>
    <row r="176" customHeight="1" spans="1:15">
      <c r="A176" s="37" t="s">
        <v>637</v>
      </c>
      <c r="B176" s="38">
        <v>45016</v>
      </c>
      <c r="C176" s="37" t="s">
        <v>646</v>
      </c>
      <c r="D176" s="37" t="s">
        <v>653</v>
      </c>
      <c r="E176" s="37" t="s">
        <v>640</v>
      </c>
      <c r="F176" s="37" t="s">
        <v>659</v>
      </c>
      <c r="G176" s="37" t="s">
        <v>648</v>
      </c>
      <c r="H176" s="37" t="s">
        <v>697</v>
      </c>
      <c r="I176" s="37" t="s">
        <v>462</v>
      </c>
      <c r="J176" s="37" t="s">
        <v>656</v>
      </c>
      <c r="K176" s="37" t="s">
        <v>166</v>
      </c>
      <c r="L176" s="47">
        <v>-196146.23</v>
      </c>
      <c r="M176" s="47">
        <v>-185043.61</v>
      </c>
      <c r="N176" s="47">
        <v>-11102.62</v>
      </c>
      <c r="O176" s="37" t="s">
        <v>898</v>
      </c>
    </row>
    <row r="177" customHeight="1" spans="1:15">
      <c r="A177" s="37" t="s">
        <v>637</v>
      </c>
      <c r="B177" s="38">
        <v>45016</v>
      </c>
      <c r="C177" s="37" t="s">
        <v>646</v>
      </c>
      <c r="D177" s="37" t="s">
        <v>653</v>
      </c>
      <c r="E177" s="37" t="s">
        <v>640</v>
      </c>
      <c r="F177" s="37" t="s">
        <v>641</v>
      </c>
      <c r="G177" s="37" t="s">
        <v>648</v>
      </c>
      <c r="H177" s="37" t="s">
        <v>697</v>
      </c>
      <c r="I177" s="37" t="s">
        <v>462</v>
      </c>
      <c r="J177" s="37" t="s">
        <v>656</v>
      </c>
      <c r="K177" s="37" t="s">
        <v>166</v>
      </c>
      <c r="L177" s="47">
        <v>-1265122.57</v>
      </c>
      <c r="M177" s="47">
        <v>-1193511.86</v>
      </c>
      <c r="N177" s="47">
        <v>-71610.71</v>
      </c>
      <c r="O177" s="37" t="s">
        <v>899</v>
      </c>
    </row>
    <row r="178" customHeight="1" spans="1:15">
      <c r="A178" s="37" t="s">
        <v>637</v>
      </c>
      <c r="B178" s="38">
        <v>45016</v>
      </c>
      <c r="C178" s="37" t="s">
        <v>646</v>
      </c>
      <c r="D178" s="37" t="s">
        <v>653</v>
      </c>
      <c r="E178" s="37" t="s">
        <v>640</v>
      </c>
      <c r="F178" s="37" t="s">
        <v>641</v>
      </c>
      <c r="G178" s="37" t="s">
        <v>648</v>
      </c>
      <c r="H178" s="37" t="s">
        <v>643</v>
      </c>
      <c r="I178" s="37" t="s">
        <v>462</v>
      </c>
      <c r="J178" s="37" t="s">
        <v>656</v>
      </c>
      <c r="K178" s="37" t="s">
        <v>166</v>
      </c>
      <c r="L178" s="47">
        <v>-423696.31</v>
      </c>
      <c r="M178" s="47">
        <v>-399713.5</v>
      </c>
      <c r="N178" s="47">
        <v>-23982.81</v>
      </c>
      <c r="O178" s="37" t="s">
        <v>900</v>
      </c>
    </row>
    <row r="179" customHeight="1" spans="1:15">
      <c r="A179" s="37" t="s">
        <v>637</v>
      </c>
      <c r="B179" s="38">
        <v>45016</v>
      </c>
      <c r="C179" s="37" t="s">
        <v>646</v>
      </c>
      <c r="D179" s="37" t="s">
        <v>653</v>
      </c>
      <c r="E179" s="37" t="s">
        <v>640</v>
      </c>
      <c r="F179" s="37" t="s">
        <v>659</v>
      </c>
      <c r="G179" s="37" t="s">
        <v>648</v>
      </c>
      <c r="H179" s="37" t="s">
        <v>643</v>
      </c>
      <c r="I179" s="37" t="s">
        <v>462</v>
      </c>
      <c r="J179" s="37" t="s">
        <v>656</v>
      </c>
      <c r="K179" s="37" t="s">
        <v>166</v>
      </c>
      <c r="L179" s="47">
        <v>420894.8</v>
      </c>
      <c r="M179" s="47">
        <v>397070.57</v>
      </c>
      <c r="N179" s="47">
        <v>23824.23</v>
      </c>
      <c r="O179" s="37" t="s">
        <v>901</v>
      </c>
    </row>
    <row r="180" customHeight="1" spans="1:15">
      <c r="A180" s="37" t="s">
        <v>637</v>
      </c>
      <c r="B180" s="38">
        <v>45016</v>
      </c>
      <c r="C180" s="37" t="s">
        <v>646</v>
      </c>
      <c r="D180" s="37" t="s">
        <v>639</v>
      </c>
      <c r="E180" s="37" t="s">
        <v>640</v>
      </c>
      <c r="F180" s="37" t="s">
        <v>641</v>
      </c>
      <c r="G180" s="37" t="s">
        <v>648</v>
      </c>
      <c r="H180" s="37" t="s">
        <v>697</v>
      </c>
      <c r="I180" s="37" t="s">
        <v>667</v>
      </c>
      <c r="J180" s="37" t="s">
        <v>656</v>
      </c>
      <c r="K180" s="37" t="s">
        <v>350</v>
      </c>
      <c r="L180" s="47">
        <v>-343</v>
      </c>
      <c r="M180" s="47">
        <v>-323.58</v>
      </c>
      <c r="N180" s="47">
        <v>-19.42</v>
      </c>
      <c r="O180" s="37" t="s">
        <v>902</v>
      </c>
    </row>
    <row r="181" customHeight="1" spans="1:15">
      <c r="A181" s="37" t="s">
        <v>637</v>
      </c>
      <c r="B181" s="38">
        <v>45016</v>
      </c>
      <c r="C181" s="37" t="s">
        <v>646</v>
      </c>
      <c r="D181" s="37" t="s">
        <v>653</v>
      </c>
      <c r="E181" s="37" t="s">
        <v>640</v>
      </c>
      <c r="F181" s="37" t="s">
        <v>641</v>
      </c>
      <c r="G181" s="37" t="s">
        <v>642</v>
      </c>
      <c r="H181" s="37" t="s">
        <v>643</v>
      </c>
      <c r="I181" s="37" t="s">
        <v>462</v>
      </c>
      <c r="J181" s="37" t="s">
        <v>656</v>
      </c>
      <c r="K181" s="37" t="s">
        <v>166</v>
      </c>
      <c r="L181" s="47">
        <v>1250000</v>
      </c>
      <c r="M181" s="47">
        <v>1179245.28</v>
      </c>
      <c r="N181" s="47">
        <v>70754.72</v>
      </c>
      <c r="O181" s="37" t="s">
        <v>903</v>
      </c>
    </row>
    <row r="182" customHeight="1" spans="1:15">
      <c r="A182" s="37" t="s">
        <v>637</v>
      </c>
      <c r="B182" s="38">
        <v>45016</v>
      </c>
      <c r="C182" s="37" t="s">
        <v>646</v>
      </c>
      <c r="D182" s="37" t="s">
        <v>639</v>
      </c>
      <c r="E182" s="37" t="s">
        <v>640</v>
      </c>
      <c r="F182" s="37" t="s">
        <v>689</v>
      </c>
      <c r="G182" s="37" t="s">
        <v>648</v>
      </c>
      <c r="H182" s="37" t="s">
        <v>650</v>
      </c>
      <c r="I182" s="37" t="s">
        <v>690</v>
      </c>
      <c r="J182" s="37" t="s">
        <v>656</v>
      </c>
      <c r="K182" s="37" t="s">
        <v>165</v>
      </c>
      <c r="L182" s="47">
        <v>9595</v>
      </c>
      <c r="M182" s="47">
        <v>9051.89</v>
      </c>
      <c r="N182" s="47">
        <v>543.11</v>
      </c>
      <c r="O182" s="37" t="s">
        <v>904</v>
      </c>
    </row>
    <row r="183" customHeight="1" spans="1:15">
      <c r="A183" s="37" t="s">
        <v>637</v>
      </c>
      <c r="B183" s="38">
        <v>45016</v>
      </c>
      <c r="C183" s="37" t="s">
        <v>646</v>
      </c>
      <c r="D183" s="37" t="s">
        <v>653</v>
      </c>
      <c r="E183" s="37" t="s">
        <v>640</v>
      </c>
      <c r="F183" s="37" t="s">
        <v>659</v>
      </c>
      <c r="G183" s="37" t="s">
        <v>648</v>
      </c>
      <c r="H183" s="37" t="s">
        <v>650</v>
      </c>
      <c r="I183" s="37" t="s">
        <v>462</v>
      </c>
      <c r="J183" s="37" t="s">
        <v>656</v>
      </c>
      <c r="K183" s="37" t="s">
        <v>166</v>
      </c>
      <c r="L183" s="47">
        <v>751686.87</v>
      </c>
      <c r="M183" s="47">
        <v>709138.56</v>
      </c>
      <c r="N183" s="47">
        <v>42548.31</v>
      </c>
      <c r="O183" s="37" t="s">
        <v>905</v>
      </c>
    </row>
    <row r="184" customHeight="1" spans="1:15">
      <c r="A184" s="37" t="s">
        <v>637</v>
      </c>
      <c r="B184" s="38">
        <v>45016</v>
      </c>
      <c r="C184" s="37" t="s">
        <v>646</v>
      </c>
      <c r="D184" s="37" t="s">
        <v>653</v>
      </c>
      <c r="E184" s="37" t="s">
        <v>640</v>
      </c>
      <c r="F184" s="37" t="s">
        <v>641</v>
      </c>
      <c r="G184" s="37" t="s">
        <v>648</v>
      </c>
      <c r="H184" s="37" t="s">
        <v>697</v>
      </c>
      <c r="I184" s="37" t="s">
        <v>462</v>
      </c>
      <c r="J184" s="37" t="s">
        <v>656</v>
      </c>
      <c r="K184" s="37" t="s">
        <v>166</v>
      </c>
      <c r="L184" s="47">
        <v>187921.72</v>
      </c>
      <c r="M184" s="47">
        <v>177284.64</v>
      </c>
      <c r="N184" s="47">
        <v>10637.08</v>
      </c>
      <c r="O184" s="37" t="s">
        <v>906</v>
      </c>
    </row>
    <row r="185" customHeight="1" spans="1:15">
      <c r="A185" s="37" t="s">
        <v>637</v>
      </c>
      <c r="B185" s="38">
        <v>45016</v>
      </c>
      <c r="C185" s="37" t="s">
        <v>646</v>
      </c>
      <c r="D185" s="37" t="s">
        <v>682</v>
      </c>
      <c r="E185" s="37" t="s">
        <v>640</v>
      </c>
      <c r="F185" s="37" t="s">
        <v>641</v>
      </c>
      <c r="G185" s="37" t="s">
        <v>642</v>
      </c>
      <c r="H185" s="37" t="s">
        <v>650</v>
      </c>
      <c r="I185" s="37" t="s">
        <v>743</v>
      </c>
      <c r="J185" s="37" t="s">
        <v>656</v>
      </c>
      <c r="K185" s="37" t="s">
        <v>13</v>
      </c>
      <c r="L185" s="47">
        <v>23495</v>
      </c>
      <c r="M185" s="47">
        <v>22165.09</v>
      </c>
      <c r="N185" s="47">
        <v>1329.91</v>
      </c>
      <c r="O185" s="37" t="s">
        <v>907</v>
      </c>
    </row>
    <row r="186" customHeight="1" spans="1:15">
      <c r="A186" s="37" t="s">
        <v>637</v>
      </c>
      <c r="B186" s="38">
        <v>45016</v>
      </c>
      <c r="C186" s="37" t="s">
        <v>646</v>
      </c>
      <c r="D186" s="37" t="s">
        <v>639</v>
      </c>
      <c r="E186" s="37" t="s">
        <v>640</v>
      </c>
      <c r="F186" s="37" t="s">
        <v>641</v>
      </c>
      <c r="G186" s="37" t="s">
        <v>642</v>
      </c>
      <c r="H186" s="37" t="s">
        <v>643</v>
      </c>
      <c r="I186" s="37" t="s">
        <v>430</v>
      </c>
      <c r="J186" s="37" t="s">
        <v>644</v>
      </c>
      <c r="K186" s="37" t="s">
        <v>14</v>
      </c>
      <c r="L186" s="47">
        <v>-413020.71</v>
      </c>
      <c r="M186" s="47">
        <v>-389642.18</v>
      </c>
      <c r="N186" s="47">
        <v>-23378.53</v>
      </c>
      <c r="O186" s="37" t="s">
        <v>908</v>
      </c>
    </row>
    <row r="187" customHeight="1" spans="1:15">
      <c r="A187" s="37" t="s">
        <v>637</v>
      </c>
      <c r="B187" s="38">
        <v>45016</v>
      </c>
      <c r="C187" s="37" t="s">
        <v>646</v>
      </c>
      <c r="D187" s="37" t="s">
        <v>639</v>
      </c>
      <c r="E187" s="37" t="s">
        <v>640</v>
      </c>
      <c r="F187" s="37" t="s">
        <v>641</v>
      </c>
      <c r="G187" s="37" t="s">
        <v>648</v>
      </c>
      <c r="H187" s="37" t="s">
        <v>643</v>
      </c>
      <c r="I187" s="37" t="s">
        <v>430</v>
      </c>
      <c r="J187" s="37" t="s">
        <v>644</v>
      </c>
      <c r="K187" s="37" t="s">
        <v>14</v>
      </c>
      <c r="L187" s="47">
        <v>206491.68</v>
      </c>
      <c r="M187" s="47">
        <v>194803.47</v>
      </c>
      <c r="N187" s="47">
        <v>11688.21</v>
      </c>
      <c r="O187" s="37" t="s">
        <v>909</v>
      </c>
    </row>
    <row r="188" customHeight="1" spans="1:15">
      <c r="A188" s="37" t="s">
        <v>637</v>
      </c>
      <c r="B188" s="38">
        <v>45016</v>
      </c>
      <c r="C188" s="37" t="s">
        <v>646</v>
      </c>
      <c r="D188" s="37" t="s">
        <v>639</v>
      </c>
      <c r="E188" s="37" t="s">
        <v>647</v>
      </c>
      <c r="F188" s="37" t="s">
        <v>641</v>
      </c>
      <c r="G188" s="37" t="s">
        <v>648</v>
      </c>
      <c r="H188" s="37" t="s">
        <v>643</v>
      </c>
      <c r="I188" s="37" t="s">
        <v>430</v>
      </c>
      <c r="J188" s="37" t="s">
        <v>644</v>
      </c>
      <c r="K188" s="37" t="s">
        <v>14</v>
      </c>
      <c r="L188" s="47">
        <v>272125.91</v>
      </c>
      <c r="M188" s="47">
        <v>256722.57</v>
      </c>
      <c r="N188" s="47">
        <v>15403.34</v>
      </c>
      <c r="O188" s="37" t="s">
        <v>910</v>
      </c>
    </row>
    <row r="189" customHeight="1" spans="1:15">
      <c r="A189" s="37" t="s">
        <v>637</v>
      </c>
      <c r="B189" s="38">
        <v>45016</v>
      </c>
      <c r="C189" s="37" t="s">
        <v>646</v>
      </c>
      <c r="D189" s="37" t="s">
        <v>639</v>
      </c>
      <c r="E189" s="37" t="s">
        <v>647</v>
      </c>
      <c r="F189" s="37" t="s">
        <v>689</v>
      </c>
      <c r="G189" s="37" t="s">
        <v>654</v>
      </c>
      <c r="H189" s="37" t="s">
        <v>697</v>
      </c>
      <c r="I189" s="37" t="s">
        <v>658</v>
      </c>
      <c r="J189" s="37" t="s">
        <v>656</v>
      </c>
      <c r="K189" s="37" t="s">
        <v>350</v>
      </c>
      <c r="L189" s="47">
        <v>106885.8</v>
      </c>
      <c r="M189" s="47">
        <v>100835.65</v>
      </c>
      <c r="N189" s="47">
        <v>6050.15</v>
      </c>
      <c r="O189" s="37" t="s">
        <v>911</v>
      </c>
    </row>
    <row r="190" customHeight="1" spans="1:15">
      <c r="A190" s="37" t="s">
        <v>637</v>
      </c>
      <c r="B190" s="38">
        <v>45016</v>
      </c>
      <c r="C190" s="37" t="s">
        <v>646</v>
      </c>
      <c r="D190" s="37" t="s">
        <v>639</v>
      </c>
      <c r="E190" s="37" t="s">
        <v>640</v>
      </c>
      <c r="F190" s="37" t="s">
        <v>641</v>
      </c>
      <c r="G190" s="37" t="s">
        <v>654</v>
      </c>
      <c r="H190" s="37" t="s">
        <v>643</v>
      </c>
      <c r="I190" s="37" t="s">
        <v>661</v>
      </c>
      <c r="J190" s="37" t="s">
        <v>656</v>
      </c>
      <c r="K190" s="37" t="s">
        <v>350</v>
      </c>
      <c r="L190" s="47">
        <v>945</v>
      </c>
      <c r="M190" s="47">
        <v>891.51</v>
      </c>
      <c r="N190" s="47">
        <v>53.49</v>
      </c>
      <c r="O190" s="37" t="s">
        <v>912</v>
      </c>
    </row>
    <row r="191" customHeight="1" spans="1:15">
      <c r="A191" s="37" t="s">
        <v>637</v>
      </c>
      <c r="B191" s="38">
        <v>45016</v>
      </c>
      <c r="C191" s="37" t="s">
        <v>811</v>
      </c>
      <c r="D191" s="37" t="s">
        <v>639</v>
      </c>
      <c r="E191" s="37" t="s">
        <v>647</v>
      </c>
      <c r="F191" s="37" t="s">
        <v>641</v>
      </c>
      <c r="G191" s="37" t="s">
        <v>642</v>
      </c>
      <c r="H191" s="37" t="s">
        <v>650</v>
      </c>
      <c r="I191" s="37" t="s">
        <v>430</v>
      </c>
      <c r="J191" s="37" t="s">
        <v>644</v>
      </c>
      <c r="K191" s="37" t="s">
        <v>14</v>
      </c>
      <c r="L191" s="47">
        <v>141483.5</v>
      </c>
      <c r="M191" s="47">
        <v>133474.99</v>
      </c>
      <c r="N191" s="47">
        <v>8008.51</v>
      </c>
      <c r="O191" s="37" t="s">
        <v>913</v>
      </c>
    </row>
    <row r="192" customHeight="1" spans="1:15">
      <c r="A192" s="37" t="s">
        <v>637</v>
      </c>
      <c r="B192" s="38">
        <v>45016</v>
      </c>
      <c r="C192" s="37" t="s">
        <v>646</v>
      </c>
      <c r="D192" s="37" t="s">
        <v>639</v>
      </c>
      <c r="E192" s="37" t="s">
        <v>647</v>
      </c>
      <c r="F192" s="37" t="s">
        <v>641</v>
      </c>
      <c r="G192" s="37" t="s">
        <v>648</v>
      </c>
      <c r="H192" s="37" t="s">
        <v>650</v>
      </c>
      <c r="I192" s="37" t="s">
        <v>667</v>
      </c>
      <c r="J192" s="37" t="s">
        <v>644</v>
      </c>
      <c r="K192" s="37" t="s">
        <v>350</v>
      </c>
      <c r="L192" s="47">
        <v>112</v>
      </c>
      <c r="M192" s="47">
        <v>105.65</v>
      </c>
      <c r="N192" s="47">
        <v>6.35</v>
      </c>
      <c r="O192" s="37" t="s">
        <v>914</v>
      </c>
    </row>
    <row r="193" customHeight="1" spans="1:15">
      <c r="A193" s="37" t="s">
        <v>637</v>
      </c>
      <c r="B193" s="38">
        <v>45016</v>
      </c>
      <c r="C193" s="37" t="s">
        <v>646</v>
      </c>
      <c r="D193" s="37" t="s">
        <v>639</v>
      </c>
      <c r="E193" s="37" t="s">
        <v>647</v>
      </c>
      <c r="F193" s="37" t="s">
        <v>641</v>
      </c>
      <c r="G193" s="37" t="s">
        <v>642</v>
      </c>
      <c r="H193" s="37" t="s">
        <v>650</v>
      </c>
      <c r="I193" s="37" t="s">
        <v>678</v>
      </c>
      <c r="J193" s="37" t="s">
        <v>656</v>
      </c>
      <c r="K193" s="37" t="s">
        <v>350</v>
      </c>
      <c r="L193" s="47">
        <v>732</v>
      </c>
      <c r="M193" s="47">
        <v>690.52</v>
      </c>
      <c r="N193" s="47">
        <v>41.48</v>
      </c>
      <c r="O193" s="37" t="s">
        <v>915</v>
      </c>
    </row>
    <row r="194" customHeight="1" spans="1:15">
      <c r="A194" s="37" t="s">
        <v>637</v>
      </c>
      <c r="B194" s="38">
        <v>45016</v>
      </c>
      <c r="C194" s="37" t="s">
        <v>646</v>
      </c>
      <c r="D194" s="37" t="s">
        <v>639</v>
      </c>
      <c r="E194" s="37" t="s">
        <v>647</v>
      </c>
      <c r="F194" s="37" t="s">
        <v>641</v>
      </c>
      <c r="G194" s="37" t="s">
        <v>654</v>
      </c>
      <c r="H194" s="37" t="s">
        <v>643</v>
      </c>
      <c r="I194" s="37" t="s">
        <v>661</v>
      </c>
      <c r="J194" s="37" t="s">
        <v>656</v>
      </c>
      <c r="K194" s="37" t="s">
        <v>350</v>
      </c>
      <c r="L194" s="47">
        <v>1413</v>
      </c>
      <c r="M194" s="47">
        <v>1333.02</v>
      </c>
      <c r="N194" s="47">
        <v>79.98</v>
      </c>
      <c r="O194" s="37" t="s">
        <v>916</v>
      </c>
    </row>
    <row r="195" customHeight="1" spans="1:15">
      <c r="A195" s="37" t="s">
        <v>637</v>
      </c>
      <c r="B195" s="38">
        <v>45016</v>
      </c>
      <c r="C195" s="37" t="s">
        <v>646</v>
      </c>
      <c r="D195" s="37" t="s">
        <v>639</v>
      </c>
      <c r="E195" s="37" t="s">
        <v>647</v>
      </c>
      <c r="F195" s="37" t="s">
        <v>641</v>
      </c>
      <c r="G195" s="37" t="s">
        <v>642</v>
      </c>
      <c r="H195" s="37" t="s">
        <v>650</v>
      </c>
      <c r="I195" s="37" t="s">
        <v>430</v>
      </c>
      <c r="J195" s="37" t="s">
        <v>644</v>
      </c>
      <c r="K195" s="37" t="s">
        <v>14</v>
      </c>
      <c r="L195" s="47">
        <v>1008525.88</v>
      </c>
      <c r="M195" s="47">
        <v>951439.53</v>
      </c>
      <c r="N195" s="47">
        <v>57086.35</v>
      </c>
      <c r="O195" s="37" t="s">
        <v>917</v>
      </c>
    </row>
    <row r="196" customHeight="1" spans="1:15">
      <c r="A196" s="37" t="s">
        <v>637</v>
      </c>
      <c r="B196" s="38">
        <v>45016</v>
      </c>
      <c r="C196" s="37" t="s">
        <v>646</v>
      </c>
      <c r="D196" s="37" t="s">
        <v>639</v>
      </c>
      <c r="E196" s="37" t="s">
        <v>647</v>
      </c>
      <c r="F196" s="37" t="s">
        <v>641</v>
      </c>
      <c r="G196" s="37" t="s">
        <v>648</v>
      </c>
      <c r="H196" s="37" t="s">
        <v>650</v>
      </c>
      <c r="I196" s="37" t="s">
        <v>686</v>
      </c>
      <c r="J196" s="37" t="s">
        <v>656</v>
      </c>
      <c r="K196" s="37" t="s">
        <v>14</v>
      </c>
      <c r="L196" s="47">
        <v>7136.3</v>
      </c>
      <c r="M196" s="47">
        <v>6732.35</v>
      </c>
      <c r="N196" s="47">
        <v>403.95</v>
      </c>
      <c r="O196" s="37" t="s">
        <v>918</v>
      </c>
    </row>
    <row r="197" customHeight="1" spans="1:15">
      <c r="A197" s="37" t="s">
        <v>637</v>
      </c>
      <c r="B197" s="38">
        <v>45016</v>
      </c>
      <c r="C197" s="37" t="s">
        <v>811</v>
      </c>
      <c r="D197" s="37" t="s">
        <v>726</v>
      </c>
      <c r="E197" s="37" t="s">
        <v>647</v>
      </c>
      <c r="F197" s="37" t="s">
        <v>641</v>
      </c>
      <c r="G197" s="37" t="s">
        <v>648</v>
      </c>
      <c r="H197" s="37" t="s">
        <v>643</v>
      </c>
      <c r="I197" s="37" t="s">
        <v>430</v>
      </c>
      <c r="J197" s="37" t="s">
        <v>644</v>
      </c>
      <c r="K197" s="37" t="s">
        <v>14</v>
      </c>
      <c r="L197" s="47">
        <v>613263.71</v>
      </c>
      <c r="M197" s="47">
        <v>578550.66</v>
      </c>
      <c r="N197" s="47">
        <v>34713.05</v>
      </c>
      <c r="O197" s="37" t="s">
        <v>919</v>
      </c>
    </row>
    <row r="198" customHeight="1" spans="1:15">
      <c r="A198" s="37" t="s">
        <v>637</v>
      </c>
      <c r="B198" s="38">
        <v>45016</v>
      </c>
      <c r="C198" s="37" t="s">
        <v>811</v>
      </c>
      <c r="D198" s="37" t="s">
        <v>740</v>
      </c>
      <c r="E198" s="37" t="s">
        <v>647</v>
      </c>
      <c r="F198" s="37" t="s">
        <v>641</v>
      </c>
      <c r="G198" s="37" t="s">
        <v>648</v>
      </c>
      <c r="H198" s="37" t="s">
        <v>643</v>
      </c>
      <c r="I198" s="37" t="s">
        <v>430</v>
      </c>
      <c r="J198" s="37" t="s">
        <v>644</v>
      </c>
      <c r="K198" s="37" t="s">
        <v>14</v>
      </c>
      <c r="L198" s="47">
        <v>455681.03</v>
      </c>
      <c r="M198" s="47">
        <v>429887.8</v>
      </c>
      <c r="N198" s="47">
        <v>25793.23</v>
      </c>
      <c r="O198" s="37" t="s">
        <v>920</v>
      </c>
    </row>
    <row r="199" customHeight="1" spans="1:15">
      <c r="A199" s="37" t="s">
        <v>637</v>
      </c>
      <c r="B199" s="38">
        <v>45016</v>
      </c>
      <c r="C199" s="37" t="s">
        <v>700</v>
      </c>
      <c r="D199" s="37" t="s">
        <v>639</v>
      </c>
      <c r="E199" s="37" t="s">
        <v>647</v>
      </c>
      <c r="F199" s="37" t="s">
        <v>641</v>
      </c>
      <c r="G199" s="37" t="s">
        <v>648</v>
      </c>
      <c r="H199" s="37" t="s">
        <v>643</v>
      </c>
      <c r="I199" s="37" t="s">
        <v>430</v>
      </c>
      <c r="J199" s="37" t="s">
        <v>644</v>
      </c>
      <c r="K199" s="37" t="s">
        <v>14</v>
      </c>
      <c r="L199" s="47">
        <v>312046.99</v>
      </c>
      <c r="M199" s="47">
        <v>294383.98</v>
      </c>
      <c r="N199" s="47">
        <v>17663.01</v>
      </c>
      <c r="O199" s="37" t="s">
        <v>921</v>
      </c>
    </row>
    <row r="200" customHeight="1" spans="1:15">
      <c r="A200" s="37" t="s">
        <v>637</v>
      </c>
      <c r="B200" s="38">
        <v>45016</v>
      </c>
      <c r="C200" s="37" t="s">
        <v>700</v>
      </c>
      <c r="D200" s="37" t="s">
        <v>639</v>
      </c>
      <c r="E200" s="37" t="s">
        <v>647</v>
      </c>
      <c r="F200" s="37" t="s">
        <v>659</v>
      </c>
      <c r="G200" s="37" t="s">
        <v>642</v>
      </c>
      <c r="H200" s="37" t="s">
        <v>650</v>
      </c>
      <c r="I200" s="37" t="s">
        <v>442</v>
      </c>
      <c r="J200" s="37" t="s">
        <v>644</v>
      </c>
      <c r="K200" s="37" t="s">
        <v>14</v>
      </c>
      <c r="L200" s="47">
        <v>1994454.52</v>
      </c>
      <c r="M200" s="47">
        <v>1881560.85</v>
      </c>
      <c r="N200" s="47">
        <v>112893.67</v>
      </c>
      <c r="O200" s="37" t="s">
        <v>922</v>
      </c>
    </row>
    <row r="201" customHeight="1" spans="1:15">
      <c r="A201" s="37" t="s">
        <v>637</v>
      </c>
      <c r="B201" s="38">
        <v>45016</v>
      </c>
      <c r="C201" s="37" t="s">
        <v>700</v>
      </c>
      <c r="D201" s="37" t="s">
        <v>639</v>
      </c>
      <c r="E201" s="37" t="s">
        <v>640</v>
      </c>
      <c r="F201" s="37" t="s">
        <v>659</v>
      </c>
      <c r="G201" s="37" t="s">
        <v>642</v>
      </c>
      <c r="H201" s="37" t="s">
        <v>650</v>
      </c>
      <c r="I201" s="37" t="s">
        <v>442</v>
      </c>
      <c r="J201" s="37" t="s">
        <v>644</v>
      </c>
      <c r="K201" s="37" t="s">
        <v>14</v>
      </c>
      <c r="L201" s="47">
        <v>-248389.45</v>
      </c>
      <c r="M201" s="47">
        <v>-234329.67</v>
      </c>
      <c r="N201" s="47">
        <v>-14059.78</v>
      </c>
      <c r="O201" s="37" t="s">
        <v>923</v>
      </c>
    </row>
    <row r="202" customHeight="1" spans="1:15">
      <c r="A202" s="37" t="s">
        <v>637</v>
      </c>
      <c r="B202" s="38">
        <v>45016</v>
      </c>
      <c r="C202" s="37" t="s">
        <v>700</v>
      </c>
      <c r="D202" s="37" t="s">
        <v>639</v>
      </c>
      <c r="E202" s="37" t="s">
        <v>647</v>
      </c>
      <c r="F202" s="37" t="s">
        <v>641</v>
      </c>
      <c r="G202" s="37" t="s">
        <v>654</v>
      </c>
      <c r="H202" s="37" t="s">
        <v>643</v>
      </c>
      <c r="I202" s="37" t="s">
        <v>442</v>
      </c>
      <c r="J202" s="37" t="s">
        <v>644</v>
      </c>
      <c r="K202" s="37" t="s">
        <v>14</v>
      </c>
      <c r="L202" s="47">
        <v>747384</v>
      </c>
      <c r="M202" s="47">
        <v>705079.25</v>
      </c>
      <c r="N202" s="47">
        <v>42304.75</v>
      </c>
      <c r="O202" s="37" t="s">
        <v>924</v>
      </c>
    </row>
    <row r="203" customHeight="1" spans="1:15">
      <c r="A203" s="37" t="s">
        <v>637</v>
      </c>
      <c r="B203" s="38">
        <v>45016</v>
      </c>
      <c r="C203" s="37" t="s">
        <v>700</v>
      </c>
      <c r="D203" s="37" t="s">
        <v>639</v>
      </c>
      <c r="E203" s="37" t="s">
        <v>640</v>
      </c>
      <c r="F203" s="37" t="s">
        <v>641</v>
      </c>
      <c r="G203" s="37" t="s">
        <v>654</v>
      </c>
      <c r="H203" s="37" t="s">
        <v>650</v>
      </c>
      <c r="I203" s="37" t="s">
        <v>442</v>
      </c>
      <c r="J203" s="37" t="s">
        <v>644</v>
      </c>
      <c r="K203" s="37" t="s">
        <v>14</v>
      </c>
      <c r="L203" s="47">
        <v>-480000</v>
      </c>
      <c r="M203" s="47">
        <v>-452830.19</v>
      </c>
      <c r="N203" s="47">
        <v>-27169.81</v>
      </c>
      <c r="O203" s="37" t="s">
        <v>925</v>
      </c>
    </row>
    <row r="204" customHeight="1" spans="1:15">
      <c r="A204" s="37" t="s">
        <v>637</v>
      </c>
      <c r="B204" s="38">
        <v>45016</v>
      </c>
      <c r="C204" s="37" t="s">
        <v>700</v>
      </c>
      <c r="D204" s="37" t="s">
        <v>639</v>
      </c>
      <c r="E204" s="37" t="s">
        <v>647</v>
      </c>
      <c r="F204" s="37" t="s">
        <v>641</v>
      </c>
      <c r="G204" s="37" t="s">
        <v>648</v>
      </c>
      <c r="H204" s="37" t="s">
        <v>643</v>
      </c>
      <c r="I204" s="37" t="s">
        <v>442</v>
      </c>
      <c r="J204" s="37" t="s">
        <v>644</v>
      </c>
      <c r="K204" s="37" t="s">
        <v>14</v>
      </c>
      <c r="L204" s="47">
        <v>62355.57</v>
      </c>
      <c r="M204" s="47">
        <v>58826.01</v>
      </c>
      <c r="N204" s="47">
        <v>3529.56</v>
      </c>
      <c r="O204" s="37" t="s">
        <v>926</v>
      </c>
    </row>
    <row r="205" customHeight="1" spans="1:15">
      <c r="A205" s="37" t="s">
        <v>637</v>
      </c>
      <c r="B205" s="38">
        <v>45016</v>
      </c>
      <c r="C205" s="37" t="s">
        <v>700</v>
      </c>
      <c r="D205" s="37" t="s">
        <v>639</v>
      </c>
      <c r="E205" s="37" t="s">
        <v>640</v>
      </c>
      <c r="F205" s="37" t="s">
        <v>641</v>
      </c>
      <c r="G205" s="37" t="s">
        <v>654</v>
      </c>
      <c r="H205" s="37" t="s">
        <v>650</v>
      </c>
      <c r="I205" s="37" t="s">
        <v>442</v>
      </c>
      <c r="J205" s="37" t="s">
        <v>644</v>
      </c>
      <c r="K205" s="37" t="s">
        <v>14</v>
      </c>
      <c r="L205" s="47">
        <v>-257147.52</v>
      </c>
      <c r="M205" s="47">
        <v>-242592</v>
      </c>
      <c r="N205" s="47">
        <v>-14555.52</v>
      </c>
      <c r="O205" s="37" t="s">
        <v>927</v>
      </c>
    </row>
    <row r="206" customHeight="1" spans="1:15">
      <c r="A206" s="37" t="s">
        <v>637</v>
      </c>
      <c r="B206" s="38">
        <v>45016</v>
      </c>
      <c r="C206" s="37" t="s">
        <v>700</v>
      </c>
      <c r="D206" s="37" t="s">
        <v>639</v>
      </c>
      <c r="E206" s="37" t="s">
        <v>647</v>
      </c>
      <c r="F206" s="37" t="s">
        <v>641</v>
      </c>
      <c r="G206" s="37" t="s">
        <v>648</v>
      </c>
      <c r="H206" s="37" t="s">
        <v>650</v>
      </c>
      <c r="I206" s="37" t="s">
        <v>460</v>
      </c>
      <c r="J206" s="37" t="s">
        <v>644</v>
      </c>
      <c r="K206" s="37" t="s">
        <v>14</v>
      </c>
      <c r="L206" s="47">
        <v>348797.16</v>
      </c>
      <c r="M206" s="47">
        <v>329053.94</v>
      </c>
      <c r="N206" s="47">
        <v>19743.22</v>
      </c>
      <c r="O206" s="37" t="s">
        <v>928</v>
      </c>
    </row>
    <row r="207" customHeight="1" spans="1:15">
      <c r="A207" s="37" t="s">
        <v>637</v>
      </c>
      <c r="B207" s="38">
        <v>45016</v>
      </c>
      <c r="C207" s="37" t="s">
        <v>730</v>
      </c>
      <c r="D207" s="37" t="s">
        <v>653</v>
      </c>
      <c r="E207" s="37" t="s">
        <v>640</v>
      </c>
      <c r="F207" s="37" t="s">
        <v>659</v>
      </c>
      <c r="G207" s="37" t="s">
        <v>654</v>
      </c>
      <c r="H207" s="37" t="s">
        <v>650</v>
      </c>
      <c r="I207" s="37" t="s">
        <v>719</v>
      </c>
      <c r="J207" s="37" t="s">
        <v>656</v>
      </c>
      <c r="K207" s="37" t="s">
        <v>166</v>
      </c>
      <c r="L207" s="47">
        <v>1811.64</v>
      </c>
      <c r="M207" s="47">
        <v>1709.09</v>
      </c>
      <c r="N207" s="47">
        <v>102.55</v>
      </c>
      <c r="O207" s="37" t="s">
        <v>929</v>
      </c>
    </row>
    <row r="208" customHeight="1" spans="1:15">
      <c r="A208" s="37" t="s">
        <v>637</v>
      </c>
      <c r="B208" s="38">
        <v>45016</v>
      </c>
      <c r="C208" s="37" t="s">
        <v>710</v>
      </c>
      <c r="D208" s="37" t="s">
        <v>639</v>
      </c>
      <c r="E208" s="37" t="s">
        <v>640</v>
      </c>
      <c r="F208" s="37" t="s">
        <v>707</v>
      </c>
      <c r="G208" s="37" t="s">
        <v>648</v>
      </c>
      <c r="H208" s="37" t="s">
        <v>650</v>
      </c>
      <c r="I208" s="37" t="s">
        <v>723</v>
      </c>
      <c r="J208" s="37" t="s">
        <v>644</v>
      </c>
      <c r="K208" s="37" t="s">
        <v>165</v>
      </c>
      <c r="L208" s="47">
        <v>-56655</v>
      </c>
      <c r="M208" s="47">
        <v>-53448.11</v>
      </c>
      <c r="N208" s="47">
        <v>-3206.89</v>
      </c>
      <c r="O208" s="37" t="s">
        <v>930</v>
      </c>
    </row>
    <row r="209" customHeight="1" spans="1:15">
      <c r="A209" s="37" t="s">
        <v>637</v>
      </c>
      <c r="B209" s="38">
        <v>45016</v>
      </c>
      <c r="C209" s="37" t="s">
        <v>710</v>
      </c>
      <c r="D209" s="37" t="s">
        <v>682</v>
      </c>
      <c r="E209" s="37" t="s">
        <v>647</v>
      </c>
      <c r="F209" s="37" t="s">
        <v>641</v>
      </c>
      <c r="G209" s="37" t="s">
        <v>648</v>
      </c>
      <c r="H209" s="37" t="s">
        <v>650</v>
      </c>
      <c r="I209" s="37" t="s">
        <v>711</v>
      </c>
      <c r="J209" s="37" t="s">
        <v>656</v>
      </c>
      <c r="K209" s="37" t="s">
        <v>13</v>
      </c>
      <c r="L209" s="47">
        <v>54</v>
      </c>
      <c r="M209" s="47">
        <v>50.94</v>
      </c>
      <c r="N209" s="47">
        <v>3.06</v>
      </c>
      <c r="O209" s="37" t="s">
        <v>931</v>
      </c>
    </row>
    <row r="210" customHeight="1" spans="1:15">
      <c r="A210" s="37" t="s">
        <v>637</v>
      </c>
      <c r="B210" s="38">
        <v>45016</v>
      </c>
      <c r="C210" s="37" t="s">
        <v>715</v>
      </c>
      <c r="D210" s="37" t="s">
        <v>653</v>
      </c>
      <c r="E210" s="37" t="s">
        <v>640</v>
      </c>
      <c r="F210" s="37" t="s">
        <v>659</v>
      </c>
      <c r="G210" s="37" t="s">
        <v>654</v>
      </c>
      <c r="H210" s="37" t="s">
        <v>650</v>
      </c>
      <c r="I210" s="37" t="s">
        <v>716</v>
      </c>
      <c r="J210" s="37" t="s">
        <v>656</v>
      </c>
      <c r="K210" s="37" t="s">
        <v>166</v>
      </c>
      <c r="L210" s="47">
        <v>355.86</v>
      </c>
      <c r="M210" s="47">
        <v>335.72</v>
      </c>
      <c r="N210" s="47">
        <v>20.14</v>
      </c>
      <c r="O210" s="37" t="s">
        <v>932</v>
      </c>
    </row>
    <row r="211" customHeight="1" spans="1:15">
      <c r="A211" s="37" t="s">
        <v>637</v>
      </c>
      <c r="B211" s="38">
        <v>45016</v>
      </c>
      <c r="C211" s="37" t="s">
        <v>710</v>
      </c>
      <c r="D211" s="37" t="s">
        <v>639</v>
      </c>
      <c r="E211" s="37" t="s">
        <v>647</v>
      </c>
      <c r="F211" s="37" t="s">
        <v>707</v>
      </c>
      <c r="G211" s="37" t="s">
        <v>648</v>
      </c>
      <c r="H211" s="37" t="s">
        <v>650</v>
      </c>
      <c r="I211" s="37" t="s">
        <v>723</v>
      </c>
      <c r="J211" s="37" t="s">
        <v>644</v>
      </c>
      <c r="K211" s="37" t="s">
        <v>165</v>
      </c>
      <c r="L211" s="47">
        <v>994565</v>
      </c>
      <c r="M211" s="47">
        <v>938268.9</v>
      </c>
      <c r="N211" s="47">
        <v>56296.1</v>
      </c>
      <c r="O211" s="37" t="s">
        <v>933</v>
      </c>
    </row>
    <row r="212" customHeight="1" spans="1:15">
      <c r="A212" s="37" t="s">
        <v>637</v>
      </c>
      <c r="B212" s="38">
        <v>45016</v>
      </c>
      <c r="C212" s="37" t="s">
        <v>811</v>
      </c>
      <c r="D212" s="37" t="s">
        <v>639</v>
      </c>
      <c r="E212" s="37" t="s">
        <v>640</v>
      </c>
      <c r="F212" s="37" t="s">
        <v>641</v>
      </c>
      <c r="G212" s="37" t="s">
        <v>648</v>
      </c>
      <c r="H212" s="37" t="s">
        <v>643</v>
      </c>
      <c r="I212" s="37" t="s">
        <v>430</v>
      </c>
      <c r="J212" s="37" t="s">
        <v>644</v>
      </c>
      <c r="K212" s="37" t="s">
        <v>14</v>
      </c>
      <c r="L212" s="47">
        <v>393847.04</v>
      </c>
      <c r="M212" s="47">
        <v>371553.81</v>
      </c>
      <c r="N212" s="47">
        <v>22293.23</v>
      </c>
      <c r="O212" s="37" t="s">
        <v>934</v>
      </c>
    </row>
    <row r="213" customHeight="1" spans="1:15">
      <c r="A213" s="37" t="s">
        <v>637</v>
      </c>
      <c r="B213" s="38">
        <v>45016</v>
      </c>
      <c r="C213" s="37" t="s">
        <v>811</v>
      </c>
      <c r="D213" s="37" t="s">
        <v>639</v>
      </c>
      <c r="E213" s="37" t="s">
        <v>640</v>
      </c>
      <c r="F213" s="37" t="s">
        <v>641</v>
      </c>
      <c r="G213" s="37" t="s">
        <v>642</v>
      </c>
      <c r="H213" s="37" t="s">
        <v>643</v>
      </c>
      <c r="I213" s="37" t="s">
        <v>430</v>
      </c>
      <c r="J213" s="37" t="s">
        <v>644</v>
      </c>
      <c r="K213" s="37" t="s">
        <v>14</v>
      </c>
      <c r="L213" s="47">
        <v>196723.2</v>
      </c>
      <c r="M213" s="47">
        <v>185587.92</v>
      </c>
      <c r="N213" s="47">
        <v>11135.28</v>
      </c>
      <c r="O213" s="37" t="s">
        <v>935</v>
      </c>
    </row>
    <row r="214" customHeight="1" spans="1:15">
      <c r="A214" s="37" t="s">
        <v>637</v>
      </c>
      <c r="B214" s="38">
        <v>45016</v>
      </c>
      <c r="C214" s="37" t="s">
        <v>811</v>
      </c>
      <c r="D214" s="37" t="s">
        <v>653</v>
      </c>
      <c r="E214" s="37" t="s">
        <v>640</v>
      </c>
      <c r="F214" s="37" t="s">
        <v>641</v>
      </c>
      <c r="G214" s="37" t="s">
        <v>642</v>
      </c>
      <c r="H214" s="37" t="s">
        <v>650</v>
      </c>
      <c r="I214" s="37" t="s">
        <v>437</v>
      </c>
      <c r="J214" s="37" t="s">
        <v>656</v>
      </c>
      <c r="K214" s="37" t="s">
        <v>166</v>
      </c>
      <c r="L214" s="47">
        <v>-407136.65</v>
      </c>
      <c r="M214" s="47">
        <v>-384091.18</v>
      </c>
      <c r="N214" s="47">
        <v>-23045.47</v>
      </c>
      <c r="O214" s="37" t="s">
        <v>936</v>
      </c>
    </row>
    <row r="215" customHeight="1" spans="1:15">
      <c r="A215" s="37" t="s">
        <v>637</v>
      </c>
      <c r="B215" s="38">
        <v>45016</v>
      </c>
      <c r="C215" s="37" t="s">
        <v>811</v>
      </c>
      <c r="D215" s="37" t="s">
        <v>653</v>
      </c>
      <c r="E215" s="37" t="s">
        <v>640</v>
      </c>
      <c r="F215" s="37" t="s">
        <v>641</v>
      </c>
      <c r="G215" s="37" t="s">
        <v>642</v>
      </c>
      <c r="H215" s="37" t="s">
        <v>650</v>
      </c>
      <c r="I215" s="37" t="s">
        <v>437</v>
      </c>
      <c r="J215" s="37" t="s">
        <v>656</v>
      </c>
      <c r="K215" s="37" t="s">
        <v>166</v>
      </c>
      <c r="L215" s="47">
        <v>671993.1</v>
      </c>
      <c r="M215" s="47">
        <v>633955.75</v>
      </c>
      <c r="N215" s="47">
        <v>38037.35</v>
      </c>
      <c r="O215" s="37" t="s">
        <v>937</v>
      </c>
    </row>
    <row r="216" customHeight="1" spans="1:15">
      <c r="A216" s="37" t="s">
        <v>637</v>
      </c>
      <c r="B216" s="38">
        <v>45016</v>
      </c>
      <c r="C216" s="37" t="s">
        <v>748</v>
      </c>
      <c r="D216" s="37" t="s">
        <v>639</v>
      </c>
      <c r="E216" s="37" t="s">
        <v>640</v>
      </c>
      <c r="F216" s="37" t="s">
        <v>641</v>
      </c>
      <c r="G216" s="37" t="s">
        <v>642</v>
      </c>
      <c r="H216" s="37" t="s">
        <v>650</v>
      </c>
      <c r="I216" s="37" t="s">
        <v>444</v>
      </c>
      <c r="J216" s="37" t="s">
        <v>644</v>
      </c>
      <c r="K216" s="37" t="s">
        <v>14</v>
      </c>
      <c r="L216" s="47">
        <v>3556.65</v>
      </c>
      <c r="M216" s="47">
        <v>3355.33</v>
      </c>
      <c r="N216" s="47">
        <v>201.32</v>
      </c>
      <c r="O216" s="37" t="s">
        <v>938</v>
      </c>
    </row>
    <row r="217" customHeight="1" spans="1:15">
      <c r="A217" s="37" t="s">
        <v>637</v>
      </c>
      <c r="B217" s="38">
        <v>45016</v>
      </c>
      <c r="C217" s="37" t="s">
        <v>748</v>
      </c>
      <c r="D217" s="37" t="s">
        <v>639</v>
      </c>
      <c r="E217" s="37" t="s">
        <v>640</v>
      </c>
      <c r="F217" s="37" t="s">
        <v>689</v>
      </c>
      <c r="G217" s="37" t="s">
        <v>654</v>
      </c>
      <c r="H217" s="37" t="s">
        <v>650</v>
      </c>
      <c r="I217" s="37" t="s">
        <v>681</v>
      </c>
      <c r="J217" s="37" t="s">
        <v>656</v>
      </c>
      <c r="K217" s="37" t="s">
        <v>350</v>
      </c>
      <c r="L217" s="47">
        <v>20000</v>
      </c>
      <c r="M217" s="47">
        <v>18867.92</v>
      </c>
      <c r="N217" s="47">
        <v>1132.08</v>
      </c>
      <c r="O217" s="37" t="s">
        <v>939</v>
      </c>
    </row>
    <row r="218" customHeight="1" spans="1:15">
      <c r="A218" s="37" t="s">
        <v>637</v>
      </c>
      <c r="B218" s="38">
        <v>45016</v>
      </c>
      <c r="C218" s="37" t="s">
        <v>748</v>
      </c>
      <c r="D218" s="37" t="s">
        <v>653</v>
      </c>
      <c r="E218" s="37" t="s">
        <v>640</v>
      </c>
      <c r="F218" s="37" t="s">
        <v>659</v>
      </c>
      <c r="G218" s="37" t="s">
        <v>648</v>
      </c>
      <c r="H218" s="37" t="s">
        <v>650</v>
      </c>
      <c r="I218" s="37" t="s">
        <v>728</v>
      </c>
      <c r="J218" s="37" t="s">
        <v>656</v>
      </c>
      <c r="K218" s="37" t="s">
        <v>166</v>
      </c>
      <c r="L218" s="47">
        <v>-9209.26</v>
      </c>
      <c r="M218" s="47">
        <v>-8687.98</v>
      </c>
      <c r="N218" s="47">
        <v>-521.28</v>
      </c>
      <c r="O218" s="37" t="s">
        <v>940</v>
      </c>
    </row>
    <row r="219" customHeight="1" spans="1:15">
      <c r="A219" s="37" t="s">
        <v>637</v>
      </c>
      <c r="B219" s="38">
        <v>45016</v>
      </c>
      <c r="C219" s="37" t="s">
        <v>748</v>
      </c>
      <c r="D219" s="37" t="s">
        <v>639</v>
      </c>
      <c r="E219" s="37" t="s">
        <v>640</v>
      </c>
      <c r="F219" s="37" t="s">
        <v>749</v>
      </c>
      <c r="G219" s="37" t="s">
        <v>648</v>
      </c>
      <c r="H219" s="37" t="s">
        <v>697</v>
      </c>
      <c r="I219" s="37" t="s">
        <v>662</v>
      </c>
      <c r="J219" s="37" t="s">
        <v>644</v>
      </c>
      <c r="K219" s="37" t="s">
        <v>350</v>
      </c>
      <c r="L219" s="47">
        <v>16515.03</v>
      </c>
      <c r="M219" s="47">
        <v>15580.22</v>
      </c>
      <c r="N219" s="47">
        <v>934.81</v>
      </c>
      <c r="O219" s="37" t="s">
        <v>941</v>
      </c>
    </row>
    <row r="220" customHeight="1" spans="1:15">
      <c r="A220" s="37" t="s">
        <v>637</v>
      </c>
      <c r="B220" s="38">
        <v>45016</v>
      </c>
      <c r="C220" s="37" t="s">
        <v>748</v>
      </c>
      <c r="D220" s="37" t="s">
        <v>653</v>
      </c>
      <c r="E220" s="37" t="s">
        <v>640</v>
      </c>
      <c r="F220" s="37" t="s">
        <v>659</v>
      </c>
      <c r="G220" s="37" t="s">
        <v>642</v>
      </c>
      <c r="H220" s="37" t="s">
        <v>650</v>
      </c>
      <c r="I220" s="37" t="s">
        <v>429</v>
      </c>
      <c r="J220" s="37" t="s">
        <v>656</v>
      </c>
      <c r="K220" s="37" t="s">
        <v>166</v>
      </c>
      <c r="L220" s="47">
        <v>7515.61</v>
      </c>
      <c r="M220" s="47">
        <v>7090.2</v>
      </c>
      <c r="N220" s="47">
        <v>425.41</v>
      </c>
      <c r="O220" s="37" t="s">
        <v>942</v>
      </c>
    </row>
    <row r="221" customHeight="1" spans="1:15">
      <c r="A221" s="37" t="s">
        <v>637</v>
      </c>
      <c r="B221" s="38">
        <v>45016</v>
      </c>
      <c r="C221" s="37" t="s">
        <v>748</v>
      </c>
      <c r="D221" s="37" t="s">
        <v>653</v>
      </c>
      <c r="E221" s="37" t="s">
        <v>640</v>
      </c>
      <c r="F221" s="37" t="s">
        <v>659</v>
      </c>
      <c r="G221" s="37" t="s">
        <v>642</v>
      </c>
      <c r="H221" s="37" t="s">
        <v>650</v>
      </c>
      <c r="I221" s="37" t="s">
        <v>728</v>
      </c>
      <c r="J221" s="37" t="s">
        <v>656</v>
      </c>
      <c r="K221" s="37" t="s">
        <v>166</v>
      </c>
      <c r="L221" s="47">
        <v>1604.77</v>
      </c>
      <c r="M221" s="47">
        <v>1513.93</v>
      </c>
      <c r="N221" s="47">
        <v>90.84</v>
      </c>
      <c r="O221" s="37" t="s">
        <v>943</v>
      </c>
    </row>
    <row r="222" customHeight="1" spans="1:15">
      <c r="A222" s="37" t="s">
        <v>637</v>
      </c>
      <c r="B222" s="38">
        <v>45016</v>
      </c>
      <c r="C222" s="37" t="s">
        <v>748</v>
      </c>
      <c r="D222" s="37" t="s">
        <v>682</v>
      </c>
      <c r="E222" s="37" t="s">
        <v>640</v>
      </c>
      <c r="F222" s="37" t="s">
        <v>641</v>
      </c>
      <c r="G222" s="37" t="s">
        <v>642</v>
      </c>
      <c r="H222" s="37" t="s">
        <v>650</v>
      </c>
      <c r="I222" s="37" t="s">
        <v>742</v>
      </c>
      <c r="J222" s="37" t="s">
        <v>656</v>
      </c>
      <c r="K222" s="37" t="s">
        <v>13</v>
      </c>
      <c r="L222" s="47">
        <v>13052</v>
      </c>
      <c r="M222" s="47">
        <v>12313.21</v>
      </c>
      <c r="N222" s="47">
        <v>738.79</v>
      </c>
      <c r="O222" s="37" t="s">
        <v>944</v>
      </c>
    </row>
    <row r="223" customHeight="1" spans="1:15">
      <c r="A223" s="37" t="s">
        <v>637</v>
      </c>
      <c r="B223" s="38">
        <v>45016</v>
      </c>
      <c r="C223" s="37" t="s">
        <v>748</v>
      </c>
      <c r="D223" s="37" t="s">
        <v>639</v>
      </c>
      <c r="E223" s="37" t="s">
        <v>640</v>
      </c>
      <c r="F223" s="37" t="s">
        <v>707</v>
      </c>
      <c r="G223" s="37" t="s">
        <v>642</v>
      </c>
      <c r="H223" s="37" t="s">
        <v>650</v>
      </c>
      <c r="I223" s="37" t="s">
        <v>460</v>
      </c>
      <c r="J223" s="37" t="s">
        <v>644</v>
      </c>
      <c r="K223" s="37" t="s">
        <v>14</v>
      </c>
      <c r="L223" s="47">
        <v>-1050919.13</v>
      </c>
      <c r="M223" s="47">
        <v>-991433.14</v>
      </c>
      <c r="N223" s="47">
        <v>-59485.99</v>
      </c>
      <c r="O223" s="37" t="s">
        <v>945</v>
      </c>
    </row>
    <row r="224" customHeight="1" spans="1:15">
      <c r="A224" s="37" t="s">
        <v>637</v>
      </c>
      <c r="B224" s="38">
        <v>45016</v>
      </c>
      <c r="C224" s="37" t="s">
        <v>748</v>
      </c>
      <c r="D224" s="37" t="s">
        <v>639</v>
      </c>
      <c r="E224" s="37" t="s">
        <v>640</v>
      </c>
      <c r="F224" s="37" t="s">
        <v>641</v>
      </c>
      <c r="G224" s="37" t="s">
        <v>642</v>
      </c>
      <c r="H224" s="37" t="s">
        <v>650</v>
      </c>
      <c r="I224" s="37" t="s">
        <v>460</v>
      </c>
      <c r="J224" s="37" t="s">
        <v>644</v>
      </c>
      <c r="K224" s="37" t="s">
        <v>14</v>
      </c>
      <c r="L224" s="47">
        <v>1050684.8</v>
      </c>
      <c r="M224" s="47">
        <v>991212.08</v>
      </c>
      <c r="N224" s="47">
        <v>59472.72</v>
      </c>
      <c r="O224" s="37" t="s">
        <v>946</v>
      </c>
    </row>
    <row r="225" customHeight="1" spans="1:15">
      <c r="A225" s="37" t="s">
        <v>637</v>
      </c>
      <c r="B225" s="38">
        <v>45016</v>
      </c>
      <c r="C225" s="37" t="s">
        <v>748</v>
      </c>
      <c r="D225" s="37" t="s">
        <v>639</v>
      </c>
      <c r="E225" s="37" t="s">
        <v>640</v>
      </c>
      <c r="F225" s="37" t="s">
        <v>707</v>
      </c>
      <c r="G225" s="37" t="s">
        <v>648</v>
      </c>
      <c r="H225" s="37" t="s">
        <v>650</v>
      </c>
      <c r="I225" s="37" t="s">
        <v>754</v>
      </c>
      <c r="J225" s="37" t="s">
        <v>644</v>
      </c>
      <c r="K225" s="37" t="s">
        <v>14</v>
      </c>
      <c r="L225" s="47">
        <v>-93.04</v>
      </c>
      <c r="M225" s="47">
        <v>-87.77</v>
      </c>
      <c r="N225" s="47">
        <v>-5.27</v>
      </c>
      <c r="O225" s="37" t="s">
        <v>947</v>
      </c>
    </row>
    <row r="226" customHeight="1" spans="1:15">
      <c r="A226" s="37" t="s">
        <v>637</v>
      </c>
      <c r="B226" s="38">
        <v>45016</v>
      </c>
      <c r="C226" s="37" t="s">
        <v>748</v>
      </c>
      <c r="D226" s="37" t="s">
        <v>639</v>
      </c>
      <c r="E226" s="37" t="s">
        <v>640</v>
      </c>
      <c r="F226" s="37" t="s">
        <v>707</v>
      </c>
      <c r="G226" s="37" t="s">
        <v>642</v>
      </c>
      <c r="H226" s="37" t="s">
        <v>650</v>
      </c>
      <c r="I226" s="37" t="s">
        <v>429</v>
      </c>
      <c r="J226" s="37" t="s">
        <v>644</v>
      </c>
      <c r="K226" s="37" t="s">
        <v>165</v>
      </c>
      <c r="L226" s="47">
        <v>-13878.46</v>
      </c>
      <c r="M226" s="47">
        <v>-13092.89</v>
      </c>
      <c r="N226" s="47">
        <v>-785.57</v>
      </c>
      <c r="O226" s="37" t="s">
        <v>948</v>
      </c>
    </row>
    <row r="227" customHeight="1" spans="1:15">
      <c r="A227" s="37" t="s">
        <v>637</v>
      </c>
      <c r="B227" s="38">
        <v>45016</v>
      </c>
      <c r="C227" s="37" t="s">
        <v>748</v>
      </c>
      <c r="D227" s="37" t="s">
        <v>639</v>
      </c>
      <c r="E227" s="37" t="s">
        <v>640</v>
      </c>
      <c r="F227" s="37" t="s">
        <v>707</v>
      </c>
      <c r="G227" s="37" t="s">
        <v>642</v>
      </c>
      <c r="H227" s="37" t="s">
        <v>643</v>
      </c>
      <c r="I227" s="37" t="s">
        <v>429</v>
      </c>
      <c r="J227" s="37" t="s">
        <v>644</v>
      </c>
      <c r="K227" s="37" t="s">
        <v>14</v>
      </c>
      <c r="L227" s="47">
        <v>-27.31</v>
      </c>
      <c r="M227" s="47">
        <v>-25.76</v>
      </c>
      <c r="N227" s="47">
        <v>-1.55</v>
      </c>
      <c r="O227" s="37" t="s">
        <v>949</v>
      </c>
    </row>
    <row r="228" customHeight="1" spans="1:15">
      <c r="A228" s="37" t="s">
        <v>637</v>
      </c>
      <c r="B228" s="38">
        <v>45016</v>
      </c>
      <c r="C228" s="37" t="s">
        <v>748</v>
      </c>
      <c r="D228" s="37" t="s">
        <v>639</v>
      </c>
      <c r="E228" s="37" t="s">
        <v>640</v>
      </c>
      <c r="F228" s="37" t="s">
        <v>707</v>
      </c>
      <c r="G228" s="37" t="s">
        <v>648</v>
      </c>
      <c r="H228" s="37" t="s">
        <v>643</v>
      </c>
      <c r="I228" s="37" t="s">
        <v>429</v>
      </c>
      <c r="J228" s="37" t="s">
        <v>644</v>
      </c>
      <c r="K228" s="37" t="s">
        <v>14</v>
      </c>
      <c r="L228" s="47">
        <v>-2339579.36</v>
      </c>
      <c r="M228" s="47">
        <v>-2207150.34</v>
      </c>
      <c r="N228" s="47">
        <v>-132429.02</v>
      </c>
      <c r="O228" s="37" t="s">
        <v>950</v>
      </c>
    </row>
    <row r="229" customHeight="1" spans="1:15">
      <c r="A229" s="37" t="s">
        <v>637</v>
      </c>
      <c r="B229" s="38">
        <v>45016</v>
      </c>
      <c r="C229" s="37" t="s">
        <v>748</v>
      </c>
      <c r="D229" s="37" t="s">
        <v>639</v>
      </c>
      <c r="E229" s="37" t="s">
        <v>640</v>
      </c>
      <c r="F229" s="37" t="s">
        <v>707</v>
      </c>
      <c r="G229" s="37" t="s">
        <v>642</v>
      </c>
      <c r="H229" s="37" t="s">
        <v>643</v>
      </c>
      <c r="I229" s="37" t="s">
        <v>429</v>
      </c>
      <c r="J229" s="37" t="s">
        <v>644</v>
      </c>
      <c r="K229" s="37" t="s">
        <v>14</v>
      </c>
      <c r="L229" s="47">
        <v>1724.1</v>
      </c>
      <c r="M229" s="47">
        <v>1626.51</v>
      </c>
      <c r="N229" s="47">
        <v>97.59</v>
      </c>
      <c r="O229" s="37" t="s">
        <v>951</v>
      </c>
    </row>
    <row r="230" customHeight="1" spans="1:15">
      <c r="A230" s="37" t="s">
        <v>637</v>
      </c>
      <c r="B230" s="38">
        <v>45016</v>
      </c>
      <c r="C230" s="37" t="s">
        <v>748</v>
      </c>
      <c r="D230" s="37" t="s">
        <v>639</v>
      </c>
      <c r="E230" s="37" t="s">
        <v>640</v>
      </c>
      <c r="F230" s="37" t="s">
        <v>707</v>
      </c>
      <c r="G230" s="37" t="s">
        <v>648</v>
      </c>
      <c r="H230" s="37" t="s">
        <v>643</v>
      </c>
      <c r="I230" s="37" t="s">
        <v>429</v>
      </c>
      <c r="J230" s="37" t="s">
        <v>644</v>
      </c>
      <c r="K230" s="37" t="s">
        <v>14</v>
      </c>
      <c r="L230" s="47">
        <v>445309.37</v>
      </c>
      <c r="M230" s="47">
        <v>420103.18</v>
      </c>
      <c r="N230" s="47">
        <v>25206.19</v>
      </c>
      <c r="O230" s="37" t="s">
        <v>952</v>
      </c>
    </row>
    <row r="231" customHeight="1" spans="1:15">
      <c r="A231" s="37" t="s">
        <v>637</v>
      </c>
      <c r="B231" s="38">
        <v>45016</v>
      </c>
      <c r="C231" s="37" t="s">
        <v>748</v>
      </c>
      <c r="D231" s="37" t="s">
        <v>639</v>
      </c>
      <c r="E231" s="37" t="s">
        <v>640</v>
      </c>
      <c r="F231" s="37" t="s">
        <v>707</v>
      </c>
      <c r="G231" s="37" t="s">
        <v>642</v>
      </c>
      <c r="H231" s="37" t="s">
        <v>643</v>
      </c>
      <c r="I231" s="37" t="s">
        <v>429</v>
      </c>
      <c r="J231" s="37" t="s">
        <v>644</v>
      </c>
      <c r="K231" s="37" t="s">
        <v>14</v>
      </c>
      <c r="L231" s="47">
        <v>77815.59</v>
      </c>
      <c r="M231" s="47">
        <v>73410.93</v>
      </c>
      <c r="N231" s="47">
        <v>4404.66</v>
      </c>
      <c r="O231" s="37" t="s">
        <v>953</v>
      </c>
    </row>
    <row r="232" customHeight="1" spans="1:15">
      <c r="A232" s="37" t="s">
        <v>637</v>
      </c>
      <c r="B232" s="38">
        <v>45016</v>
      </c>
      <c r="C232" s="37" t="s">
        <v>748</v>
      </c>
      <c r="D232" s="37" t="s">
        <v>653</v>
      </c>
      <c r="E232" s="37" t="s">
        <v>640</v>
      </c>
      <c r="F232" s="37" t="s">
        <v>659</v>
      </c>
      <c r="G232" s="37" t="s">
        <v>642</v>
      </c>
      <c r="H232" s="37" t="s">
        <v>650</v>
      </c>
      <c r="I232" s="37" t="s">
        <v>728</v>
      </c>
      <c r="J232" s="37" t="s">
        <v>656</v>
      </c>
      <c r="K232" s="37" t="s">
        <v>166</v>
      </c>
      <c r="L232" s="47">
        <v>-1.94</v>
      </c>
      <c r="M232" s="47">
        <v>-1.83</v>
      </c>
      <c r="N232" s="47">
        <v>-0.11</v>
      </c>
      <c r="O232" s="37" t="s">
        <v>954</v>
      </c>
    </row>
    <row r="233" customHeight="1" spans="1:15">
      <c r="A233" s="37" t="s">
        <v>637</v>
      </c>
      <c r="B233" s="38">
        <v>45016</v>
      </c>
      <c r="C233" s="37" t="s">
        <v>748</v>
      </c>
      <c r="D233" s="37" t="s">
        <v>639</v>
      </c>
      <c r="E233" s="37" t="s">
        <v>640</v>
      </c>
      <c r="F233" s="37" t="s">
        <v>641</v>
      </c>
      <c r="G233" s="37" t="s">
        <v>648</v>
      </c>
      <c r="H233" s="37" t="s">
        <v>650</v>
      </c>
      <c r="I233" s="37" t="s">
        <v>447</v>
      </c>
      <c r="J233" s="37" t="s">
        <v>644</v>
      </c>
      <c r="K233" s="37" t="s">
        <v>14</v>
      </c>
      <c r="L233" s="47">
        <v>92577.97</v>
      </c>
      <c r="M233" s="47">
        <v>87337.71</v>
      </c>
      <c r="N233" s="47">
        <v>5240.26</v>
      </c>
      <c r="O233" s="37" t="s">
        <v>955</v>
      </c>
    </row>
    <row r="234" customHeight="1" spans="1:15">
      <c r="A234" s="37" t="s">
        <v>637</v>
      </c>
      <c r="B234" s="38">
        <v>45016</v>
      </c>
      <c r="C234" s="37" t="s">
        <v>748</v>
      </c>
      <c r="D234" s="37" t="s">
        <v>653</v>
      </c>
      <c r="E234" s="37" t="s">
        <v>640</v>
      </c>
      <c r="F234" s="37" t="s">
        <v>659</v>
      </c>
      <c r="G234" s="37" t="s">
        <v>648</v>
      </c>
      <c r="H234" s="37" t="s">
        <v>650</v>
      </c>
      <c r="I234" s="37" t="s">
        <v>757</v>
      </c>
      <c r="J234" s="37" t="s">
        <v>656</v>
      </c>
      <c r="K234" s="37" t="s">
        <v>14</v>
      </c>
      <c r="L234" s="47">
        <v>32777.1</v>
      </c>
      <c r="M234" s="47">
        <v>30921.79</v>
      </c>
      <c r="N234" s="47">
        <v>1855.31</v>
      </c>
      <c r="O234" s="37" t="s">
        <v>956</v>
      </c>
    </row>
    <row r="235" customHeight="1" spans="1:15">
      <c r="A235" s="37" t="s">
        <v>637</v>
      </c>
      <c r="B235" s="38">
        <v>45016</v>
      </c>
      <c r="C235" s="37" t="s">
        <v>748</v>
      </c>
      <c r="D235" s="37" t="s">
        <v>639</v>
      </c>
      <c r="E235" s="37" t="s">
        <v>640</v>
      </c>
      <c r="F235" s="37" t="s">
        <v>749</v>
      </c>
      <c r="G235" s="37" t="s">
        <v>642</v>
      </c>
      <c r="H235" s="37" t="s">
        <v>650</v>
      </c>
      <c r="I235" s="37" t="s">
        <v>779</v>
      </c>
      <c r="J235" s="37" t="s">
        <v>644</v>
      </c>
      <c r="K235" s="37" t="s">
        <v>14</v>
      </c>
      <c r="L235" s="47">
        <v>29475.33</v>
      </c>
      <c r="M235" s="47">
        <v>27806.92</v>
      </c>
      <c r="N235" s="47">
        <v>1668.41</v>
      </c>
      <c r="O235" s="37" t="s">
        <v>957</v>
      </c>
    </row>
    <row r="236" customHeight="1" spans="1:15">
      <c r="A236" s="37" t="s">
        <v>637</v>
      </c>
      <c r="B236" s="38">
        <v>45016</v>
      </c>
      <c r="C236" s="37" t="s">
        <v>748</v>
      </c>
      <c r="D236" s="37" t="s">
        <v>639</v>
      </c>
      <c r="E236" s="37" t="s">
        <v>640</v>
      </c>
      <c r="F236" s="37" t="s">
        <v>707</v>
      </c>
      <c r="G236" s="37" t="s">
        <v>648</v>
      </c>
      <c r="H236" s="37" t="s">
        <v>643</v>
      </c>
      <c r="I236" s="37" t="s">
        <v>429</v>
      </c>
      <c r="J236" s="37" t="s">
        <v>644</v>
      </c>
      <c r="K236" s="37" t="s">
        <v>14</v>
      </c>
      <c r="L236" s="47">
        <v>489654.86</v>
      </c>
      <c r="M236" s="47">
        <v>461938.55</v>
      </c>
      <c r="N236" s="47">
        <v>27716.31</v>
      </c>
      <c r="O236" s="37" t="s">
        <v>958</v>
      </c>
    </row>
    <row r="237" customHeight="1" spans="1:15">
      <c r="A237" s="37" t="s">
        <v>637</v>
      </c>
      <c r="B237" s="38">
        <v>45016</v>
      </c>
      <c r="C237" s="37" t="s">
        <v>748</v>
      </c>
      <c r="D237" s="37" t="s">
        <v>639</v>
      </c>
      <c r="E237" s="37" t="s">
        <v>640</v>
      </c>
      <c r="F237" s="37" t="s">
        <v>749</v>
      </c>
      <c r="G237" s="37" t="s">
        <v>648</v>
      </c>
      <c r="H237" s="37" t="s">
        <v>650</v>
      </c>
      <c r="I237" s="37" t="s">
        <v>779</v>
      </c>
      <c r="J237" s="37" t="s">
        <v>644</v>
      </c>
      <c r="K237" s="37" t="s">
        <v>14</v>
      </c>
      <c r="L237" s="47">
        <v>-150365.63</v>
      </c>
      <c r="M237" s="47">
        <v>-141854.37</v>
      </c>
      <c r="N237" s="47">
        <v>-8511.26</v>
      </c>
      <c r="O237" s="37" t="s">
        <v>959</v>
      </c>
    </row>
    <row r="238" customHeight="1" spans="1:15">
      <c r="A238" s="37" t="s">
        <v>637</v>
      </c>
      <c r="B238" s="38">
        <v>45016</v>
      </c>
      <c r="C238" s="37" t="s">
        <v>748</v>
      </c>
      <c r="D238" s="37" t="s">
        <v>653</v>
      </c>
      <c r="E238" s="37" t="s">
        <v>640</v>
      </c>
      <c r="F238" s="37" t="s">
        <v>659</v>
      </c>
      <c r="G238" s="37" t="s">
        <v>648</v>
      </c>
      <c r="H238" s="37" t="s">
        <v>650</v>
      </c>
      <c r="I238" s="37" t="s">
        <v>429</v>
      </c>
      <c r="J238" s="37" t="s">
        <v>656</v>
      </c>
      <c r="K238" s="37" t="s">
        <v>166</v>
      </c>
      <c r="L238" s="47">
        <v>390.56</v>
      </c>
      <c r="M238" s="47">
        <v>368.45</v>
      </c>
      <c r="N238" s="47">
        <v>22.11</v>
      </c>
      <c r="O238" s="37" t="s">
        <v>960</v>
      </c>
    </row>
    <row r="239" customHeight="1" spans="1:15">
      <c r="A239" s="37" t="s">
        <v>637</v>
      </c>
      <c r="B239" s="38">
        <v>45016</v>
      </c>
      <c r="C239" s="37" t="s">
        <v>748</v>
      </c>
      <c r="D239" s="37" t="s">
        <v>653</v>
      </c>
      <c r="E239" s="37" t="s">
        <v>640</v>
      </c>
      <c r="F239" s="37" t="s">
        <v>659</v>
      </c>
      <c r="G239" s="37" t="s">
        <v>642</v>
      </c>
      <c r="H239" s="37" t="s">
        <v>650</v>
      </c>
      <c r="I239" s="37" t="s">
        <v>429</v>
      </c>
      <c r="J239" s="37" t="s">
        <v>656</v>
      </c>
      <c r="K239" s="37" t="s">
        <v>166</v>
      </c>
      <c r="L239" s="47">
        <v>-7.06</v>
      </c>
      <c r="M239" s="47">
        <v>-6.66</v>
      </c>
      <c r="N239" s="47">
        <v>-0.4</v>
      </c>
      <c r="O239" s="37" t="s">
        <v>961</v>
      </c>
    </row>
    <row r="240" customHeight="1" spans="1:15">
      <c r="A240" s="37" t="s">
        <v>637</v>
      </c>
      <c r="B240" s="38">
        <v>45016</v>
      </c>
      <c r="C240" s="37" t="s">
        <v>748</v>
      </c>
      <c r="D240" s="37" t="s">
        <v>653</v>
      </c>
      <c r="E240" s="37" t="s">
        <v>640</v>
      </c>
      <c r="F240" s="37" t="s">
        <v>659</v>
      </c>
      <c r="G240" s="37" t="s">
        <v>648</v>
      </c>
      <c r="H240" s="37" t="s">
        <v>650</v>
      </c>
      <c r="I240" s="37" t="s">
        <v>720</v>
      </c>
      <c r="J240" s="37" t="s">
        <v>656</v>
      </c>
      <c r="K240" s="37" t="s">
        <v>166</v>
      </c>
      <c r="L240" s="47">
        <v>5922</v>
      </c>
      <c r="M240" s="47">
        <v>5586.79</v>
      </c>
      <c r="N240" s="47">
        <v>335.21</v>
      </c>
      <c r="O240" s="37" t="s">
        <v>962</v>
      </c>
    </row>
    <row r="241" customHeight="1" spans="1:15">
      <c r="A241" s="37" t="s">
        <v>637</v>
      </c>
      <c r="B241" s="38">
        <v>45016</v>
      </c>
      <c r="C241" s="37" t="s">
        <v>748</v>
      </c>
      <c r="D241" s="37" t="s">
        <v>653</v>
      </c>
      <c r="E241" s="37" t="s">
        <v>640</v>
      </c>
      <c r="F241" s="37" t="s">
        <v>659</v>
      </c>
      <c r="G241" s="37" t="s">
        <v>642</v>
      </c>
      <c r="H241" s="37" t="s">
        <v>650</v>
      </c>
      <c r="I241" s="37" t="s">
        <v>728</v>
      </c>
      <c r="J241" s="37" t="s">
        <v>656</v>
      </c>
      <c r="K241" s="37" t="s">
        <v>166</v>
      </c>
      <c r="L241" s="47">
        <v>10393.52</v>
      </c>
      <c r="M241" s="47">
        <v>9805.21</v>
      </c>
      <c r="N241" s="47">
        <v>588.31</v>
      </c>
      <c r="O241" s="37" t="s">
        <v>963</v>
      </c>
    </row>
    <row r="242" customHeight="1" spans="1:15">
      <c r="A242" s="37" t="s">
        <v>637</v>
      </c>
      <c r="B242" s="38">
        <v>45016</v>
      </c>
      <c r="C242" s="37" t="s">
        <v>748</v>
      </c>
      <c r="D242" s="37" t="s">
        <v>653</v>
      </c>
      <c r="E242" s="37" t="s">
        <v>640</v>
      </c>
      <c r="F242" s="37" t="s">
        <v>641</v>
      </c>
      <c r="G242" s="37" t="s">
        <v>642</v>
      </c>
      <c r="H242" s="37" t="s">
        <v>643</v>
      </c>
      <c r="I242" s="37" t="s">
        <v>728</v>
      </c>
      <c r="J242" s="37" t="s">
        <v>644</v>
      </c>
      <c r="K242" s="37" t="s">
        <v>166</v>
      </c>
      <c r="L242" s="47">
        <v>2269.27</v>
      </c>
      <c r="M242" s="47">
        <v>2140.82</v>
      </c>
      <c r="N242" s="47">
        <v>128.45</v>
      </c>
      <c r="O242" s="37" t="s">
        <v>964</v>
      </c>
    </row>
    <row r="243" customHeight="1" spans="1:15">
      <c r="A243" s="37" t="s">
        <v>637</v>
      </c>
      <c r="B243" s="38">
        <v>45016</v>
      </c>
      <c r="C243" s="37" t="s">
        <v>748</v>
      </c>
      <c r="D243" s="37" t="s">
        <v>639</v>
      </c>
      <c r="E243" s="37" t="s">
        <v>640</v>
      </c>
      <c r="F243" s="37" t="s">
        <v>641</v>
      </c>
      <c r="G243" s="37" t="s">
        <v>642</v>
      </c>
      <c r="H243" s="37" t="s">
        <v>643</v>
      </c>
      <c r="I243" s="37" t="s">
        <v>430</v>
      </c>
      <c r="J243" s="37" t="s">
        <v>644</v>
      </c>
      <c r="K243" s="37" t="s">
        <v>14</v>
      </c>
      <c r="L243" s="47">
        <v>-100617.23</v>
      </c>
      <c r="M243" s="47">
        <v>-94921.92</v>
      </c>
      <c r="N243" s="47">
        <v>-5695.31</v>
      </c>
      <c r="O243" s="37" t="s">
        <v>965</v>
      </c>
    </row>
    <row r="244" customHeight="1" spans="1:15">
      <c r="A244" s="37" t="s">
        <v>637</v>
      </c>
      <c r="B244" s="38">
        <v>45016</v>
      </c>
      <c r="C244" s="37" t="s">
        <v>748</v>
      </c>
      <c r="D244" s="37" t="s">
        <v>639</v>
      </c>
      <c r="E244" s="37" t="s">
        <v>640</v>
      </c>
      <c r="F244" s="37" t="s">
        <v>641</v>
      </c>
      <c r="G244" s="37" t="s">
        <v>648</v>
      </c>
      <c r="H244" s="37" t="s">
        <v>643</v>
      </c>
      <c r="I244" s="37" t="s">
        <v>430</v>
      </c>
      <c r="J244" s="37" t="s">
        <v>644</v>
      </c>
      <c r="K244" s="37" t="s">
        <v>14</v>
      </c>
      <c r="L244" s="47">
        <v>900823.78</v>
      </c>
      <c r="M244" s="47">
        <v>849833.75</v>
      </c>
      <c r="N244" s="47">
        <v>50990.03</v>
      </c>
      <c r="O244" s="37" t="s">
        <v>966</v>
      </c>
    </row>
    <row r="245" customHeight="1" spans="1:15">
      <c r="A245" s="37" t="s">
        <v>637</v>
      </c>
      <c r="B245" s="38">
        <v>45016</v>
      </c>
      <c r="C245" s="37" t="s">
        <v>748</v>
      </c>
      <c r="D245" s="37" t="s">
        <v>653</v>
      </c>
      <c r="E245" s="37" t="s">
        <v>640</v>
      </c>
      <c r="F245" s="37" t="s">
        <v>659</v>
      </c>
      <c r="G245" s="37" t="s">
        <v>642</v>
      </c>
      <c r="H245" s="37" t="s">
        <v>650</v>
      </c>
      <c r="I245" s="37" t="s">
        <v>429</v>
      </c>
      <c r="J245" s="37" t="s">
        <v>656</v>
      </c>
      <c r="K245" s="37" t="s">
        <v>166</v>
      </c>
      <c r="L245" s="47">
        <v>4571.47</v>
      </c>
      <c r="M245" s="47">
        <v>4312.71</v>
      </c>
      <c r="N245" s="47">
        <v>258.76</v>
      </c>
      <c r="O245" s="37" t="s">
        <v>967</v>
      </c>
    </row>
    <row r="246" customHeight="1" spans="1:15">
      <c r="A246" s="37" t="s">
        <v>637</v>
      </c>
      <c r="B246" s="38">
        <v>45016</v>
      </c>
      <c r="C246" s="37" t="s">
        <v>748</v>
      </c>
      <c r="D246" s="37" t="s">
        <v>639</v>
      </c>
      <c r="E246" s="37" t="s">
        <v>640</v>
      </c>
      <c r="F246" s="37" t="s">
        <v>641</v>
      </c>
      <c r="G246" s="37" t="s">
        <v>642</v>
      </c>
      <c r="H246" s="37" t="s">
        <v>650</v>
      </c>
      <c r="I246" s="37" t="s">
        <v>436</v>
      </c>
      <c r="J246" s="37" t="s">
        <v>644</v>
      </c>
      <c r="K246" s="37" t="s">
        <v>350</v>
      </c>
      <c r="L246" s="47">
        <v>4.8</v>
      </c>
      <c r="M246" s="47">
        <v>4.53</v>
      </c>
      <c r="N246" s="47">
        <v>0.27</v>
      </c>
      <c r="O246" s="37" t="s">
        <v>968</v>
      </c>
    </row>
    <row r="247" customHeight="1" spans="1:15">
      <c r="A247" s="37" t="s">
        <v>637</v>
      </c>
      <c r="B247" s="38">
        <v>45016</v>
      </c>
      <c r="C247" s="37" t="s">
        <v>748</v>
      </c>
      <c r="D247" s="37" t="s">
        <v>639</v>
      </c>
      <c r="E247" s="37" t="s">
        <v>647</v>
      </c>
      <c r="F247" s="37" t="s">
        <v>641</v>
      </c>
      <c r="G247" s="37" t="s">
        <v>642</v>
      </c>
      <c r="H247" s="37" t="s">
        <v>650</v>
      </c>
      <c r="I247" s="37" t="s">
        <v>436</v>
      </c>
      <c r="J247" s="37" t="s">
        <v>644</v>
      </c>
      <c r="K247" s="37" t="s">
        <v>350</v>
      </c>
      <c r="L247" s="47">
        <v>38620</v>
      </c>
      <c r="M247" s="47">
        <v>36433.95</v>
      </c>
      <c r="N247" s="47">
        <v>2186.05</v>
      </c>
      <c r="O247" s="37" t="s">
        <v>969</v>
      </c>
    </row>
    <row r="248" customHeight="1" spans="1:15">
      <c r="A248" s="37" t="s">
        <v>637</v>
      </c>
      <c r="B248" s="38">
        <v>45016</v>
      </c>
      <c r="C248" s="37" t="s">
        <v>748</v>
      </c>
      <c r="D248" s="37" t="s">
        <v>639</v>
      </c>
      <c r="E248" s="37" t="s">
        <v>647</v>
      </c>
      <c r="F248" s="37" t="s">
        <v>749</v>
      </c>
      <c r="G248" s="37" t="s">
        <v>642</v>
      </c>
      <c r="H248" s="37" t="s">
        <v>650</v>
      </c>
      <c r="I248" s="37" t="s">
        <v>779</v>
      </c>
      <c r="J248" s="37" t="s">
        <v>644</v>
      </c>
      <c r="K248" s="37" t="s">
        <v>14</v>
      </c>
      <c r="L248" s="47">
        <v>284.25</v>
      </c>
      <c r="M248" s="47">
        <v>268.17</v>
      </c>
      <c r="N248" s="47">
        <v>16.08</v>
      </c>
      <c r="O248" s="37" t="s">
        <v>970</v>
      </c>
    </row>
    <row r="249" customHeight="1" spans="1:15">
      <c r="A249" s="37" t="s">
        <v>637</v>
      </c>
      <c r="B249" s="38">
        <v>45016</v>
      </c>
      <c r="C249" s="37" t="s">
        <v>748</v>
      </c>
      <c r="D249" s="37" t="s">
        <v>639</v>
      </c>
      <c r="E249" s="37" t="s">
        <v>647</v>
      </c>
      <c r="F249" s="37" t="s">
        <v>689</v>
      </c>
      <c r="G249" s="37" t="s">
        <v>654</v>
      </c>
      <c r="H249" s="37" t="s">
        <v>697</v>
      </c>
      <c r="I249" s="37" t="s">
        <v>669</v>
      </c>
      <c r="J249" s="37" t="s">
        <v>656</v>
      </c>
      <c r="K249" s="37" t="s">
        <v>350</v>
      </c>
      <c r="L249" s="47">
        <v>9000</v>
      </c>
      <c r="M249" s="47">
        <v>8490.57</v>
      </c>
      <c r="N249" s="47">
        <v>509.43</v>
      </c>
      <c r="O249" s="37" t="s">
        <v>971</v>
      </c>
    </row>
    <row r="250" customHeight="1" spans="1:15">
      <c r="A250" s="37" t="s">
        <v>637</v>
      </c>
      <c r="B250" s="38">
        <v>45016</v>
      </c>
      <c r="C250" s="37" t="s">
        <v>748</v>
      </c>
      <c r="D250" s="37" t="s">
        <v>639</v>
      </c>
      <c r="E250" s="37" t="s">
        <v>647</v>
      </c>
      <c r="F250" s="37" t="s">
        <v>707</v>
      </c>
      <c r="G250" s="37" t="s">
        <v>642</v>
      </c>
      <c r="H250" s="37" t="s">
        <v>650</v>
      </c>
      <c r="I250" s="37" t="s">
        <v>429</v>
      </c>
      <c r="J250" s="37" t="s">
        <v>644</v>
      </c>
      <c r="K250" s="37" t="s">
        <v>165</v>
      </c>
      <c r="L250" s="47">
        <v>1005997.44</v>
      </c>
      <c r="M250" s="47">
        <v>949054.18</v>
      </c>
      <c r="N250" s="47">
        <v>56943.26</v>
      </c>
      <c r="O250" s="37" t="s">
        <v>972</v>
      </c>
    </row>
    <row r="251" customHeight="1" spans="1:15">
      <c r="A251" s="37" t="s">
        <v>637</v>
      </c>
      <c r="B251" s="38">
        <v>45016</v>
      </c>
      <c r="C251" s="37" t="s">
        <v>748</v>
      </c>
      <c r="D251" s="37" t="s">
        <v>639</v>
      </c>
      <c r="E251" s="37" t="s">
        <v>647</v>
      </c>
      <c r="F251" s="37" t="s">
        <v>707</v>
      </c>
      <c r="G251" s="37" t="s">
        <v>654</v>
      </c>
      <c r="H251" s="37" t="s">
        <v>697</v>
      </c>
      <c r="I251" s="37" t="s">
        <v>782</v>
      </c>
      <c r="J251" s="37" t="s">
        <v>644</v>
      </c>
      <c r="K251" s="37" t="s">
        <v>14</v>
      </c>
      <c r="L251" s="47">
        <v>6666.67</v>
      </c>
      <c r="M251" s="47">
        <v>6289.31</v>
      </c>
      <c r="N251" s="47">
        <v>377.36</v>
      </c>
      <c r="O251" s="37" t="s">
        <v>973</v>
      </c>
    </row>
    <row r="252" customHeight="1" spans="1:15">
      <c r="A252" s="37" t="s">
        <v>637</v>
      </c>
      <c r="B252" s="38">
        <v>45016</v>
      </c>
      <c r="C252" s="37" t="s">
        <v>748</v>
      </c>
      <c r="D252" s="37" t="s">
        <v>639</v>
      </c>
      <c r="E252" s="37" t="s">
        <v>647</v>
      </c>
      <c r="F252" s="37" t="s">
        <v>749</v>
      </c>
      <c r="G252" s="37" t="s">
        <v>654</v>
      </c>
      <c r="H252" s="37" t="s">
        <v>650</v>
      </c>
      <c r="I252" s="37" t="s">
        <v>652</v>
      </c>
      <c r="J252" s="37" t="s">
        <v>644</v>
      </c>
      <c r="K252" s="37" t="s">
        <v>350</v>
      </c>
      <c r="L252" s="47">
        <v>281285</v>
      </c>
      <c r="M252" s="47">
        <v>265363.21</v>
      </c>
      <c r="N252" s="47">
        <v>15921.79</v>
      </c>
      <c r="O252" s="37" t="s">
        <v>974</v>
      </c>
    </row>
    <row r="253" customHeight="1" spans="1:15">
      <c r="A253" s="37" t="s">
        <v>637</v>
      </c>
      <c r="B253" s="38">
        <v>45016</v>
      </c>
      <c r="C253" s="37" t="s">
        <v>748</v>
      </c>
      <c r="D253" s="37" t="s">
        <v>639</v>
      </c>
      <c r="E253" s="37" t="s">
        <v>647</v>
      </c>
      <c r="F253" s="37" t="s">
        <v>689</v>
      </c>
      <c r="G253" s="37" t="s">
        <v>654</v>
      </c>
      <c r="H253" s="37" t="s">
        <v>697</v>
      </c>
      <c r="I253" s="37" t="s">
        <v>665</v>
      </c>
      <c r="J253" s="37" t="s">
        <v>656</v>
      </c>
      <c r="K253" s="37" t="s">
        <v>350</v>
      </c>
      <c r="L253" s="47">
        <v>1296.25</v>
      </c>
      <c r="M253" s="47">
        <v>1222.88</v>
      </c>
      <c r="N253" s="47">
        <v>73.37</v>
      </c>
      <c r="O253" s="37" t="s">
        <v>975</v>
      </c>
    </row>
    <row r="254" customHeight="1" spans="1:15">
      <c r="A254" s="37" t="s">
        <v>637</v>
      </c>
      <c r="B254" s="38">
        <v>45016</v>
      </c>
      <c r="C254" s="37" t="s">
        <v>748</v>
      </c>
      <c r="D254" s="37" t="s">
        <v>639</v>
      </c>
      <c r="E254" s="37" t="s">
        <v>647</v>
      </c>
      <c r="F254" s="37" t="s">
        <v>641</v>
      </c>
      <c r="G254" s="37" t="s">
        <v>654</v>
      </c>
      <c r="H254" s="37" t="s">
        <v>650</v>
      </c>
      <c r="I254" s="37" t="s">
        <v>776</v>
      </c>
      <c r="J254" s="37" t="s">
        <v>644</v>
      </c>
      <c r="K254" s="37" t="s">
        <v>14</v>
      </c>
      <c r="L254" s="47">
        <v>350000</v>
      </c>
      <c r="M254" s="47">
        <v>330188.68</v>
      </c>
      <c r="N254" s="47">
        <v>19811.32</v>
      </c>
      <c r="O254" s="37" t="s">
        <v>976</v>
      </c>
    </row>
    <row r="255" customHeight="1" spans="1:15">
      <c r="A255" s="37" t="s">
        <v>637</v>
      </c>
      <c r="B255" s="38">
        <v>45016</v>
      </c>
      <c r="C255" s="37" t="s">
        <v>748</v>
      </c>
      <c r="D255" s="37" t="s">
        <v>639</v>
      </c>
      <c r="E255" s="37" t="s">
        <v>647</v>
      </c>
      <c r="F255" s="37" t="s">
        <v>749</v>
      </c>
      <c r="G255" s="37" t="s">
        <v>648</v>
      </c>
      <c r="H255" s="37" t="s">
        <v>650</v>
      </c>
      <c r="I255" s="37" t="s">
        <v>461</v>
      </c>
      <c r="J255" s="37" t="s">
        <v>644</v>
      </c>
      <c r="K255" s="37" t="s">
        <v>14</v>
      </c>
      <c r="L255" s="47">
        <v>84483.5</v>
      </c>
      <c r="M255" s="47">
        <v>79701.43</v>
      </c>
      <c r="N255" s="47">
        <v>4782.07</v>
      </c>
      <c r="O255" s="37" t="s">
        <v>977</v>
      </c>
    </row>
    <row r="256" customHeight="1" spans="1:15">
      <c r="A256" s="37" t="s">
        <v>637</v>
      </c>
      <c r="B256" s="38">
        <v>45016</v>
      </c>
      <c r="C256" s="37" t="s">
        <v>748</v>
      </c>
      <c r="D256" s="37" t="s">
        <v>639</v>
      </c>
      <c r="E256" s="37" t="s">
        <v>647</v>
      </c>
      <c r="F256" s="37" t="s">
        <v>689</v>
      </c>
      <c r="G256" s="37" t="s">
        <v>654</v>
      </c>
      <c r="H256" s="37" t="s">
        <v>650</v>
      </c>
      <c r="I256" s="37" t="s">
        <v>664</v>
      </c>
      <c r="J256" s="37" t="s">
        <v>656</v>
      </c>
      <c r="K256" s="37" t="s">
        <v>350</v>
      </c>
      <c r="L256" s="47">
        <v>20058.5</v>
      </c>
      <c r="M256" s="47">
        <v>18923.09</v>
      </c>
      <c r="N256" s="47">
        <v>1135.41</v>
      </c>
      <c r="O256" s="37" t="s">
        <v>978</v>
      </c>
    </row>
    <row r="257" customHeight="1" spans="1:15">
      <c r="A257" s="37" t="s">
        <v>637</v>
      </c>
      <c r="B257" s="38">
        <v>45016</v>
      </c>
      <c r="C257" s="37" t="s">
        <v>748</v>
      </c>
      <c r="D257" s="37" t="s">
        <v>639</v>
      </c>
      <c r="E257" s="37" t="s">
        <v>647</v>
      </c>
      <c r="F257" s="37" t="s">
        <v>641</v>
      </c>
      <c r="G257" s="37" t="s">
        <v>642</v>
      </c>
      <c r="H257" s="37" t="s">
        <v>650</v>
      </c>
      <c r="I257" s="37" t="s">
        <v>430</v>
      </c>
      <c r="J257" s="37" t="s">
        <v>644</v>
      </c>
      <c r="K257" s="37" t="s">
        <v>14</v>
      </c>
      <c r="L257" s="47">
        <v>83084.76</v>
      </c>
      <c r="M257" s="47">
        <v>78381.87</v>
      </c>
      <c r="N257" s="47">
        <v>4702.89</v>
      </c>
      <c r="O257" s="37" t="s">
        <v>979</v>
      </c>
    </row>
    <row r="258" customHeight="1" spans="1:15">
      <c r="A258" s="37" t="s">
        <v>637</v>
      </c>
      <c r="B258" s="38">
        <v>45016</v>
      </c>
      <c r="C258" s="37" t="s">
        <v>748</v>
      </c>
      <c r="D258" s="37" t="s">
        <v>639</v>
      </c>
      <c r="E258" s="37" t="s">
        <v>647</v>
      </c>
      <c r="F258" s="37" t="s">
        <v>749</v>
      </c>
      <c r="G258" s="37" t="s">
        <v>648</v>
      </c>
      <c r="H258" s="37" t="s">
        <v>643</v>
      </c>
      <c r="I258" s="37" t="s">
        <v>779</v>
      </c>
      <c r="J258" s="37" t="s">
        <v>644</v>
      </c>
      <c r="K258" s="37" t="s">
        <v>14</v>
      </c>
      <c r="L258" s="47">
        <v>295751.71</v>
      </c>
      <c r="M258" s="47">
        <v>279011.04</v>
      </c>
      <c r="N258" s="47">
        <v>16740.67</v>
      </c>
      <c r="O258" s="37" t="s">
        <v>980</v>
      </c>
    </row>
    <row r="259" customHeight="1" spans="1:15">
      <c r="A259" s="37" t="s">
        <v>637</v>
      </c>
      <c r="B259" s="38">
        <v>45016</v>
      </c>
      <c r="C259" s="37" t="s">
        <v>748</v>
      </c>
      <c r="D259" s="37" t="s">
        <v>639</v>
      </c>
      <c r="E259" s="37" t="s">
        <v>647</v>
      </c>
      <c r="F259" s="37" t="s">
        <v>707</v>
      </c>
      <c r="G259" s="37" t="s">
        <v>642</v>
      </c>
      <c r="H259" s="37" t="s">
        <v>650</v>
      </c>
      <c r="I259" s="37" t="s">
        <v>429</v>
      </c>
      <c r="J259" s="37" t="s">
        <v>644</v>
      </c>
      <c r="K259" s="37" t="s">
        <v>14</v>
      </c>
      <c r="L259" s="47">
        <v>1878417</v>
      </c>
      <c r="M259" s="47">
        <v>1772091.5</v>
      </c>
      <c r="N259" s="47">
        <v>106325.5</v>
      </c>
      <c r="O259" s="37" t="s">
        <v>981</v>
      </c>
    </row>
    <row r="260" customHeight="1" spans="1:15">
      <c r="A260" s="37" t="s">
        <v>637</v>
      </c>
      <c r="B260" s="38">
        <v>45016</v>
      </c>
      <c r="C260" s="37" t="s">
        <v>748</v>
      </c>
      <c r="D260" s="37" t="s">
        <v>639</v>
      </c>
      <c r="E260" s="37" t="s">
        <v>647</v>
      </c>
      <c r="F260" s="37" t="s">
        <v>641</v>
      </c>
      <c r="G260" s="37" t="s">
        <v>648</v>
      </c>
      <c r="H260" s="37" t="s">
        <v>643</v>
      </c>
      <c r="I260" s="37" t="s">
        <v>430</v>
      </c>
      <c r="J260" s="37" t="s">
        <v>644</v>
      </c>
      <c r="K260" s="37" t="s">
        <v>14</v>
      </c>
      <c r="L260" s="47">
        <v>1894438.01</v>
      </c>
      <c r="M260" s="47">
        <v>1787205.66</v>
      </c>
      <c r="N260" s="47">
        <v>107232.35</v>
      </c>
      <c r="O260" s="37" t="s">
        <v>982</v>
      </c>
    </row>
    <row r="261" customHeight="1" spans="1:15">
      <c r="A261" s="37" t="s">
        <v>637</v>
      </c>
      <c r="B261" s="38">
        <v>45016</v>
      </c>
      <c r="C261" s="37" t="s">
        <v>748</v>
      </c>
      <c r="D261" s="37" t="s">
        <v>639</v>
      </c>
      <c r="E261" s="37" t="s">
        <v>647</v>
      </c>
      <c r="F261" s="37" t="s">
        <v>707</v>
      </c>
      <c r="G261" s="37" t="s">
        <v>642</v>
      </c>
      <c r="H261" s="37" t="s">
        <v>650</v>
      </c>
      <c r="I261" s="37" t="s">
        <v>429</v>
      </c>
      <c r="J261" s="37" t="s">
        <v>644</v>
      </c>
      <c r="K261" s="37" t="s">
        <v>14</v>
      </c>
      <c r="L261" s="47">
        <v>127683.5</v>
      </c>
      <c r="M261" s="47">
        <v>120456.13</v>
      </c>
      <c r="N261" s="47">
        <v>7227.37</v>
      </c>
      <c r="O261" s="37" t="s">
        <v>983</v>
      </c>
    </row>
    <row r="262" customHeight="1" spans="1:15">
      <c r="A262" s="37" t="s">
        <v>637</v>
      </c>
      <c r="B262" s="38">
        <v>45016</v>
      </c>
      <c r="C262" s="37" t="s">
        <v>748</v>
      </c>
      <c r="D262" s="37" t="s">
        <v>639</v>
      </c>
      <c r="E262" s="37" t="s">
        <v>647</v>
      </c>
      <c r="F262" s="37" t="s">
        <v>749</v>
      </c>
      <c r="G262" s="37" t="s">
        <v>648</v>
      </c>
      <c r="H262" s="37" t="s">
        <v>650</v>
      </c>
      <c r="I262" s="37" t="s">
        <v>461</v>
      </c>
      <c r="J262" s="37" t="s">
        <v>644</v>
      </c>
      <c r="K262" s="37" t="s">
        <v>14</v>
      </c>
      <c r="L262" s="47">
        <v>182491.1</v>
      </c>
      <c r="M262" s="47">
        <v>172161.41</v>
      </c>
      <c r="N262" s="47">
        <v>10329.69</v>
      </c>
      <c r="O262" s="37" t="s">
        <v>984</v>
      </c>
    </row>
    <row r="263" customHeight="1" spans="1:15">
      <c r="A263" s="37" t="s">
        <v>637</v>
      </c>
      <c r="B263" s="38">
        <v>45016</v>
      </c>
      <c r="C263" s="37" t="s">
        <v>748</v>
      </c>
      <c r="D263" s="37" t="s">
        <v>639</v>
      </c>
      <c r="E263" s="37" t="s">
        <v>647</v>
      </c>
      <c r="F263" s="37" t="s">
        <v>641</v>
      </c>
      <c r="G263" s="37" t="s">
        <v>648</v>
      </c>
      <c r="H263" s="37" t="s">
        <v>697</v>
      </c>
      <c r="I263" s="37" t="s">
        <v>441</v>
      </c>
      <c r="J263" s="37" t="s">
        <v>644</v>
      </c>
      <c r="K263" s="37" t="s">
        <v>14</v>
      </c>
      <c r="L263" s="47">
        <v>3903114.5</v>
      </c>
      <c r="M263" s="47">
        <v>3682183.52</v>
      </c>
      <c r="N263" s="47">
        <v>220930.98</v>
      </c>
      <c r="O263" s="37" t="s">
        <v>985</v>
      </c>
    </row>
    <row r="264" customHeight="1" spans="1:15">
      <c r="A264" s="37" t="s">
        <v>637</v>
      </c>
      <c r="B264" s="38">
        <v>45016</v>
      </c>
      <c r="C264" s="37" t="s">
        <v>748</v>
      </c>
      <c r="D264" s="37" t="s">
        <v>639</v>
      </c>
      <c r="E264" s="37" t="s">
        <v>647</v>
      </c>
      <c r="F264" s="37" t="s">
        <v>689</v>
      </c>
      <c r="G264" s="37" t="s">
        <v>654</v>
      </c>
      <c r="H264" s="37" t="s">
        <v>697</v>
      </c>
      <c r="I264" s="37" t="s">
        <v>672</v>
      </c>
      <c r="J264" s="37" t="s">
        <v>656</v>
      </c>
      <c r="K264" s="37" t="s">
        <v>350</v>
      </c>
      <c r="L264" s="47">
        <v>360468</v>
      </c>
      <c r="M264" s="47">
        <v>340064.17</v>
      </c>
      <c r="N264" s="47">
        <v>20403.83</v>
      </c>
      <c r="O264" s="37" t="s">
        <v>986</v>
      </c>
    </row>
    <row r="265" customHeight="1" spans="1:15">
      <c r="A265" s="37" t="s">
        <v>637</v>
      </c>
      <c r="B265" s="38">
        <v>45016</v>
      </c>
      <c r="C265" s="37" t="s">
        <v>748</v>
      </c>
      <c r="D265" s="37" t="s">
        <v>639</v>
      </c>
      <c r="E265" s="37" t="s">
        <v>647</v>
      </c>
      <c r="F265" s="37" t="s">
        <v>707</v>
      </c>
      <c r="G265" s="37" t="s">
        <v>654</v>
      </c>
      <c r="H265" s="37" t="s">
        <v>650</v>
      </c>
      <c r="I265" s="37" t="s">
        <v>754</v>
      </c>
      <c r="J265" s="37" t="s">
        <v>644</v>
      </c>
      <c r="K265" s="37" t="s">
        <v>14</v>
      </c>
      <c r="L265" s="47">
        <v>3600509.2</v>
      </c>
      <c r="M265" s="47">
        <v>3396706.78</v>
      </c>
      <c r="N265" s="47">
        <v>203802.42</v>
      </c>
      <c r="O265" s="37" t="s">
        <v>987</v>
      </c>
    </row>
    <row r="266" customHeight="1" spans="1:15">
      <c r="A266" s="37" t="s">
        <v>637</v>
      </c>
      <c r="B266" s="38">
        <v>45016</v>
      </c>
      <c r="C266" s="37" t="s">
        <v>748</v>
      </c>
      <c r="D266" s="37" t="s">
        <v>639</v>
      </c>
      <c r="E266" s="37" t="s">
        <v>647</v>
      </c>
      <c r="F266" s="37" t="s">
        <v>707</v>
      </c>
      <c r="G266" s="37" t="s">
        <v>648</v>
      </c>
      <c r="H266" s="37" t="s">
        <v>650</v>
      </c>
      <c r="I266" s="37" t="s">
        <v>763</v>
      </c>
      <c r="J266" s="37" t="s">
        <v>644</v>
      </c>
      <c r="K266" s="37" t="s">
        <v>165</v>
      </c>
      <c r="L266" s="47">
        <v>14483.35</v>
      </c>
      <c r="M266" s="47">
        <v>13663.55</v>
      </c>
      <c r="N266" s="47">
        <v>819.8</v>
      </c>
      <c r="O266" s="37" t="s">
        <v>988</v>
      </c>
    </row>
    <row r="267" customHeight="1" spans="1:15">
      <c r="A267" s="37" t="s">
        <v>637</v>
      </c>
      <c r="B267" s="38">
        <v>45016</v>
      </c>
      <c r="C267" s="37" t="s">
        <v>748</v>
      </c>
      <c r="D267" s="37" t="s">
        <v>639</v>
      </c>
      <c r="E267" s="37" t="s">
        <v>647</v>
      </c>
      <c r="F267" s="37" t="s">
        <v>707</v>
      </c>
      <c r="G267" s="37" t="s">
        <v>648</v>
      </c>
      <c r="H267" s="37" t="s">
        <v>643</v>
      </c>
      <c r="I267" s="37" t="s">
        <v>429</v>
      </c>
      <c r="J267" s="37" t="s">
        <v>644</v>
      </c>
      <c r="K267" s="37" t="s">
        <v>14</v>
      </c>
      <c r="L267" s="47">
        <v>3736784.39</v>
      </c>
      <c r="M267" s="47">
        <v>3525268.28</v>
      </c>
      <c r="N267" s="47">
        <v>211516.11</v>
      </c>
      <c r="O267" s="37" t="s">
        <v>989</v>
      </c>
    </row>
    <row r="268" customHeight="1" spans="1:15">
      <c r="A268" s="37" t="s">
        <v>637</v>
      </c>
      <c r="B268" s="38">
        <v>45016</v>
      </c>
      <c r="C268" s="37" t="s">
        <v>638</v>
      </c>
      <c r="D268" s="37" t="s">
        <v>639</v>
      </c>
      <c r="E268" s="37" t="s">
        <v>647</v>
      </c>
      <c r="F268" s="37" t="s">
        <v>641</v>
      </c>
      <c r="G268" s="37" t="s">
        <v>648</v>
      </c>
      <c r="H268" s="37" t="s">
        <v>643</v>
      </c>
      <c r="I268" s="37" t="s">
        <v>430</v>
      </c>
      <c r="J268" s="37" t="s">
        <v>644</v>
      </c>
      <c r="K268" s="37" t="s">
        <v>14</v>
      </c>
      <c r="L268" s="47">
        <v>160493.39</v>
      </c>
      <c r="M268" s="47">
        <v>151408.88</v>
      </c>
      <c r="N268" s="47">
        <v>9084.51</v>
      </c>
      <c r="O268" s="37" t="s">
        <v>990</v>
      </c>
    </row>
    <row r="269" customHeight="1" spans="1:15">
      <c r="A269" s="37" t="s">
        <v>637</v>
      </c>
      <c r="B269" s="38">
        <v>45016</v>
      </c>
      <c r="C269" s="37" t="s">
        <v>638</v>
      </c>
      <c r="D269" s="37" t="s">
        <v>639</v>
      </c>
      <c r="E269" s="37" t="s">
        <v>640</v>
      </c>
      <c r="F269" s="37" t="s">
        <v>641</v>
      </c>
      <c r="G269" s="37" t="s">
        <v>642</v>
      </c>
      <c r="H269" s="37" t="s">
        <v>643</v>
      </c>
      <c r="I269" s="37" t="s">
        <v>430</v>
      </c>
      <c r="J269" s="37" t="s">
        <v>644</v>
      </c>
      <c r="K269" s="37" t="s">
        <v>14</v>
      </c>
      <c r="L269" s="47">
        <v>-424464.14</v>
      </c>
      <c r="M269" s="47">
        <v>-400437.87</v>
      </c>
      <c r="N269" s="47">
        <v>-24026.27</v>
      </c>
      <c r="O269" s="37" t="s">
        <v>991</v>
      </c>
    </row>
    <row r="270" customHeight="1" spans="1:15">
      <c r="A270" s="37" t="s">
        <v>637</v>
      </c>
      <c r="B270" s="38">
        <v>45016</v>
      </c>
      <c r="C270" s="37" t="s">
        <v>992</v>
      </c>
      <c r="D270" s="37" t="s">
        <v>639</v>
      </c>
      <c r="E270" s="37" t="s">
        <v>640</v>
      </c>
      <c r="F270" s="37" t="s">
        <v>641</v>
      </c>
      <c r="G270" s="37" t="s">
        <v>648</v>
      </c>
      <c r="H270" s="37" t="s">
        <v>643</v>
      </c>
      <c r="I270" s="37" t="s">
        <v>430</v>
      </c>
      <c r="J270" s="37" t="s">
        <v>644</v>
      </c>
      <c r="K270" s="37" t="s">
        <v>14</v>
      </c>
      <c r="L270" s="47">
        <v>466560.65</v>
      </c>
      <c r="M270" s="47">
        <v>440151.56</v>
      </c>
      <c r="N270" s="47">
        <v>26409.09</v>
      </c>
      <c r="O270" s="37" t="s">
        <v>993</v>
      </c>
    </row>
    <row r="271" customHeight="1" spans="1:15">
      <c r="A271" s="37" t="s">
        <v>637</v>
      </c>
      <c r="B271" s="38">
        <v>45016</v>
      </c>
      <c r="C271" s="37" t="s">
        <v>638</v>
      </c>
      <c r="D271" s="37" t="s">
        <v>639</v>
      </c>
      <c r="E271" s="37" t="s">
        <v>640</v>
      </c>
      <c r="F271" s="37" t="s">
        <v>641</v>
      </c>
      <c r="G271" s="37" t="s">
        <v>648</v>
      </c>
      <c r="H271" s="37" t="s">
        <v>643</v>
      </c>
      <c r="I271" s="37" t="s">
        <v>430</v>
      </c>
      <c r="J271" s="37" t="s">
        <v>644</v>
      </c>
      <c r="K271" s="37" t="s">
        <v>14</v>
      </c>
      <c r="L271" s="47">
        <v>1167080.39</v>
      </c>
      <c r="M271" s="47">
        <v>1101019.24</v>
      </c>
      <c r="N271" s="47">
        <v>66061.15</v>
      </c>
      <c r="O271" s="37" t="s">
        <v>994</v>
      </c>
    </row>
    <row r="272" customHeight="1" spans="1:15">
      <c r="A272" s="37" t="s">
        <v>637</v>
      </c>
      <c r="B272" s="38">
        <v>45016</v>
      </c>
      <c r="C272" s="37" t="s">
        <v>638</v>
      </c>
      <c r="D272" s="37" t="s">
        <v>639</v>
      </c>
      <c r="E272" s="37" t="s">
        <v>647</v>
      </c>
      <c r="F272" s="37" t="s">
        <v>641</v>
      </c>
      <c r="G272" s="37" t="s">
        <v>642</v>
      </c>
      <c r="H272" s="37" t="s">
        <v>650</v>
      </c>
      <c r="I272" s="37" t="s">
        <v>430</v>
      </c>
      <c r="J272" s="37" t="s">
        <v>644</v>
      </c>
      <c r="K272" s="37" t="s">
        <v>14</v>
      </c>
      <c r="L272" s="47">
        <v>1144870.22</v>
      </c>
      <c r="M272" s="47">
        <v>1080066.24</v>
      </c>
      <c r="N272" s="47">
        <v>64803.98</v>
      </c>
      <c r="O272" s="37" t="s">
        <v>995</v>
      </c>
    </row>
    <row r="273" customHeight="1" spans="1:15">
      <c r="A273" s="37" t="s">
        <v>637</v>
      </c>
      <c r="B273" s="38">
        <v>45016</v>
      </c>
      <c r="C273" s="37" t="s">
        <v>638</v>
      </c>
      <c r="D273" s="37" t="s">
        <v>639</v>
      </c>
      <c r="E273" s="37" t="s">
        <v>647</v>
      </c>
      <c r="F273" s="37" t="s">
        <v>641</v>
      </c>
      <c r="G273" s="37" t="s">
        <v>648</v>
      </c>
      <c r="H273" s="37" t="s">
        <v>643</v>
      </c>
      <c r="I273" s="37" t="s">
        <v>430</v>
      </c>
      <c r="J273" s="37" t="s">
        <v>644</v>
      </c>
      <c r="K273" s="37" t="s">
        <v>14</v>
      </c>
      <c r="L273" s="47">
        <v>36133.67</v>
      </c>
      <c r="M273" s="47">
        <v>34088.3</v>
      </c>
      <c r="N273" s="47">
        <v>2045.37</v>
      </c>
      <c r="O273" s="37" t="s">
        <v>996</v>
      </c>
    </row>
    <row r="274" customHeight="1" spans="1:15">
      <c r="A274" s="37" t="s">
        <v>637</v>
      </c>
      <c r="B274" s="38">
        <v>45046</v>
      </c>
      <c r="C274" s="37" t="s">
        <v>710</v>
      </c>
      <c r="D274" s="37" t="s">
        <v>639</v>
      </c>
      <c r="E274" s="37" t="s">
        <v>647</v>
      </c>
      <c r="F274" s="37" t="s">
        <v>707</v>
      </c>
      <c r="G274" s="37" t="s">
        <v>648</v>
      </c>
      <c r="H274" s="37" t="s">
        <v>650</v>
      </c>
      <c r="I274" s="37" t="s">
        <v>723</v>
      </c>
      <c r="J274" s="37" t="s">
        <v>644</v>
      </c>
      <c r="K274" s="37" t="s">
        <v>165</v>
      </c>
      <c r="L274" s="47">
        <v>1990883.5</v>
      </c>
      <c r="M274" s="47">
        <v>1878191.98</v>
      </c>
      <c r="N274" s="47">
        <v>112691.52</v>
      </c>
      <c r="O274" s="37" t="s">
        <v>997</v>
      </c>
    </row>
    <row r="275" customHeight="1" spans="1:15">
      <c r="A275" s="37" t="s">
        <v>637</v>
      </c>
      <c r="B275" s="38">
        <v>45046</v>
      </c>
      <c r="C275" s="37" t="s">
        <v>700</v>
      </c>
      <c r="D275" s="37" t="s">
        <v>639</v>
      </c>
      <c r="E275" s="37" t="s">
        <v>647</v>
      </c>
      <c r="F275" s="37" t="s">
        <v>641</v>
      </c>
      <c r="G275" s="37" t="s">
        <v>648</v>
      </c>
      <c r="H275" s="37" t="s">
        <v>643</v>
      </c>
      <c r="I275" s="37" t="s">
        <v>442</v>
      </c>
      <c r="J275" s="37" t="s">
        <v>644</v>
      </c>
      <c r="K275" s="37" t="s">
        <v>14</v>
      </c>
      <c r="L275" s="47">
        <v>562676.69</v>
      </c>
      <c r="M275" s="47">
        <v>530827.06</v>
      </c>
      <c r="N275" s="47">
        <v>31849.63</v>
      </c>
      <c r="O275" s="37" t="s">
        <v>998</v>
      </c>
    </row>
    <row r="276" customHeight="1" spans="1:15">
      <c r="A276" s="37" t="s">
        <v>637</v>
      </c>
      <c r="B276" s="38">
        <v>45046</v>
      </c>
      <c r="C276" s="37" t="s">
        <v>715</v>
      </c>
      <c r="D276" s="37" t="s">
        <v>653</v>
      </c>
      <c r="E276" s="37" t="s">
        <v>640</v>
      </c>
      <c r="F276" s="37" t="s">
        <v>659</v>
      </c>
      <c r="G276" s="37" t="s">
        <v>654</v>
      </c>
      <c r="H276" s="37" t="s">
        <v>650</v>
      </c>
      <c r="I276" s="37" t="s">
        <v>716</v>
      </c>
      <c r="J276" s="37" t="s">
        <v>656</v>
      </c>
      <c r="K276" s="37" t="s">
        <v>166</v>
      </c>
      <c r="L276" s="47">
        <v>345.15</v>
      </c>
      <c r="M276" s="47">
        <v>325.61</v>
      </c>
      <c r="N276" s="47">
        <v>19.54</v>
      </c>
      <c r="O276" s="37" t="s">
        <v>999</v>
      </c>
    </row>
    <row r="277" customHeight="1" spans="1:15">
      <c r="A277" s="37" t="s">
        <v>637</v>
      </c>
      <c r="B277" s="38">
        <v>45046</v>
      </c>
      <c r="C277" s="37" t="s">
        <v>700</v>
      </c>
      <c r="D277" s="37" t="s">
        <v>639</v>
      </c>
      <c r="E277" s="37" t="s">
        <v>647</v>
      </c>
      <c r="F277" s="37" t="s">
        <v>641</v>
      </c>
      <c r="G277" s="37" t="s">
        <v>648</v>
      </c>
      <c r="H277" s="37" t="s">
        <v>650</v>
      </c>
      <c r="I277" s="37" t="s">
        <v>460</v>
      </c>
      <c r="J277" s="37" t="s">
        <v>644</v>
      </c>
      <c r="K277" s="37" t="s">
        <v>14</v>
      </c>
      <c r="L277" s="47">
        <v>234338.33</v>
      </c>
      <c r="M277" s="47">
        <v>221073.88</v>
      </c>
      <c r="N277" s="47">
        <v>13264.45</v>
      </c>
      <c r="O277" s="37" t="s">
        <v>1000</v>
      </c>
    </row>
    <row r="278" customHeight="1" spans="1:15">
      <c r="A278" s="37" t="s">
        <v>637</v>
      </c>
      <c r="B278" s="38">
        <v>45046</v>
      </c>
      <c r="C278" s="37" t="s">
        <v>710</v>
      </c>
      <c r="D278" s="37" t="s">
        <v>639</v>
      </c>
      <c r="E278" s="37" t="s">
        <v>640</v>
      </c>
      <c r="F278" s="37" t="s">
        <v>707</v>
      </c>
      <c r="G278" s="37" t="s">
        <v>648</v>
      </c>
      <c r="H278" s="37" t="s">
        <v>650</v>
      </c>
      <c r="I278" s="37" t="s">
        <v>723</v>
      </c>
      <c r="J278" s="37" t="s">
        <v>644</v>
      </c>
      <c r="K278" s="37" t="s">
        <v>165</v>
      </c>
      <c r="L278" s="47">
        <v>-95423.5</v>
      </c>
      <c r="M278" s="47">
        <v>-90022.17</v>
      </c>
      <c r="N278" s="47">
        <v>-5401.33</v>
      </c>
      <c r="O278" s="37" t="s">
        <v>1001</v>
      </c>
    </row>
    <row r="279" customHeight="1" spans="1:15">
      <c r="A279" s="37" t="s">
        <v>637</v>
      </c>
      <c r="B279" s="38">
        <v>45046</v>
      </c>
      <c r="C279" s="37" t="s">
        <v>700</v>
      </c>
      <c r="D279" s="37" t="s">
        <v>639</v>
      </c>
      <c r="E279" s="37" t="s">
        <v>647</v>
      </c>
      <c r="F279" s="37" t="s">
        <v>641</v>
      </c>
      <c r="G279" s="37" t="s">
        <v>648</v>
      </c>
      <c r="H279" s="37" t="s">
        <v>643</v>
      </c>
      <c r="I279" s="37" t="s">
        <v>430</v>
      </c>
      <c r="J279" s="37" t="s">
        <v>644</v>
      </c>
      <c r="K279" s="37" t="s">
        <v>14</v>
      </c>
      <c r="L279" s="47">
        <v>305718.74</v>
      </c>
      <c r="M279" s="47">
        <v>288413.92</v>
      </c>
      <c r="N279" s="47">
        <v>17304.82</v>
      </c>
      <c r="O279" s="37" t="s">
        <v>1002</v>
      </c>
    </row>
    <row r="280" customHeight="1" spans="1:15">
      <c r="A280" s="37" t="s">
        <v>637</v>
      </c>
      <c r="B280" s="38">
        <v>45046</v>
      </c>
      <c r="C280" s="37" t="s">
        <v>700</v>
      </c>
      <c r="D280" s="37" t="s">
        <v>639</v>
      </c>
      <c r="E280" s="37" t="s">
        <v>647</v>
      </c>
      <c r="F280" s="37" t="s">
        <v>641</v>
      </c>
      <c r="G280" s="37" t="s">
        <v>654</v>
      </c>
      <c r="H280" s="37" t="s">
        <v>643</v>
      </c>
      <c r="I280" s="37" t="s">
        <v>442</v>
      </c>
      <c r="J280" s="37" t="s">
        <v>644</v>
      </c>
      <c r="K280" s="37" t="s">
        <v>14</v>
      </c>
      <c r="L280" s="47">
        <v>22719.98</v>
      </c>
      <c r="M280" s="47">
        <v>21433.95</v>
      </c>
      <c r="N280" s="47">
        <v>1286.03</v>
      </c>
      <c r="O280" s="37" t="s">
        <v>1003</v>
      </c>
    </row>
    <row r="281" customHeight="1" spans="1:15">
      <c r="A281" s="37" t="s">
        <v>637</v>
      </c>
      <c r="B281" s="38">
        <v>45046</v>
      </c>
      <c r="C281" s="37" t="s">
        <v>700</v>
      </c>
      <c r="D281" s="37" t="s">
        <v>639</v>
      </c>
      <c r="E281" s="37" t="s">
        <v>647</v>
      </c>
      <c r="F281" s="37" t="s">
        <v>659</v>
      </c>
      <c r="G281" s="37" t="s">
        <v>642</v>
      </c>
      <c r="H281" s="37" t="s">
        <v>650</v>
      </c>
      <c r="I281" s="37" t="s">
        <v>442</v>
      </c>
      <c r="J281" s="37" t="s">
        <v>644</v>
      </c>
      <c r="K281" s="37" t="s">
        <v>14</v>
      </c>
      <c r="L281" s="47">
        <v>1992279.32</v>
      </c>
      <c r="M281" s="47">
        <v>1879508.81</v>
      </c>
      <c r="N281" s="47">
        <v>112770.51</v>
      </c>
      <c r="O281" s="37" t="s">
        <v>1004</v>
      </c>
    </row>
    <row r="282" customHeight="1" spans="1:15">
      <c r="A282" s="37" t="s">
        <v>637</v>
      </c>
      <c r="B282" s="38">
        <v>45046</v>
      </c>
      <c r="C282" s="37" t="s">
        <v>700</v>
      </c>
      <c r="D282" s="37" t="s">
        <v>639</v>
      </c>
      <c r="E282" s="37" t="s">
        <v>640</v>
      </c>
      <c r="F282" s="37" t="s">
        <v>641</v>
      </c>
      <c r="G282" s="37" t="s">
        <v>642</v>
      </c>
      <c r="H282" s="37" t="s">
        <v>650</v>
      </c>
      <c r="I282" s="37" t="s">
        <v>442</v>
      </c>
      <c r="J282" s="37" t="s">
        <v>644</v>
      </c>
      <c r="K282" s="37" t="s">
        <v>14</v>
      </c>
      <c r="L282" s="47">
        <v>-96642.63</v>
      </c>
      <c r="M282" s="47">
        <v>-91172.29</v>
      </c>
      <c r="N282" s="47">
        <v>-5470.34</v>
      </c>
      <c r="O282" s="37" t="s">
        <v>1005</v>
      </c>
    </row>
    <row r="283" customHeight="1" spans="1:15">
      <c r="A283" s="37" t="s">
        <v>637</v>
      </c>
      <c r="B283" s="38">
        <v>45046</v>
      </c>
      <c r="C283" s="37" t="s">
        <v>700</v>
      </c>
      <c r="D283" s="37" t="s">
        <v>639</v>
      </c>
      <c r="E283" s="37" t="s">
        <v>640</v>
      </c>
      <c r="F283" s="37" t="s">
        <v>641</v>
      </c>
      <c r="G283" s="37" t="s">
        <v>648</v>
      </c>
      <c r="H283" s="37" t="s">
        <v>643</v>
      </c>
      <c r="I283" s="37" t="s">
        <v>430</v>
      </c>
      <c r="J283" s="37" t="s">
        <v>644</v>
      </c>
      <c r="K283" s="37" t="s">
        <v>14</v>
      </c>
      <c r="L283" s="47">
        <v>4022.55</v>
      </c>
      <c r="M283" s="47">
        <v>3794.86</v>
      </c>
      <c r="N283" s="47">
        <v>227.69</v>
      </c>
      <c r="O283" s="37" t="s">
        <v>1006</v>
      </c>
    </row>
    <row r="284" customHeight="1" spans="1:15">
      <c r="A284" s="37" t="s">
        <v>637</v>
      </c>
      <c r="B284" s="38">
        <v>45046</v>
      </c>
      <c r="C284" s="37" t="s">
        <v>992</v>
      </c>
      <c r="D284" s="37" t="s">
        <v>639</v>
      </c>
      <c r="E284" s="37" t="s">
        <v>640</v>
      </c>
      <c r="F284" s="37" t="s">
        <v>641</v>
      </c>
      <c r="G284" s="37" t="s">
        <v>648</v>
      </c>
      <c r="H284" s="37" t="s">
        <v>643</v>
      </c>
      <c r="I284" s="37" t="s">
        <v>430</v>
      </c>
      <c r="J284" s="37" t="s">
        <v>644</v>
      </c>
      <c r="K284" s="37" t="s">
        <v>14</v>
      </c>
      <c r="L284" s="47">
        <v>-32913.02</v>
      </c>
      <c r="M284" s="47">
        <v>-31050.02</v>
      </c>
      <c r="N284" s="47">
        <v>-1863</v>
      </c>
      <c r="O284" s="37" t="s">
        <v>1007</v>
      </c>
    </row>
    <row r="285" customHeight="1" spans="1:15">
      <c r="A285" s="37" t="s">
        <v>637</v>
      </c>
      <c r="B285" s="38">
        <v>45046</v>
      </c>
      <c r="C285" s="37" t="s">
        <v>992</v>
      </c>
      <c r="D285" s="37" t="s">
        <v>639</v>
      </c>
      <c r="E285" s="37" t="s">
        <v>640</v>
      </c>
      <c r="F285" s="37" t="s">
        <v>641</v>
      </c>
      <c r="G285" s="37" t="s">
        <v>648</v>
      </c>
      <c r="H285" s="37" t="s">
        <v>643</v>
      </c>
      <c r="I285" s="37" t="s">
        <v>430</v>
      </c>
      <c r="J285" s="37" t="s">
        <v>644</v>
      </c>
      <c r="K285" s="37" t="s">
        <v>14</v>
      </c>
      <c r="L285" s="47">
        <v>113085</v>
      </c>
      <c r="M285" s="47">
        <v>106683.96</v>
      </c>
      <c r="N285" s="47">
        <v>6401.04</v>
      </c>
      <c r="O285" s="37" t="s">
        <v>1008</v>
      </c>
    </row>
    <row r="286" customHeight="1" spans="1:15">
      <c r="A286" s="37" t="s">
        <v>637</v>
      </c>
      <c r="B286" s="38">
        <v>45046</v>
      </c>
      <c r="C286" s="37" t="s">
        <v>638</v>
      </c>
      <c r="D286" s="37" t="s">
        <v>639</v>
      </c>
      <c r="E286" s="37" t="s">
        <v>647</v>
      </c>
      <c r="F286" s="37" t="s">
        <v>641</v>
      </c>
      <c r="G286" s="37" t="s">
        <v>648</v>
      </c>
      <c r="H286" s="37" t="s">
        <v>643</v>
      </c>
      <c r="I286" s="37" t="s">
        <v>430</v>
      </c>
      <c r="J286" s="37" t="s">
        <v>644</v>
      </c>
      <c r="K286" s="37" t="s">
        <v>14</v>
      </c>
      <c r="L286" s="47">
        <v>172611.87</v>
      </c>
      <c r="M286" s="47">
        <v>162841.39</v>
      </c>
      <c r="N286" s="47">
        <v>9770.48</v>
      </c>
      <c r="O286" s="37" t="s">
        <v>1009</v>
      </c>
    </row>
    <row r="287" customHeight="1" spans="1:15">
      <c r="A287" s="37" t="s">
        <v>637</v>
      </c>
      <c r="B287" s="38">
        <v>45046</v>
      </c>
      <c r="C287" s="37" t="s">
        <v>638</v>
      </c>
      <c r="D287" s="37" t="s">
        <v>639</v>
      </c>
      <c r="E287" s="37" t="s">
        <v>647</v>
      </c>
      <c r="F287" s="37" t="s">
        <v>641</v>
      </c>
      <c r="G287" s="37" t="s">
        <v>642</v>
      </c>
      <c r="H287" s="37" t="s">
        <v>650</v>
      </c>
      <c r="I287" s="37" t="s">
        <v>430</v>
      </c>
      <c r="J287" s="37" t="s">
        <v>644</v>
      </c>
      <c r="K287" s="37" t="s">
        <v>14</v>
      </c>
      <c r="L287" s="47">
        <v>858804.34</v>
      </c>
      <c r="M287" s="47">
        <v>810192.79</v>
      </c>
      <c r="N287" s="47">
        <v>48611.55</v>
      </c>
      <c r="O287" s="37" t="s">
        <v>1010</v>
      </c>
    </row>
    <row r="288" customHeight="1" spans="1:15">
      <c r="A288" s="37" t="s">
        <v>637</v>
      </c>
      <c r="B288" s="38">
        <v>45046</v>
      </c>
      <c r="C288" s="37" t="s">
        <v>638</v>
      </c>
      <c r="D288" s="37" t="s">
        <v>639</v>
      </c>
      <c r="E288" s="37" t="s">
        <v>640</v>
      </c>
      <c r="F288" s="37" t="s">
        <v>641</v>
      </c>
      <c r="G288" s="37" t="s">
        <v>648</v>
      </c>
      <c r="H288" s="37" t="s">
        <v>643</v>
      </c>
      <c r="I288" s="37" t="s">
        <v>430</v>
      </c>
      <c r="J288" s="37" t="s">
        <v>644</v>
      </c>
      <c r="K288" s="37" t="s">
        <v>14</v>
      </c>
      <c r="L288" s="47">
        <v>-255487.19</v>
      </c>
      <c r="M288" s="47">
        <v>-241025.65</v>
      </c>
      <c r="N288" s="47">
        <v>-14461.54</v>
      </c>
      <c r="O288" s="37" t="s">
        <v>1011</v>
      </c>
    </row>
    <row r="289" customHeight="1" spans="1:15">
      <c r="A289" s="37" t="s">
        <v>637</v>
      </c>
      <c r="B289" s="38">
        <v>45046</v>
      </c>
      <c r="C289" s="37" t="s">
        <v>811</v>
      </c>
      <c r="D289" s="37" t="s">
        <v>639</v>
      </c>
      <c r="E289" s="37" t="s">
        <v>640</v>
      </c>
      <c r="F289" s="37" t="s">
        <v>641</v>
      </c>
      <c r="G289" s="37" t="s">
        <v>648</v>
      </c>
      <c r="H289" s="37" t="s">
        <v>643</v>
      </c>
      <c r="I289" s="37" t="s">
        <v>430</v>
      </c>
      <c r="J289" s="37" t="s">
        <v>644</v>
      </c>
      <c r="K289" s="37" t="s">
        <v>14</v>
      </c>
      <c r="L289" s="47">
        <v>-50865.74</v>
      </c>
      <c r="M289" s="47">
        <v>-47986.55</v>
      </c>
      <c r="N289" s="47">
        <v>-2879.19</v>
      </c>
      <c r="O289" s="37" t="s">
        <v>1012</v>
      </c>
    </row>
    <row r="290" customHeight="1" spans="1:15">
      <c r="A290" s="37" t="s">
        <v>637</v>
      </c>
      <c r="B290" s="38">
        <v>45046</v>
      </c>
      <c r="C290" s="37" t="s">
        <v>638</v>
      </c>
      <c r="D290" s="37" t="s">
        <v>639</v>
      </c>
      <c r="E290" s="37" t="s">
        <v>647</v>
      </c>
      <c r="F290" s="37" t="s">
        <v>641</v>
      </c>
      <c r="G290" s="37" t="s">
        <v>648</v>
      </c>
      <c r="H290" s="37" t="s">
        <v>643</v>
      </c>
      <c r="I290" s="37" t="s">
        <v>430</v>
      </c>
      <c r="J290" s="37" t="s">
        <v>644</v>
      </c>
      <c r="K290" s="37" t="s">
        <v>14</v>
      </c>
      <c r="L290" s="47">
        <v>33781.2</v>
      </c>
      <c r="M290" s="47">
        <v>31868.97</v>
      </c>
      <c r="N290" s="47">
        <v>1912.23</v>
      </c>
      <c r="O290" s="37" t="s">
        <v>1013</v>
      </c>
    </row>
    <row r="291" customHeight="1" spans="1:15">
      <c r="A291" s="37" t="s">
        <v>637</v>
      </c>
      <c r="B291" s="38">
        <v>45046</v>
      </c>
      <c r="C291" s="37" t="s">
        <v>646</v>
      </c>
      <c r="D291" s="37" t="s">
        <v>639</v>
      </c>
      <c r="E291" s="37" t="s">
        <v>640</v>
      </c>
      <c r="F291" s="37" t="s">
        <v>641</v>
      </c>
      <c r="G291" s="37" t="s">
        <v>648</v>
      </c>
      <c r="H291" s="37" t="s">
        <v>643</v>
      </c>
      <c r="I291" s="37" t="s">
        <v>678</v>
      </c>
      <c r="J291" s="37" t="s">
        <v>656</v>
      </c>
      <c r="K291" s="37" t="s">
        <v>350</v>
      </c>
      <c r="L291" s="47">
        <v>13738</v>
      </c>
      <c r="M291" s="47">
        <v>12960.38</v>
      </c>
      <c r="N291" s="47">
        <v>777.62</v>
      </c>
      <c r="O291" s="37" t="s">
        <v>1014</v>
      </c>
    </row>
    <row r="292" customHeight="1" spans="1:15">
      <c r="A292" s="37" t="s">
        <v>637</v>
      </c>
      <c r="B292" s="38">
        <v>45046</v>
      </c>
      <c r="C292" s="37" t="s">
        <v>646</v>
      </c>
      <c r="D292" s="37" t="s">
        <v>639</v>
      </c>
      <c r="E292" s="37" t="s">
        <v>640</v>
      </c>
      <c r="F292" s="37" t="s">
        <v>641</v>
      </c>
      <c r="G292" s="37" t="s">
        <v>654</v>
      </c>
      <c r="H292" s="37" t="s">
        <v>643</v>
      </c>
      <c r="I292" s="37" t="s">
        <v>661</v>
      </c>
      <c r="J292" s="37" t="s">
        <v>656</v>
      </c>
      <c r="K292" s="37" t="s">
        <v>350</v>
      </c>
      <c r="L292" s="47">
        <v>302.38</v>
      </c>
      <c r="M292" s="47">
        <v>285.26</v>
      </c>
      <c r="N292" s="47">
        <v>17.12</v>
      </c>
      <c r="O292" s="37" t="s">
        <v>1015</v>
      </c>
    </row>
    <row r="293" customHeight="1" spans="1:15">
      <c r="A293" s="37" t="s">
        <v>637</v>
      </c>
      <c r="B293" s="38">
        <v>45046</v>
      </c>
      <c r="C293" s="37" t="s">
        <v>646</v>
      </c>
      <c r="D293" s="37" t="s">
        <v>639</v>
      </c>
      <c r="E293" s="37" t="s">
        <v>640</v>
      </c>
      <c r="F293" s="37" t="s">
        <v>689</v>
      </c>
      <c r="G293" s="37" t="s">
        <v>648</v>
      </c>
      <c r="H293" s="37" t="s">
        <v>650</v>
      </c>
      <c r="I293" s="37" t="s">
        <v>690</v>
      </c>
      <c r="J293" s="37" t="s">
        <v>656</v>
      </c>
      <c r="K293" s="37" t="s">
        <v>165</v>
      </c>
      <c r="L293" s="47">
        <v>8930</v>
      </c>
      <c r="M293" s="47">
        <v>8424.53</v>
      </c>
      <c r="N293" s="47">
        <v>505.47</v>
      </c>
      <c r="O293" s="37" t="s">
        <v>1016</v>
      </c>
    </row>
    <row r="294" customHeight="1" spans="1:15">
      <c r="A294" s="37" t="s">
        <v>637</v>
      </c>
      <c r="B294" s="38">
        <v>45046</v>
      </c>
      <c r="C294" s="37" t="s">
        <v>646</v>
      </c>
      <c r="D294" s="37" t="s">
        <v>639</v>
      </c>
      <c r="E294" s="37" t="s">
        <v>647</v>
      </c>
      <c r="F294" s="37" t="s">
        <v>641</v>
      </c>
      <c r="G294" s="37" t="s">
        <v>642</v>
      </c>
      <c r="H294" s="37" t="s">
        <v>650</v>
      </c>
      <c r="I294" s="37" t="s">
        <v>678</v>
      </c>
      <c r="J294" s="37" t="s">
        <v>656</v>
      </c>
      <c r="K294" s="37" t="s">
        <v>350</v>
      </c>
      <c r="L294" s="47">
        <v>396</v>
      </c>
      <c r="M294" s="47">
        <v>373.56</v>
      </c>
      <c r="N294" s="47">
        <v>22.44</v>
      </c>
      <c r="O294" s="37" t="s">
        <v>1017</v>
      </c>
    </row>
    <row r="295" customHeight="1" spans="1:15">
      <c r="A295" s="37" t="s">
        <v>637</v>
      </c>
      <c r="B295" s="38">
        <v>45046</v>
      </c>
      <c r="C295" s="37" t="s">
        <v>646</v>
      </c>
      <c r="D295" s="37" t="s">
        <v>653</v>
      </c>
      <c r="E295" s="37" t="s">
        <v>640</v>
      </c>
      <c r="F295" s="37" t="s">
        <v>659</v>
      </c>
      <c r="G295" s="37" t="s">
        <v>648</v>
      </c>
      <c r="H295" s="37" t="s">
        <v>650</v>
      </c>
      <c r="I295" s="37" t="s">
        <v>462</v>
      </c>
      <c r="J295" s="37" t="s">
        <v>656</v>
      </c>
      <c r="K295" s="37" t="s">
        <v>166</v>
      </c>
      <c r="L295" s="47">
        <v>144998.46</v>
      </c>
      <c r="M295" s="47">
        <v>136791</v>
      </c>
      <c r="N295" s="47">
        <v>8207.46</v>
      </c>
      <c r="O295" s="37" t="s">
        <v>1018</v>
      </c>
    </row>
    <row r="296" customHeight="1" spans="1:15">
      <c r="A296" s="37" t="s">
        <v>637</v>
      </c>
      <c r="B296" s="38">
        <v>45046</v>
      </c>
      <c r="C296" s="37" t="s">
        <v>646</v>
      </c>
      <c r="D296" s="37" t="s">
        <v>653</v>
      </c>
      <c r="E296" s="37" t="s">
        <v>640</v>
      </c>
      <c r="F296" s="37" t="s">
        <v>659</v>
      </c>
      <c r="G296" s="37" t="s">
        <v>648</v>
      </c>
      <c r="H296" s="37" t="s">
        <v>650</v>
      </c>
      <c r="I296" s="37" t="s">
        <v>462</v>
      </c>
      <c r="J296" s="37" t="s">
        <v>656</v>
      </c>
      <c r="K296" s="37" t="s">
        <v>166</v>
      </c>
      <c r="L296" s="47">
        <v>301043.37</v>
      </c>
      <c r="M296" s="47">
        <v>284003.18</v>
      </c>
      <c r="N296" s="47">
        <v>17040.19</v>
      </c>
      <c r="O296" s="37" t="s">
        <v>1019</v>
      </c>
    </row>
    <row r="297" customHeight="1" spans="1:15">
      <c r="A297" s="37" t="s">
        <v>637</v>
      </c>
      <c r="B297" s="38">
        <v>45046</v>
      </c>
      <c r="C297" s="37" t="s">
        <v>646</v>
      </c>
      <c r="D297" s="37" t="s">
        <v>653</v>
      </c>
      <c r="E297" s="37" t="s">
        <v>640</v>
      </c>
      <c r="F297" s="37" t="s">
        <v>641</v>
      </c>
      <c r="G297" s="37" t="s">
        <v>648</v>
      </c>
      <c r="H297" s="37" t="s">
        <v>650</v>
      </c>
      <c r="I297" s="37" t="s">
        <v>462</v>
      </c>
      <c r="J297" s="37" t="s">
        <v>656</v>
      </c>
      <c r="K297" s="37" t="s">
        <v>166</v>
      </c>
      <c r="L297" s="47">
        <v>75260.84</v>
      </c>
      <c r="M297" s="47">
        <v>71000.79</v>
      </c>
      <c r="N297" s="47">
        <v>4260.05</v>
      </c>
      <c r="O297" s="37" t="s">
        <v>1020</v>
      </c>
    </row>
    <row r="298" customHeight="1" spans="1:15">
      <c r="A298" s="37" t="s">
        <v>637</v>
      </c>
      <c r="B298" s="38">
        <v>45046</v>
      </c>
      <c r="C298" s="37" t="s">
        <v>811</v>
      </c>
      <c r="D298" s="37" t="s">
        <v>726</v>
      </c>
      <c r="E298" s="37" t="s">
        <v>647</v>
      </c>
      <c r="F298" s="37" t="s">
        <v>641</v>
      </c>
      <c r="G298" s="37" t="s">
        <v>648</v>
      </c>
      <c r="H298" s="37" t="s">
        <v>643</v>
      </c>
      <c r="I298" s="37" t="s">
        <v>430</v>
      </c>
      <c r="J298" s="37" t="s">
        <v>644</v>
      </c>
      <c r="K298" s="37" t="s">
        <v>14</v>
      </c>
      <c r="L298" s="47">
        <v>575726.65</v>
      </c>
      <c r="M298" s="47">
        <v>543138.35</v>
      </c>
      <c r="N298" s="47">
        <v>32588.3</v>
      </c>
      <c r="O298" s="37" t="s">
        <v>1021</v>
      </c>
    </row>
    <row r="299" customHeight="1" spans="1:15">
      <c r="A299" s="37" t="s">
        <v>637</v>
      </c>
      <c r="B299" s="38">
        <v>45046</v>
      </c>
      <c r="C299" s="37" t="s">
        <v>646</v>
      </c>
      <c r="D299" s="37" t="s">
        <v>639</v>
      </c>
      <c r="E299" s="37" t="s">
        <v>647</v>
      </c>
      <c r="F299" s="37" t="s">
        <v>641</v>
      </c>
      <c r="G299" s="37" t="s">
        <v>648</v>
      </c>
      <c r="H299" s="37" t="s">
        <v>650</v>
      </c>
      <c r="I299" s="37" t="s">
        <v>686</v>
      </c>
      <c r="J299" s="37" t="s">
        <v>656</v>
      </c>
      <c r="K299" s="37" t="s">
        <v>14</v>
      </c>
      <c r="L299" s="47">
        <v>6681.52</v>
      </c>
      <c r="M299" s="47">
        <v>6303.33</v>
      </c>
      <c r="N299" s="47">
        <v>378.19</v>
      </c>
      <c r="O299" s="37" t="s">
        <v>1022</v>
      </c>
    </row>
    <row r="300" customHeight="1" spans="1:15">
      <c r="A300" s="37" t="s">
        <v>637</v>
      </c>
      <c r="B300" s="38">
        <v>45046</v>
      </c>
      <c r="C300" s="37" t="s">
        <v>646</v>
      </c>
      <c r="D300" s="37" t="s">
        <v>639</v>
      </c>
      <c r="E300" s="37" t="s">
        <v>647</v>
      </c>
      <c r="F300" s="37" t="s">
        <v>641</v>
      </c>
      <c r="G300" s="37" t="s">
        <v>654</v>
      </c>
      <c r="H300" s="37" t="s">
        <v>643</v>
      </c>
      <c r="I300" s="37" t="s">
        <v>661</v>
      </c>
      <c r="J300" s="37" t="s">
        <v>656</v>
      </c>
      <c r="K300" s="37" t="s">
        <v>350</v>
      </c>
      <c r="L300" s="47">
        <v>981</v>
      </c>
      <c r="M300" s="47">
        <v>925.47</v>
      </c>
      <c r="N300" s="47">
        <v>55.53</v>
      </c>
      <c r="O300" s="37" t="s">
        <v>1023</v>
      </c>
    </row>
    <row r="301" customHeight="1" spans="1:15">
      <c r="A301" s="37" t="s">
        <v>637</v>
      </c>
      <c r="B301" s="38">
        <v>45046</v>
      </c>
      <c r="C301" s="37" t="s">
        <v>811</v>
      </c>
      <c r="D301" s="37" t="s">
        <v>639</v>
      </c>
      <c r="E301" s="37" t="s">
        <v>647</v>
      </c>
      <c r="F301" s="37" t="s">
        <v>641</v>
      </c>
      <c r="G301" s="37" t="s">
        <v>642</v>
      </c>
      <c r="H301" s="37" t="s">
        <v>650</v>
      </c>
      <c r="I301" s="37" t="s">
        <v>430</v>
      </c>
      <c r="J301" s="37" t="s">
        <v>644</v>
      </c>
      <c r="K301" s="37" t="s">
        <v>14</v>
      </c>
      <c r="L301" s="47">
        <v>33716.92</v>
      </c>
      <c r="M301" s="47">
        <v>31808.41</v>
      </c>
      <c r="N301" s="47">
        <v>1908.51</v>
      </c>
      <c r="O301" s="37" t="s">
        <v>1024</v>
      </c>
    </row>
    <row r="302" customHeight="1" spans="1:15">
      <c r="A302" s="37" t="s">
        <v>637</v>
      </c>
      <c r="B302" s="38">
        <v>45046</v>
      </c>
      <c r="C302" s="37" t="s">
        <v>646</v>
      </c>
      <c r="D302" s="37" t="s">
        <v>639</v>
      </c>
      <c r="E302" s="37" t="s">
        <v>647</v>
      </c>
      <c r="F302" s="37" t="s">
        <v>689</v>
      </c>
      <c r="G302" s="37" t="s">
        <v>654</v>
      </c>
      <c r="H302" s="37" t="s">
        <v>697</v>
      </c>
      <c r="I302" s="37" t="s">
        <v>658</v>
      </c>
      <c r="J302" s="37" t="s">
        <v>656</v>
      </c>
      <c r="K302" s="37" t="s">
        <v>350</v>
      </c>
      <c r="L302" s="47">
        <v>216000.4</v>
      </c>
      <c r="M302" s="47">
        <v>203773.95</v>
      </c>
      <c r="N302" s="47">
        <v>12226.45</v>
      </c>
      <c r="O302" s="37" t="s">
        <v>1025</v>
      </c>
    </row>
    <row r="303" customHeight="1" spans="1:15">
      <c r="A303" s="37" t="s">
        <v>637</v>
      </c>
      <c r="B303" s="38">
        <v>45046</v>
      </c>
      <c r="C303" s="37" t="s">
        <v>646</v>
      </c>
      <c r="D303" s="37" t="s">
        <v>639</v>
      </c>
      <c r="E303" s="37" t="s">
        <v>647</v>
      </c>
      <c r="F303" s="37" t="s">
        <v>641</v>
      </c>
      <c r="G303" s="37" t="s">
        <v>642</v>
      </c>
      <c r="H303" s="37" t="s">
        <v>650</v>
      </c>
      <c r="I303" s="37" t="s">
        <v>430</v>
      </c>
      <c r="J303" s="37" t="s">
        <v>644</v>
      </c>
      <c r="K303" s="37" t="s">
        <v>14</v>
      </c>
      <c r="L303" s="47">
        <v>186050.28</v>
      </c>
      <c r="M303" s="47">
        <v>175519.13</v>
      </c>
      <c r="N303" s="47">
        <v>10531.15</v>
      </c>
      <c r="O303" s="37" t="s">
        <v>1026</v>
      </c>
    </row>
    <row r="304" customHeight="1" spans="1:15">
      <c r="A304" s="37" t="s">
        <v>637</v>
      </c>
      <c r="B304" s="38">
        <v>45046</v>
      </c>
      <c r="C304" s="37" t="s">
        <v>646</v>
      </c>
      <c r="D304" s="37" t="s">
        <v>639</v>
      </c>
      <c r="E304" s="37" t="s">
        <v>647</v>
      </c>
      <c r="F304" s="37" t="s">
        <v>641</v>
      </c>
      <c r="G304" s="37" t="s">
        <v>648</v>
      </c>
      <c r="H304" s="37" t="s">
        <v>643</v>
      </c>
      <c r="I304" s="37" t="s">
        <v>430</v>
      </c>
      <c r="J304" s="37" t="s">
        <v>644</v>
      </c>
      <c r="K304" s="37" t="s">
        <v>14</v>
      </c>
      <c r="L304" s="47">
        <v>199836.26</v>
      </c>
      <c r="M304" s="47">
        <v>188524.8</v>
      </c>
      <c r="N304" s="47">
        <v>11311.46</v>
      </c>
      <c r="O304" s="37" t="s">
        <v>1027</v>
      </c>
    </row>
    <row r="305" customHeight="1" spans="1:15">
      <c r="A305" s="37" t="s">
        <v>637</v>
      </c>
      <c r="B305" s="38">
        <v>45046</v>
      </c>
      <c r="C305" s="37" t="s">
        <v>811</v>
      </c>
      <c r="D305" s="37" t="s">
        <v>639</v>
      </c>
      <c r="E305" s="37" t="s">
        <v>647</v>
      </c>
      <c r="F305" s="37" t="s">
        <v>641</v>
      </c>
      <c r="G305" s="37" t="s">
        <v>648</v>
      </c>
      <c r="H305" s="37" t="s">
        <v>643</v>
      </c>
      <c r="I305" s="37" t="s">
        <v>430</v>
      </c>
      <c r="J305" s="37" t="s">
        <v>644</v>
      </c>
      <c r="K305" s="37" t="s">
        <v>14</v>
      </c>
      <c r="L305" s="47">
        <v>12</v>
      </c>
      <c r="M305" s="47">
        <v>11.32</v>
      </c>
      <c r="N305" s="47">
        <v>0.68</v>
      </c>
      <c r="O305" s="37" t="s">
        <v>1028</v>
      </c>
    </row>
    <row r="306" customHeight="1" spans="1:15">
      <c r="A306" s="37" t="s">
        <v>637</v>
      </c>
      <c r="B306" s="38">
        <v>45046</v>
      </c>
      <c r="C306" s="37" t="s">
        <v>811</v>
      </c>
      <c r="D306" s="37" t="s">
        <v>740</v>
      </c>
      <c r="E306" s="37" t="s">
        <v>647</v>
      </c>
      <c r="F306" s="37" t="s">
        <v>641</v>
      </c>
      <c r="G306" s="37" t="s">
        <v>648</v>
      </c>
      <c r="H306" s="37" t="s">
        <v>643</v>
      </c>
      <c r="I306" s="37" t="s">
        <v>430</v>
      </c>
      <c r="J306" s="37" t="s">
        <v>644</v>
      </c>
      <c r="K306" s="37" t="s">
        <v>14</v>
      </c>
      <c r="L306" s="47">
        <v>122293.74</v>
      </c>
      <c r="M306" s="47">
        <v>115371.43</v>
      </c>
      <c r="N306" s="47">
        <v>6922.31</v>
      </c>
      <c r="O306" s="37" t="s">
        <v>1029</v>
      </c>
    </row>
    <row r="307" customHeight="1" spans="1:15">
      <c r="A307" s="37" t="s">
        <v>637</v>
      </c>
      <c r="B307" s="38">
        <v>45046</v>
      </c>
      <c r="C307" s="37" t="s">
        <v>730</v>
      </c>
      <c r="D307" s="37" t="s">
        <v>653</v>
      </c>
      <c r="E307" s="37" t="s">
        <v>640</v>
      </c>
      <c r="F307" s="37" t="s">
        <v>659</v>
      </c>
      <c r="G307" s="37" t="s">
        <v>654</v>
      </c>
      <c r="H307" s="37" t="s">
        <v>650</v>
      </c>
      <c r="I307" s="37" t="s">
        <v>719</v>
      </c>
      <c r="J307" s="37" t="s">
        <v>656</v>
      </c>
      <c r="K307" s="37" t="s">
        <v>166</v>
      </c>
      <c r="L307" s="47">
        <v>1282.68</v>
      </c>
      <c r="M307" s="47">
        <v>1210.08</v>
      </c>
      <c r="N307" s="47">
        <v>72.6</v>
      </c>
      <c r="O307" s="37" t="s">
        <v>1030</v>
      </c>
    </row>
    <row r="308" customHeight="1" spans="1:15">
      <c r="A308" s="37" t="s">
        <v>637</v>
      </c>
      <c r="B308" s="38">
        <v>45046</v>
      </c>
      <c r="C308" s="37" t="s">
        <v>748</v>
      </c>
      <c r="D308" s="37" t="s">
        <v>639</v>
      </c>
      <c r="E308" s="37" t="s">
        <v>640</v>
      </c>
      <c r="F308" s="37" t="s">
        <v>641</v>
      </c>
      <c r="G308" s="37" t="s">
        <v>642</v>
      </c>
      <c r="H308" s="37" t="s">
        <v>697</v>
      </c>
      <c r="I308" s="37" t="s">
        <v>436</v>
      </c>
      <c r="J308" s="37" t="s">
        <v>644</v>
      </c>
      <c r="K308" s="37" t="s">
        <v>350</v>
      </c>
      <c r="L308" s="47">
        <v>222292.81</v>
      </c>
      <c r="M308" s="47">
        <v>209710.2</v>
      </c>
      <c r="N308" s="47">
        <v>12582.61</v>
      </c>
      <c r="O308" s="37" t="s">
        <v>1031</v>
      </c>
    </row>
    <row r="309" customHeight="1" spans="1:15">
      <c r="A309" s="37" t="s">
        <v>637</v>
      </c>
      <c r="B309" s="38">
        <v>45046</v>
      </c>
      <c r="C309" s="37" t="s">
        <v>748</v>
      </c>
      <c r="D309" s="37" t="s">
        <v>639</v>
      </c>
      <c r="E309" s="37" t="s">
        <v>640</v>
      </c>
      <c r="F309" s="37" t="s">
        <v>689</v>
      </c>
      <c r="G309" s="37" t="s">
        <v>654</v>
      </c>
      <c r="H309" s="37" t="s">
        <v>650</v>
      </c>
      <c r="I309" s="37" t="s">
        <v>681</v>
      </c>
      <c r="J309" s="37" t="s">
        <v>656</v>
      </c>
      <c r="K309" s="37" t="s">
        <v>350</v>
      </c>
      <c r="L309" s="47">
        <v>34000</v>
      </c>
      <c r="M309" s="47">
        <v>32075.47</v>
      </c>
      <c r="N309" s="47">
        <v>1924.53</v>
      </c>
      <c r="O309" s="37" t="s">
        <v>1032</v>
      </c>
    </row>
    <row r="310" customHeight="1" spans="1:15">
      <c r="A310" s="37" t="s">
        <v>637</v>
      </c>
      <c r="B310" s="38">
        <v>45046</v>
      </c>
      <c r="C310" s="37" t="s">
        <v>748</v>
      </c>
      <c r="D310" s="37" t="s">
        <v>639</v>
      </c>
      <c r="E310" s="37" t="s">
        <v>640</v>
      </c>
      <c r="F310" s="37" t="s">
        <v>641</v>
      </c>
      <c r="G310" s="37" t="s">
        <v>642</v>
      </c>
      <c r="H310" s="37" t="s">
        <v>650</v>
      </c>
      <c r="I310" s="37" t="s">
        <v>679</v>
      </c>
      <c r="J310" s="37" t="s">
        <v>644</v>
      </c>
      <c r="K310" s="37" t="s">
        <v>350</v>
      </c>
      <c r="L310" s="47">
        <v>41898.36</v>
      </c>
      <c r="M310" s="47">
        <v>39526.75</v>
      </c>
      <c r="N310" s="47">
        <v>2371.61</v>
      </c>
      <c r="O310" s="37" t="s">
        <v>1033</v>
      </c>
    </row>
    <row r="311" customHeight="1" spans="1:15">
      <c r="A311" s="37" t="s">
        <v>637</v>
      </c>
      <c r="B311" s="38">
        <v>45046</v>
      </c>
      <c r="C311" s="37" t="s">
        <v>748</v>
      </c>
      <c r="D311" s="37" t="s">
        <v>639</v>
      </c>
      <c r="E311" s="37" t="s">
        <v>640</v>
      </c>
      <c r="F311" s="37" t="s">
        <v>641</v>
      </c>
      <c r="G311" s="37" t="s">
        <v>642</v>
      </c>
      <c r="H311" s="37" t="s">
        <v>650</v>
      </c>
      <c r="I311" s="37" t="s">
        <v>779</v>
      </c>
      <c r="J311" s="37" t="s">
        <v>644</v>
      </c>
      <c r="K311" s="37" t="s">
        <v>14</v>
      </c>
      <c r="L311" s="47">
        <v>22000</v>
      </c>
      <c r="M311" s="47">
        <v>20754.72</v>
      </c>
      <c r="N311" s="47">
        <v>1245.28</v>
      </c>
      <c r="O311" s="37" t="s">
        <v>1034</v>
      </c>
    </row>
    <row r="312" customHeight="1" spans="1:15">
      <c r="A312" s="37" t="s">
        <v>637</v>
      </c>
      <c r="B312" s="38">
        <v>45046</v>
      </c>
      <c r="C312" s="37" t="s">
        <v>748</v>
      </c>
      <c r="D312" s="37" t="s">
        <v>639</v>
      </c>
      <c r="E312" s="37" t="s">
        <v>640</v>
      </c>
      <c r="F312" s="37" t="s">
        <v>689</v>
      </c>
      <c r="G312" s="37" t="s">
        <v>654</v>
      </c>
      <c r="H312" s="37" t="s">
        <v>650</v>
      </c>
      <c r="I312" s="37" t="s">
        <v>681</v>
      </c>
      <c r="J312" s="37" t="s">
        <v>656</v>
      </c>
      <c r="K312" s="37" t="s">
        <v>350</v>
      </c>
      <c r="L312" s="47">
        <v>24000</v>
      </c>
      <c r="M312" s="47">
        <v>22641.51</v>
      </c>
      <c r="N312" s="47">
        <v>1358.49</v>
      </c>
      <c r="O312" s="37" t="s">
        <v>1035</v>
      </c>
    </row>
    <row r="313" customHeight="1" spans="1:15">
      <c r="A313" s="37" t="s">
        <v>637</v>
      </c>
      <c r="B313" s="38">
        <v>45046</v>
      </c>
      <c r="C313" s="37" t="s">
        <v>748</v>
      </c>
      <c r="D313" s="37" t="s">
        <v>653</v>
      </c>
      <c r="E313" s="37" t="s">
        <v>640</v>
      </c>
      <c r="F313" s="37" t="s">
        <v>641</v>
      </c>
      <c r="G313" s="37" t="s">
        <v>642</v>
      </c>
      <c r="H313" s="37" t="s">
        <v>643</v>
      </c>
      <c r="I313" s="37" t="s">
        <v>728</v>
      </c>
      <c r="J313" s="37" t="s">
        <v>644</v>
      </c>
      <c r="K313" s="37" t="s">
        <v>166</v>
      </c>
      <c r="L313" s="47">
        <v>11.9</v>
      </c>
      <c r="M313" s="47">
        <v>11.23</v>
      </c>
      <c r="N313" s="47">
        <v>0.67</v>
      </c>
      <c r="O313" s="37" t="s">
        <v>1036</v>
      </c>
    </row>
    <row r="314" customHeight="1" spans="1:15">
      <c r="A314" s="37" t="s">
        <v>637</v>
      </c>
      <c r="B314" s="38">
        <v>45046</v>
      </c>
      <c r="C314" s="37" t="s">
        <v>748</v>
      </c>
      <c r="D314" s="37" t="s">
        <v>653</v>
      </c>
      <c r="E314" s="37" t="s">
        <v>640</v>
      </c>
      <c r="F314" s="37" t="s">
        <v>659</v>
      </c>
      <c r="G314" s="37" t="s">
        <v>648</v>
      </c>
      <c r="H314" s="37" t="s">
        <v>650</v>
      </c>
      <c r="I314" s="37" t="s">
        <v>757</v>
      </c>
      <c r="J314" s="37" t="s">
        <v>656</v>
      </c>
      <c r="K314" s="37" t="s">
        <v>14</v>
      </c>
      <c r="L314" s="47">
        <v>27353.8</v>
      </c>
      <c r="M314" s="47">
        <v>25805.47</v>
      </c>
      <c r="N314" s="47">
        <v>1548.33</v>
      </c>
      <c r="O314" s="37" t="s">
        <v>1037</v>
      </c>
    </row>
    <row r="315" customHeight="1" spans="1:15">
      <c r="A315" s="37" t="s">
        <v>637</v>
      </c>
      <c r="B315" s="38">
        <v>45046</v>
      </c>
      <c r="C315" s="37" t="s">
        <v>748</v>
      </c>
      <c r="D315" s="37" t="s">
        <v>639</v>
      </c>
      <c r="E315" s="37" t="s">
        <v>640</v>
      </c>
      <c r="F315" s="37" t="s">
        <v>641</v>
      </c>
      <c r="G315" s="37" t="s">
        <v>642</v>
      </c>
      <c r="H315" s="37" t="s">
        <v>650</v>
      </c>
      <c r="I315" s="37" t="s">
        <v>436</v>
      </c>
      <c r="J315" s="37" t="s">
        <v>644</v>
      </c>
      <c r="K315" s="37" t="s">
        <v>350</v>
      </c>
      <c r="L315" s="47">
        <v>-10000</v>
      </c>
      <c r="M315" s="47">
        <v>-9433.96</v>
      </c>
      <c r="N315" s="47">
        <v>-566.04</v>
      </c>
      <c r="O315" s="37" t="s">
        <v>1038</v>
      </c>
    </row>
    <row r="316" customHeight="1" spans="1:15">
      <c r="A316" s="37" t="s">
        <v>637</v>
      </c>
      <c r="B316" s="38">
        <v>45046</v>
      </c>
      <c r="C316" s="37" t="s">
        <v>748</v>
      </c>
      <c r="D316" s="37" t="s">
        <v>682</v>
      </c>
      <c r="E316" s="37" t="s">
        <v>640</v>
      </c>
      <c r="F316" s="37" t="s">
        <v>641</v>
      </c>
      <c r="G316" s="37" t="s">
        <v>642</v>
      </c>
      <c r="H316" s="37" t="s">
        <v>650</v>
      </c>
      <c r="I316" s="37" t="s">
        <v>742</v>
      </c>
      <c r="J316" s="37" t="s">
        <v>656</v>
      </c>
      <c r="K316" s="37" t="s">
        <v>13</v>
      </c>
      <c r="L316" s="47">
        <v>11227.3</v>
      </c>
      <c r="M316" s="47">
        <v>10591.79</v>
      </c>
      <c r="N316" s="47">
        <v>635.51</v>
      </c>
      <c r="O316" s="37" t="s">
        <v>1039</v>
      </c>
    </row>
    <row r="317" customHeight="1" spans="1:15">
      <c r="A317" s="37" t="s">
        <v>637</v>
      </c>
      <c r="B317" s="38">
        <v>45046</v>
      </c>
      <c r="C317" s="37" t="s">
        <v>748</v>
      </c>
      <c r="D317" s="37" t="s">
        <v>639</v>
      </c>
      <c r="E317" s="37" t="s">
        <v>640</v>
      </c>
      <c r="F317" s="37" t="s">
        <v>749</v>
      </c>
      <c r="G317" s="37" t="s">
        <v>648</v>
      </c>
      <c r="H317" s="37" t="s">
        <v>643</v>
      </c>
      <c r="I317" s="37" t="s">
        <v>461</v>
      </c>
      <c r="J317" s="37" t="s">
        <v>644</v>
      </c>
      <c r="K317" s="37" t="s">
        <v>14</v>
      </c>
      <c r="L317" s="47">
        <v>-4270</v>
      </c>
      <c r="M317" s="47">
        <v>-4028.3</v>
      </c>
      <c r="N317" s="47">
        <v>-241.7</v>
      </c>
      <c r="O317" s="37" t="s">
        <v>1040</v>
      </c>
    </row>
    <row r="318" customHeight="1" spans="1:15">
      <c r="A318" s="37" t="s">
        <v>637</v>
      </c>
      <c r="B318" s="38">
        <v>45046</v>
      </c>
      <c r="C318" s="37" t="s">
        <v>748</v>
      </c>
      <c r="D318" s="37" t="s">
        <v>639</v>
      </c>
      <c r="E318" s="37" t="s">
        <v>640</v>
      </c>
      <c r="F318" s="37" t="s">
        <v>749</v>
      </c>
      <c r="G318" s="37" t="s">
        <v>648</v>
      </c>
      <c r="H318" s="37" t="s">
        <v>643</v>
      </c>
      <c r="I318" s="37" t="s">
        <v>461</v>
      </c>
      <c r="J318" s="37" t="s">
        <v>644</v>
      </c>
      <c r="K318" s="37" t="s">
        <v>14</v>
      </c>
      <c r="L318" s="47">
        <v>9506.8</v>
      </c>
      <c r="M318" s="47">
        <v>8968.68</v>
      </c>
      <c r="N318" s="47">
        <v>538.12</v>
      </c>
      <c r="O318" s="37" t="s">
        <v>1041</v>
      </c>
    </row>
    <row r="319" customHeight="1" spans="1:15">
      <c r="A319" s="37" t="s">
        <v>637</v>
      </c>
      <c r="B319" s="38">
        <v>45046</v>
      </c>
      <c r="C319" s="37" t="s">
        <v>748</v>
      </c>
      <c r="D319" s="37" t="s">
        <v>653</v>
      </c>
      <c r="E319" s="37" t="s">
        <v>640</v>
      </c>
      <c r="F319" s="37" t="s">
        <v>659</v>
      </c>
      <c r="G319" s="37" t="s">
        <v>642</v>
      </c>
      <c r="H319" s="37" t="s">
        <v>650</v>
      </c>
      <c r="I319" s="37" t="s">
        <v>429</v>
      </c>
      <c r="J319" s="37" t="s">
        <v>656</v>
      </c>
      <c r="K319" s="37" t="s">
        <v>166</v>
      </c>
      <c r="L319" s="47">
        <v>4122.63</v>
      </c>
      <c r="M319" s="47">
        <v>3889.27</v>
      </c>
      <c r="N319" s="47">
        <v>233.36</v>
      </c>
      <c r="O319" s="37" t="s">
        <v>1042</v>
      </c>
    </row>
    <row r="320" customHeight="1" spans="1:15">
      <c r="A320" s="37" t="s">
        <v>637</v>
      </c>
      <c r="B320" s="38">
        <v>45046</v>
      </c>
      <c r="C320" s="37" t="s">
        <v>748</v>
      </c>
      <c r="D320" s="37" t="s">
        <v>653</v>
      </c>
      <c r="E320" s="37" t="s">
        <v>640</v>
      </c>
      <c r="F320" s="37" t="s">
        <v>659</v>
      </c>
      <c r="G320" s="37" t="s">
        <v>648</v>
      </c>
      <c r="H320" s="37" t="s">
        <v>650</v>
      </c>
      <c r="I320" s="37" t="s">
        <v>720</v>
      </c>
      <c r="J320" s="37" t="s">
        <v>656</v>
      </c>
      <c r="K320" s="37" t="s">
        <v>166</v>
      </c>
      <c r="L320" s="47">
        <v>11818.9</v>
      </c>
      <c r="M320" s="47">
        <v>11149.91</v>
      </c>
      <c r="N320" s="47">
        <v>668.99</v>
      </c>
      <c r="O320" s="37" t="s">
        <v>1043</v>
      </c>
    </row>
    <row r="321" customHeight="1" spans="1:15">
      <c r="A321" s="37" t="s">
        <v>637</v>
      </c>
      <c r="B321" s="38">
        <v>45046</v>
      </c>
      <c r="C321" s="37" t="s">
        <v>748</v>
      </c>
      <c r="D321" s="37" t="s">
        <v>653</v>
      </c>
      <c r="E321" s="37" t="s">
        <v>640</v>
      </c>
      <c r="F321" s="37" t="s">
        <v>659</v>
      </c>
      <c r="G321" s="37" t="s">
        <v>642</v>
      </c>
      <c r="H321" s="37" t="s">
        <v>650</v>
      </c>
      <c r="I321" s="37" t="s">
        <v>728</v>
      </c>
      <c r="J321" s="37" t="s">
        <v>656</v>
      </c>
      <c r="K321" s="37" t="s">
        <v>166</v>
      </c>
      <c r="L321" s="47">
        <v>9965.51</v>
      </c>
      <c r="M321" s="47">
        <v>9401.42</v>
      </c>
      <c r="N321" s="47">
        <v>564.09</v>
      </c>
      <c r="O321" s="37" t="s">
        <v>1044</v>
      </c>
    </row>
    <row r="322" customHeight="1" spans="1:15">
      <c r="A322" s="37" t="s">
        <v>637</v>
      </c>
      <c r="B322" s="38">
        <v>45046</v>
      </c>
      <c r="C322" s="37" t="s">
        <v>748</v>
      </c>
      <c r="D322" s="37" t="s">
        <v>653</v>
      </c>
      <c r="E322" s="37" t="s">
        <v>640</v>
      </c>
      <c r="F322" s="37" t="s">
        <v>659</v>
      </c>
      <c r="G322" s="37" t="s">
        <v>642</v>
      </c>
      <c r="H322" s="37" t="s">
        <v>650</v>
      </c>
      <c r="I322" s="37" t="s">
        <v>429</v>
      </c>
      <c r="J322" s="37" t="s">
        <v>656</v>
      </c>
      <c r="K322" s="37" t="s">
        <v>166</v>
      </c>
      <c r="L322" s="47">
        <v>-270.81</v>
      </c>
      <c r="M322" s="47">
        <v>-255.48</v>
      </c>
      <c r="N322" s="47">
        <v>-15.33</v>
      </c>
      <c r="O322" s="37" t="s">
        <v>1045</v>
      </c>
    </row>
    <row r="323" customHeight="1" spans="1:15">
      <c r="A323" s="37" t="s">
        <v>637</v>
      </c>
      <c r="B323" s="38">
        <v>45046</v>
      </c>
      <c r="C323" s="37" t="s">
        <v>748</v>
      </c>
      <c r="D323" s="37" t="s">
        <v>653</v>
      </c>
      <c r="E323" s="37" t="s">
        <v>640</v>
      </c>
      <c r="F323" s="37" t="s">
        <v>659</v>
      </c>
      <c r="G323" s="37" t="s">
        <v>642</v>
      </c>
      <c r="H323" s="37" t="s">
        <v>650</v>
      </c>
      <c r="I323" s="37" t="s">
        <v>728</v>
      </c>
      <c r="J323" s="37" t="s">
        <v>656</v>
      </c>
      <c r="K323" s="37" t="s">
        <v>166</v>
      </c>
      <c r="L323" s="47">
        <v>-423.84</v>
      </c>
      <c r="M323" s="47">
        <v>-399.85</v>
      </c>
      <c r="N323" s="47">
        <v>-23.99</v>
      </c>
      <c r="O323" s="37" t="s">
        <v>1046</v>
      </c>
    </row>
    <row r="324" customHeight="1" spans="1:15">
      <c r="A324" s="37" t="s">
        <v>637</v>
      </c>
      <c r="B324" s="38">
        <v>45046</v>
      </c>
      <c r="C324" s="37" t="s">
        <v>748</v>
      </c>
      <c r="D324" s="37" t="s">
        <v>639</v>
      </c>
      <c r="E324" s="37" t="s">
        <v>647</v>
      </c>
      <c r="F324" s="37" t="s">
        <v>707</v>
      </c>
      <c r="G324" s="37" t="s">
        <v>642</v>
      </c>
      <c r="H324" s="37" t="s">
        <v>650</v>
      </c>
      <c r="I324" s="37" t="s">
        <v>460</v>
      </c>
      <c r="J324" s="37" t="s">
        <v>644</v>
      </c>
      <c r="K324" s="37" t="s">
        <v>14</v>
      </c>
      <c r="L324" s="47">
        <v>861366.6</v>
      </c>
      <c r="M324" s="47">
        <v>812610</v>
      </c>
      <c r="N324" s="47">
        <v>48756.6</v>
      </c>
      <c r="O324" s="37" t="s">
        <v>1047</v>
      </c>
    </row>
    <row r="325" customHeight="1" spans="1:15">
      <c r="A325" s="37" t="s">
        <v>637</v>
      </c>
      <c r="B325" s="38">
        <v>45046</v>
      </c>
      <c r="C325" s="37" t="s">
        <v>748</v>
      </c>
      <c r="D325" s="37" t="s">
        <v>639</v>
      </c>
      <c r="E325" s="37" t="s">
        <v>647</v>
      </c>
      <c r="F325" s="37" t="s">
        <v>641</v>
      </c>
      <c r="G325" s="37" t="s">
        <v>642</v>
      </c>
      <c r="H325" s="37" t="s">
        <v>650</v>
      </c>
      <c r="I325" s="37" t="s">
        <v>436</v>
      </c>
      <c r="J325" s="37" t="s">
        <v>644</v>
      </c>
      <c r="K325" s="37" t="s">
        <v>350</v>
      </c>
      <c r="L325" s="47">
        <v>54389.2</v>
      </c>
      <c r="M325" s="47">
        <v>51310.57</v>
      </c>
      <c r="N325" s="47">
        <v>3078.63</v>
      </c>
      <c r="O325" s="37" t="s">
        <v>1048</v>
      </c>
    </row>
    <row r="326" customHeight="1" spans="1:15">
      <c r="A326" s="37" t="s">
        <v>637</v>
      </c>
      <c r="B326" s="38">
        <v>45046</v>
      </c>
      <c r="C326" s="37" t="s">
        <v>748</v>
      </c>
      <c r="D326" s="37" t="s">
        <v>639</v>
      </c>
      <c r="E326" s="37" t="s">
        <v>640</v>
      </c>
      <c r="F326" s="37" t="s">
        <v>641</v>
      </c>
      <c r="G326" s="37" t="s">
        <v>648</v>
      </c>
      <c r="H326" s="37" t="s">
        <v>643</v>
      </c>
      <c r="I326" s="37" t="s">
        <v>430</v>
      </c>
      <c r="J326" s="37" t="s">
        <v>644</v>
      </c>
      <c r="K326" s="37" t="s">
        <v>14</v>
      </c>
      <c r="L326" s="47">
        <v>-16295.65</v>
      </c>
      <c r="M326" s="47">
        <v>-15373.25</v>
      </c>
      <c r="N326" s="47">
        <v>-922.4</v>
      </c>
      <c r="O326" s="37" t="s">
        <v>1049</v>
      </c>
    </row>
    <row r="327" customHeight="1" spans="1:15">
      <c r="A327" s="37" t="s">
        <v>637</v>
      </c>
      <c r="B327" s="38">
        <v>45046</v>
      </c>
      <c r="C327" s="37" t="s">
        <v>748</v>
      </c>
      <c r="D327" s="37" t="s">
        <v>639</v>
      </c>
      <c r="E327" s="37" t="s">
        <v>640</v>
      </c>
      <c r="F327" s="37" t="s">
        <v>707</v>
      </c>
      <c r="G327" s="37" t="s">
        <v>642</v>
      </c>
      <c r="H327" s="37" t="s">
        <v>643</v>
      </c>
      <c r="I327" s="37" t="s">
        <v>429</v>
      </c>
      <c r="J327" s="37" t="s">
        <v>644</v>
      </c>
      <c r="K327" s="37" t="s">
        <v>14</v>
      </c>
      <c r="L327" s="47">
        <v>6939.08</v>
      </c>
      <c r="M327" s="47">
        <v>6546.3</v>
      </c>
      <c r="N327" s="47">
        <v>392.78</v>
      </c>
      <c r="O327" s="37" t="s">
        <v>1050</v>
      </c>
    </row>
    <row r="328" customHeight="1" spans="1:15">
      <c r="A328" s="37" t="s">
        <v>637</v>
      </c>
      <c r="B328" s="38">
        <v>45046</v>
      </c>
      <c r="C328" s="37" t="s">
        <v>748</v>
      </c>
      <c r="D328" s="37" t="s">
        <v>639</v>
      </c>
      <c r="E328" s="37" t="s">
        <v>640</v>
      </c>
      <c r="F328" s="37" t="s">
        <v>749</v>
      </c>
      <c r="G328" s="37" t="s">
        <v>648</v>
      </c>
      <c r="H328" s="37" t="s">
        <v>643</v>
      </c>
      <c r="I328" s="37" t="s">
        <v>461</v>
      </c>
      <c r="J328" s="37" t="s">
        <v>644</v>
      </c>
      <c r="K328" s="37" t="s">
        <v>14</v>
      </c>
      <c r="L328" s="47">
        <v>3316.24</v>
      </c>
      <c r="M328" s="47">
        <v>3128.53</v>
      </c>
      <c r="N328" s="47">
        <v>187.71</v>
      </c>
      <c r="O328" s="37" t="s">
        <v>1051</v>
      </c>
    </row>
    <row r="329" customHeight="1" spans="1:15">
      <c r="A329" s="37" t="s">
        <v>637</v>
      </c>
      <c r="B329" s="38">
        <v>45046</v>
      </c>
      <c r="C329" s="37" t="s">
        <v>748</v>
      </c>
      <c r="D329" s="37" t="s">
        <v>639</v>
      </c>
      <c r="E329" s="37" t="s">
        <v>640</v>
      </c>
      <c r="F329" s="37" t="s">
        <v>641</v>
      </c>
      <c r="G329" s="37" t="s">
        <v>648</v>
      </c>
      <c r="H329" s="37" t="s">
        <v>643</v>
      </c>
      <c r="I329" s="37" t="s">
        <v>441</v>
      </c>
      <c r="J329" s="37" t="s">
        <v>644</v>
      </c>
      <c r="K329" s="37" t="s">
        <v>14</v>
      </c>
      <c r="L329" s="47">
        <v>453542.5</v>
      </c>
      <c r="M329" s="47">
        <v>427870.28</v>
      </c>
      <c r="N329" s="47">
        <v>25672.22</v>
      </c>
      <c r="O329" s="37" t="s">
        <v>1052</v>
      </c>
    </row>
    <row r="330" customHeight="1" spans="1:15">
      <c r="A330" s="37" t="s">
        <v>637</v>
      </c>
      <c r="B330" s="38">
        <v>45046</v>
      </c>
      <c r="C330" s="37" t="s">
        <v>748</v>
      </c>
      <c r="D330" s="37" t="s">
        <v>639</v>
      </c>
      <c r="E330" s="37" t="s">
        <v>640</v>
      </c>
      <c r="F330" s="37" t="s">
        <v>707</v>
      </c>
      <c r="G330" s="37" t="s">
        <v>642</v>
      </c>
      <c r="H330" s="37" t="s">
        <v>643</v>
      </c>
      <c r="I330" s="37" t="s">
        <v>429</v>
      </c>
      <c r="J330" s="37" t="s">
        <v>644</v>
      </c>
      <c r="K330" s="37" t="s">
        <v>14</v>
      </c>
      <c r="L330" s="47">
        <v>-8501.5</v>
      </c>
      <c r="M330" s="47">
        <v>-8020.28</v>
      </c>
      <c r="N330" s="47">
        <v>-481.22</v>
      </c>
      <c r="O330" s="37" t="s">
        <v>1053</v>
      </c>
    </row>
    <row r="331" customHeight="1" spans="1:15">
      <c r="A331" s="37" t="s">
        <v>637</v>
      </c>
      <c r="B331" s="38">
        <v>45046</v>
      </c>
      <c r="C331" s="37" t="s">
        <v>748</v>
      </c>
      <c r="D331" s="37" t="s">
        <v>639</v>
      </c>
      <c r="E331" s="37" t="s">
        <v>647</v>
      </c>
      <c r="F331" s="37" t="s">
        <v>707</v>
      </c>
      <c r="G331" s="37" t="s">
        <v>654</v>
      </c>
      <c r="H331" s="37" t="s">
        <v>697</v>
      </c>
      <c r="I331" s="37" t="s">
        <v>782</v>
      </c>
      <c r="J331" s="37" t="s">
        <v>644</v>
      </c>
      <c r="K331" s="37" t="s">
        <v>14</v>
      </c>
      <c r="L331" s="47">
        <v>13333.33</v>
      </c>
      <c r="M331" s="47">
        <v>12578.62</v>
      </c>
      <c r="N331" s="47">
        <v>754.71</v>
      </c>
      <c r="O331" s="37" t="s">
        <v>1054</v>
      </c>
    </row>
    <row r="332" customHeight="1" spans="1:15">
      <c r="A332" s="37" t="s">
        <v>637</v>
      </c>
      <c r="B332" s="38">
        <v>45046</v>
      </c>
      <c r="C332" s="37" t="s">
        <v>748</v>
      </c>
      <c r="D332" s="37" t="s">
        <v>639</v>
      </c>
      <c r="E332" s="37" t="s">
        <v>647</v>
      </c>
      <c r="F332" s="37" t="s">
        <v>641</v>
      </c>
      <c r="G332" s="37" t="s">
        <v>654</v>
      </c>
      <c r="H332" s="37" t="s">
        <v>650</v>
      </c>
      <c r="I332" s="37" t="s">
        <v>776</v>
      </c>
      <c r="J332" s="37" t="s">
        <v>644</v>
      </c>
      <c r="K332" s="37" t="s">
        <v>14</v>
      </c>
      <c r="L332" s="47">
        <v>315000</v>
      </c>
      <c r="M332" s="47">
        <v>297169.82</v>
      </c>
      <c r="N332" s="47">
        <v>17830.18</v>
      </c>
      <c r="O332" s="37" t="s">
        <v>1055</v>
      </c>
    </row>
    <row r="333" customHeight="1" spans="1:15">
      <c r="A333" s="37" t="s">
        <v>637</v>
      </c>
      <c r="B333" s="38">
        <v>45046</v>
      </c>
      <c r="C333" s="37" t="s">
        <v>748</v>
      </c>
      <c r="D333" s="37" t="s">
        <v>639</v>
      </c>
      <c r="E333" s="37" t="s">
        <v>647</v>
      </c>
      <c r="F333" s="37" t="s">
        <v>707</v>
      </c>
      <c r="G333" s="37" t="s">
        <v>642</v>
      </c>
      <c r="H333" s="37" t="s">
        <v>650</v>
      </c>
      <c r="I333" s="37" t="s">
        <v>429</v>
      </c>
      <c r="J333" s="37" t="s">
        <v>644</v>
      </c>
      <c r="K333" s="37" t="s">
        <v>165</v>
      </c>
      <c r="L333" s="47">
        <v>847653.41</v>
      </c>
      <c r="M333" s="47">
        <v>799673.02</v>
      </c>
      <c r="N333" s="47">
        <v>47980.39</v>
      </c>
      <c r="O333" s="37" t="s">
        <v>1056</v>
      </c>
    </row>
    <row r="334" customHeight="1" spans="1:15">
      <c r="A334" s="37" t="s">
        <v>637</v>
      </c>
      <c r="B334" s="38">
        <v>45046</v>
      </c>
      <c r="C334" s="37" t="s">
        <v>748</v>
      </c>
      <c r="D334" s="37" t="s">
        <v>639</v>
      </c>
      <c r="E334" s="37" t="s">
        <v>647</v>
      </c>
      <c r="F334" s="37" t="s">
        <v>749</v>
      </c>
      <c r="G334" s="37" t="s">
        <v>642</v>
      </c>
      <c r="H334" s="37" t="s">
        <v>650</v>
      </c>
      <c r="I334" s="37" t="s">
        <v>779</v>
      </c>
      <c r="J334" s="37" t="s">
        <v>644</v>
      </c>
      <c r="K334" s="37" t="s">
        <v>14</v>
      </c>
      <c r="L334" s="47">
        <v>493.4</v>
      </c>
      <c r="M334" s="47">
        <v>465.47</v>
      </c>
      <c r="N334" s="47">
        <v>27.93</v>
      </c>
      <c r="O334" s="37" t="s">
        <v>1057</v>
      </c>
    </row>
    <row r="335" customHeight="1" spans="1:15">
      <c r="A335" s="37" t="s">
        <v>637</v>
      </c>
      <c r="B335" s="38">
        <v>45046</v>
      </c>
      <c r="C335" s="37" t="s">
        <v>748</v>
      </c>
      <c r="D335" s="37" t="s">
        <v>639</v>
      </c>
      <c r="E335" s="37" t="s">
        <v>647</v>
      </c>
      <c r="F335" s="37" t="s">
        <v>641</v>
      </c>
      <c r="G335" s="37" t="s">
        <v>642</v>
      </c>
      <c r="H335" s="37" t="s">
        <v>650</v>
      </c>
      <c r="I335" s="37" t="s">
        <v>441</v>
      </c>
      <c r="J335" s="37" t="s">
        <v>644</v>
      </c>
      <c r="K335" s="37" t="s">
        <v>14</v>
      </c>
      <c r="L335" s="47">
        <v>47463</v>
      </c>
      <c r="M335" s="47">
        <v>44776.41</v>
      </c>
      <c r="N335" s="47">
        <v>2686.59</v>
      </c>
      <c r="O335" s="37" t="s">
        <v>1058</v>
      </c>
    </row>
    <row r="336" customHeight="1" spans="1:15">
      <c r="A336" s="37" t="s">
        <v>637</v>
      </c>
      <c r="B336" s="38">
        <v>45046</v>
      </c>
      <c r="C336" s="37" t="s">
        <v>748</v>
      </c>
      <c r="D336" s="37" t="s">
        <v>639</v>
      </c>
      <c r="E336" s="37" t="s">
        <v>647</v>
      </c>
      <c r="F336" s="37" t="s">
        <v>641</v>
      </c>
      <c r="G336" s="37" t="s">
        <v>642</v>
      </c>
      <c r="H336" s="37" t="s">
        <v>650</v>
      </c>
      <c r="I336" s="37" t="s">
        <v>430</v>
      </c>
      <c r="J336" s="37" t="s">
        <v>644</v>
      </c>
      <c r="K336" s="37" t="s">
        <v>14</v>
      </c>
      <c r="L336" s="47">
        <v>56820.06</v>
      </c>
      <c r="M336" s="47">
        <v>53603.83</v>
      </c>
      <c r="N336" s="47">
        <v>3216.23</v>
      </c>
      <c r="O336" s="37" t="s">
        <v>1059</v>
      </c>
    </row>
    <row r="337" customHeight="1" spans="1:15">
      <c r="A337" s="37" t="s">
        <v>637</v>
      </c>
      <c r="B337" s="38">
        <v>45046</v>
      </c>
      <c r="C337" s="37" t="s">
        <v>748</v>
      </c>
      <c r="D337" s="37" t="s">
        <v>639</v>
      </c>
      <c r="E337" s="37" t="s">
        <v>647</v>
      </c>
      <c r="F337" s="37" t="s">
        <v>689</v>
      </c>
      <c r="G337" s="37" t="s">
        <v>654</v>
      </c>
      <c r="H337" s="37" t="s">
        <v>697</v>
      </c>
      <c r="I337" s="37" t="s">
        <v>669</v>
      </c>
      <c r="J337" s="37" t="s">
        <v>656</v>
      </c>
      <c r="K337" s="37" t="s">
        <v>350</v>
      </c>
      <c r="L337" s="47">
        <v>16645</v>
      </c>
      <c r="M337" s="47">
        <v>15702.83</v>
      </c>
      <c r="N337" s="47">
        <v>942.17</v>
      </c>
      <c r="O337" s="37" t="s">
        <v>1060</v>
      </c>
    </row>
    <row r="338" customHeight="1" spans="1:15">
      <c r="A338" s="37" t="s">
        <v>637</v>
      </c>
      <c r="B338" s="38">
        <v>45046</v>
      </c>
      <c r="C338" s="37" t="s">
        <v>748</v>
      </c>
      <c r="D338" s="37" t="s">
        <v>639</v>
      </c>
      <c r="E338" s="37" t="s">
        <v>647</v>
      </c>
      <c r="F338" s="37" t="s">
        <v>707</v>
      </c>
      <c r="G338" s="37" t="s">
        <v>642</v>
      </c>
      <c r="H338" s="37" t="s">
        <v>650</v>
      </c>
      <c r="I338" s="37" t="s">
        <v>429</v>
      </c>
      <c r="J338" s="37" t="s">
        <v>644</v>
      </c>
      <c r="K338" s="37" t="s">
        <v>14</v>
      </c>
      <c r="L338" s="47">
        <v>68883.5</v>
      </c>
      <c r="M338" s="47">
        <v>64984.43</v>
      </c>
      <c r="N338" s="47">
        <v>3899.07</v>
      </c>
      <c r="O338" s="37" t="s">
        <v>1061</v>
      </c>
    </row>
    <row r="339" customHeight="1" spans="1:15">
      <c r="A339" s="37" t="s">
        <v>637</v>
      </c>
      <c r="B339" s="38">
        <v>45046</v>
      </c>
      <c r="C339" s="37" t="s">
        <v>748</v>
      </c>
      <c r="D339" s="37" t="s">
        <v>639</v>
      </c>
      <c r="E339" s="37" t="s">
        <v>647</v>
      </c>
      <c r="F339" s="37" t="s">
        <v>707</v>
      </c>
      <c r="G339" s="37" t="s">
        <v>648</v>
      </c>
      <c r="H339" s="37" t="s">
        <v>650</v>
      </c>
      <c r="I339" s="37" t="s">
        <v>763</v>
      </c>
      <c r="J339" s="37" t="s">
        <v>644</v>
      </c>
      <c r="K339" s="37" t="s">
        <v>165</v>
      </c>
      <c r="L339" s="47">
        <v>17500.52</v>
      </c>
      <c r="M339" s="47">
        <v>16509.9</v>
      </c>
      <c r="N339" s="47">
        <v>990.62</v>
      </c>
      <c r="O339" s="37" t="s">
        <v>1062</v>
      </c>
    </row>
    <row r="340" customHeight="1" spans="1:15">
      <c r="A340" s="37" t="s">
        <v>637</v>
      </c>
      <c r="B340" s="38">
        <v>45046</v>
      </c>
      <c r="C340" s="37" t="s">
        <v>748</v>
      </c>
      <c r="D340" s="37" t="s">
        <v>639</v>
      </c>
      <c r="E340" s="37" t="s">
        <v>647</v>
      </c>
      <c r="F340" s="37" t="s">
        <v>689</v>
      </c>
      <c r="G340" s="37" t="s">
        <v>654</v>
      </c>
      <c r="H340" s="37" t="s">
        <v>650</v>
      </c>
      <c r="I340" s="37" t="s">
        <v>664</v>
      </c>
      <c r="J340" s="37" t="s">
        <v>656</v>
      </c>
      <c r="K340" s="37" t="s">
        <v>350</v>
      </c>
      <c r="L340" s="47">
        <v>18494</v>
      </c>
      <c r="M340" s="47">
        <v>17447.18</v>
      </c>
      <c r="N340" s="47">
        <v>1046.82</v>
      </c>
      <c r="O340" s="37" t="s">
        <v>1063</v>
      </c>
    </row>
    <row r="341" customHeight="1" spans="1:15">
      <c r="A341" s="37" t="s">
        <v>637</v>
      </c>
      <c r="B341" s="38">
        <v>45046</v>
      </c>
      <c r="C341" s="37" t="s">
        <v>748</v>
      </c>
      <c r="D341" s="37" t="s">
        <v>639</v>
      </c>
      <c r="E341" s="37" t="s">
        <v>647</v>
      </c>
      <c r="F341" s="37" t="s">
        <v>641</v>
      </c>
      <c r="G341" s="37" t="s">
        <v>648</v>
      </c>
      <c r="H341" s="37" t="s">
        <v>650</v>
      </c>
      <c r="I341" s="37" t="s">
        <v>447</v>
      </c>
      <c r="J341" s="37" t="s">
        <v>656</v>
      </c>
      <c r="K341" s="37" t="s">
        <v>14</v>
      </c>
      <c r="L341" s="47">
        <v>82484.58</v>
      </c>
      <c r="M341" s="47">
        <v>77815.65</v>
      </c>
      <c r="N341" s="47">
        <v>4668.93</v>
      </c>
      <c r="O341" s="37" t="s">
        <v>1064</v>
      </c>
    </row>
    <row r="342" customHeight="1" spans="1:15">
      <c r="A342" s="37" t="s">
        <v>637</v>
      </c>
      <c r="B342" s="38">
        <v>45046</v>
      </c>
      <c r="C342" s="37" t="s">
        <v>748</v>
      </c>
      <c r="D342" s="37" t="s">
        <v>639</v>
      </c>
      <c r="E342" s="37" t="s">
        <v>647</v>
      </c>
      <c r="F342" s="37" t="s">
        <v>689</v>
      </c>
      <c r="G342" s="37" t="s">
        <v>654</v>
      </c>
      <c r="H342" s="37" t="s">
        <v>697</v>
      </c>
      <c r="I342" s="37" t="s">
        <v>665</v>
      </c>
      <c r="J342" s="37" t="s">
        <v>656</v>
      </c>
      <c r="K342" s="37" t="s">
        <v>350</v>
      </c>
      <c r="L342" s="47">
        <v>1557.5</v>
      </c>
      <c r="M342" s="47">
        <v>1469.34</v>
      </c>
      <c r="N342" s="47">
        <v>88.16</v>
      </c>
      <c r="O342" s="37" t="s">
        <v>1065</v>
      </c>
    </row>
    <row r="343" customHeight="1" spans="1:15">
      <c r="A343" s="37" t="s">
        <v>637</v>
      </c>
      <c r="B343" s="38">
        <v>45046</v>
      </c>
      <c r="C343" s="37" t="s">
        <v>748</v>
      </c>
      <c r="D343" s="37" t="s">
        <v>639</v>
      </c>
      <c r="E343" s="37" t="s">
        <v>647</v>
      </c>
      <c r="F343" s="37" t="s">
        <v>749</v>
      </c>
      <c r="G343" s="37" t="s">
        <v>648</v>
      </c>
      <c r="H343" s="37" t="s">
        <v>650</v>
      </c>
      <c r="I343" s="37" t="s">
        <v>461</v>
      </c>
      <c r="J343" s="37" t="s">
        <v>644</v>
      </c>
      <c r="K343" s="37" t="s">
        <v>14</v>
      </c>
      <c r="L343" s="47">
        <v>214985</v>
      </c>
      <c r="M343" s="47">
        <v>202816.05</v>
      </c>
      <c r="N343" s="47">
        <v>12168.95</v>
      </c>
      <c r="O343" s="37" t="s">
        <v>1066</v>
      </c>
    </row>
    <row r="344" customHeight="1" spans="1:15">
      <c r="A344" s="37" t="s">
        <v>637</v>
      </c>
      <c r="B344" s="38">
        <v>45046</v>
      </c>
      <c r="C344" s="37" t="s">
        <v>748</v>
      </c>
      <c r="D344" s="37" t="s">
        <v>639</v>
      </c>
      <c r="E344" s="37" t="s">
        <v>647</v>
      </c>
      <c r="F344" s="37" t="s">
        <v>689</v>
      </c>
      <c r="G344" s="37" t="s">
        <v>654</v>
      </c>
      <c r="H344" s="37" t="s">
        <v>697</v>
      </c>
      <c r="I344" s="37" t="s">
        <v>672</v>
      </c>
      <c r="J344" s="37" t="s">
        <v>656</v>
      </c>
      <c r="K344" s="37" t="s">
        <v>350</v>
      </c>
      <c r="L344" s="47">
        <v>417663</v>
      </c>
      <c r="M344" s="47">
        <v>394021.69</v>
      </c>
      <c r="N344" s="47">
        <v>23641.31</v>
      </c>
      <c r="O344" s="37" t="s">
        <v>1067</v>
      </c>
    </row>
    <row r="345" customHeight="1" spans="1:15">
      <c r="A345" s="37" t="s">
        <v>637</v>
      </c>
      <c r="B345" s="38">
        <v>45046</v>
      </c>
      <c r="C345" s="37" t="s">
        <v>748</v>
      </c>
      <c r="D345" s="37" t="s">
        <v>639</v>
      </c>
      <c r="E345" s="37" t="s">
        <v>647</v>
      </c>
      <c r="F345" s="37" t="s">
        <v>749</v>
      </c>
      <c r="G345" s="37" t="s">
        <v>648</v>
      </c>
      <c r="H345" s="37" t="s">
        <v>650</v>
      </c>
      <c r="I345" s="37" t="s">
        <v>461</v>
      </c>
      <c r="J345" s="37" t="s">
        <v>644</v>
      </c>
      <c r="K345" s="37" t="s">
        <v>14</v>
      </c>
      <c r="L345" s="47">
        <v>147300.8</v>
      </c>
      <c r="M345" s="47">
        <v>138963</v>
      </c>
      <c r="N345" s="47">
        <v>8337.8</v>
      </c>
      <c r="O345" s="37" t="s">
        <v>1068</v>
      </c>
    </row>
    <row r="346" customHeight="1" spans="1:15">
      <c r="A346" s="37" t="s">
        <v>637</v>
      </c>
      <c r="B346" s="38">
        <v>45046</v>
      </c>
      <c r="C346" s="37" t="s">
        <v>748</v>
      </c>
      <c r="D346" s="37" t="s">
        <v>639</v>
      </c>
      <c r="E346" s="37" t="s">
        <v>647</v>
      </c>
      <c r="F346" s="37" t="s">
        <v>641</v>
      </c>
      <c r="G346" s="37" t="s">
        <v>648</v>
      </c>
      <c r="H346" s="37" t="s">
        <v>643</v>
      </c>
      <c r="I346" s="37" t="s">
        <v>430</v>
      </c>
      <c r="J346" s="37" t="s">
        <v>644</v>
      </c>
      <c r="K346" s="37" t="s">
        <v>14</v>
      </c>
      <c r="L346" s="47">
        <v>1535574.48</v>
      </c>
      <c r="M346" s="47">
        <v>1448655.18</v>
      </c>
      <c r="N346" s="47">
        <v>86919.3</v>
      </c>
      <c r="O346" s="37" t="s">
        <v>1069</v>
      </c>
    </row>
    <row r="347" customHeight="1" spans="1:15">
      <c r="A347" s="37" t="s">
        <v>637</v>
      </c>
      <c r="B347" s="38">
        <v>45046</v>
      </c>
      <c r="C347" s="37" t="s">
        <v>748</v>
      </c>
      <c r="D347" s="37" t="s">
        <v>639</v>
      </c>
      <c r="E347" s="37" t="s">
        <v>647</v>
      </c>
      <c r="F347" s="37" t="s">
        <v>707</v>
      </c>
      <c r="G347" s="37" t="s">
        <v>648</v>
      </c>
      <c r="H347" s="37" t="s">
        <v>643</v>
      </c>
      <c r="I347" s="37" t="s">
        <v>429</v>
      </c>
      <c r="J347" s="37" t="s">
        <v>644</v>
      </c>
      <c r="K347" s="37" t="s">
        <v>14</v>
      </c>
      <c r="L347" s="47">
        <v>2849039.1</v>
      </c>
      <c r="M347" s="47">
        <v>2687772.73</v>
      </c>
      <c r="N347" s="47">
        <v>161266.37</v>
      </c>
      <c r="O347" s="37" t="s">
        <v>1070</v>
      </c>
    </row>
    <row r="348" customHeight="1" spans="1:15">
      <c r="A348" s="37" t="s">
        <v>637</v>
      </c>
      <c r="B348" s="38">
        <v>45046</v>
      </c>
      <c r="C348" s="37" t="s">
        <v>748</v>
      </c>
      <c r="D348" s="37" t="s">
        <v>639</v>
      </c>
      <c r="E348" s="37" t="s">
        <v>647</v>
      </c>
      <c r="F348" s="37" t="s">
        <v>707</v>
      </c>
      <c r="G348" s="37" t="s">
        <v>654</v>
      </c>
      <c r="H348" s="37" t="s">
        <v>650</v>
      </c>
      <c r="I348" s="37" t="s">
        <v>754</v>
      </c>
      <c r="J348" s="37" t="s">
        <v>644</v>
      </c>
      <c r="K348" s="37" t="s">
        <v>14</v>
      </c>
      <c r="L348" s="47">
        <v>3800386.4</v>
      </c>
      <c r="M348" s="47">
        <v>3585270.18</v>
      </c>
      <c r="N348" s="47">
        <v>215116.22</v>
      </c>
      <c r="O348" s="37" t="s">
        <v>1071</v>
      </c>
    </row>
    <row r="349" customHeight="1" spans="1:15">
      <c r="A349" s="37" t="s">
        <v>637</v>
      </c>
      <c r="B349" s="38">
        <v>45046</v>
      </c>
      <c r="C349" s="37" t="s">
        <v>748</v>
      </c>
      <c r="D349" s="37" t="s">
        <v>682</v>
      </c>
      <c r="E349" s="37" t="s">
        <v>647</v>
      </c>
      <c r="F349" s="37" t="s">
        <v>641</v>
      </c>
      <c r="G349" s="37" t="s">
        <v>648</v>
      </c>
      <c r="H349" s="37" t="s">
        <v>650</v>
      </c>
      <c r="I349" s="37" t="s">
        <v>711</v>
      </c>
      <c r="J349" s="37" t="s">
        <v>656</v>
      </c>
      <c r="K349" s="37" t="s">
        <v>13</v>
      </c>
      <c r="L349" s="47">
        <v>378</v>
      </c>
      <c r="M349" s="47">
        <v>356.6</v>
      </c>
      <c r="N349" s="47">
        <v>21.4</v>
      </c>
      <c r="O349" s="37" t="s">
        <v>1072</v>
      </c>
    </row>
    <row r="350" customHeight="1" spans="1:15">
      <c r="A350" s="37" t="s">
        <v>637</v>
      </c>
      <c r="B350" s="38">
        <v>45046</v>
      </c>
      <c r="C350" s="37" t="s">
        <v>638</v>
      </c>
      <c r="D350" s="37" t="s">
        <v>639</v>
      </c>
      <c r="E350" s="37" t="s">
        <v>640</v>
      </c>
      <c r="F350" s="37" t="s">
        <v>641</v>
      </c>
      <c r="G350" s="37" t="s">
        <v>642</v>
      </c>
      <c r="H350" s="37" t="s">
        <v>643</v>
      </c>
      <c r="I350" s="37" t="s">
        <v>430</v>
      </c>
      <c r="J350" s="37" t="s">
        <v>644</v>
      </c>
      <c r="K350" s="37" t="s">
        <v>14</v>
      </c>
      <c r="L350" s="47">
        <v>2342.41</v>
      </c>
      <c r="M350" s="47">
        <v>2209.82</v>
      </c>
      <c r="N350" s="47">
        <v>132.59</v>
      </c>
      <c r="O350" s="37" t="s">
        <v>1073</v>
      </c>
    </row>
    <row r="351" customHeight="1" spans="1:15">
      <c r="A351" s="37" t="s">
        <v>637</v>
      </c>
      <c r="B351" s="38">
        <v>45046</v>
      </c>
      <c r="C351" s="37" t="s">
        <v>638</v>
      </c>
      <c r="D351" s="37" t="s">
        <v>639</v>
      </c>
      <c r="E351" s="37" t="s">
        <v>640</v>
      </c>
      <c r="F351" s="37" t="s">
        <v>641</v>
      </c>
      <c r="G351" s="37" t="s">
        <v>648</v>
      </c>
      <c r="H351" s="37" t="s">
        <v>643</v>
      </c>
      <c r="I351" s="37" t="s">
        <v>430</v>
      </c>
      <c r="J351" s="37" t="s">
        <v>644</v>
      </c>
      <c r="K351" s="37" t="s">
        <v>14</v>
      </c>
      <c r="L351" s="47">
        <v>660657.35</v>
      </c>
      <c r="M351" s="47">
        <v>623261.65</v>
      </c>
      <c r="N351" s="47">
        <v>37395.7</v>
      </c>
      <c r="O351" s="37" t="s">
        <v>1074</v>
      </c>
    </row>
    <row r="352" customHeight="1" spans="1:15">
      <c r="A352" s="37" t="s">
        <v>637</v>
      </c>
      <c r="B352" s="38">
        <v>45046</v>
      </c>
      <c r="C352" s="37" t="s">
        <v>646</v>
      </c>
      <c r="D352" s="37" t="s">
        <v>639</v>
      </c>
      <c r="E352" s="37" t="s">
        <v>640</v>
      </c>
      <c r="F352" s="37" t="s">
        <v>641</v>
      </c>
      <c r="G352" s="37" t="s">
        <v>642</v>
      </c>
      <c r="H352" s="37" t="s">
        <v>643</v>
      </c>
      <c r="I352" s="37" t="s">
        <v>430</v>
      </c>
      <c r="J352" s="37" t="s">
        <v>644</v>
      </c>
      <c r="K352" s="37" t="s">
        <v>14</v>
      </c>
      <c r="L352" s="47">
        <v>39021</v>
      </c>
      <c r="M352" s="47">
        <v>36812.26</v>
      </c>
      <c r="N352" s="47">
        <v>2208.74</v>
      </c>
      <c r="O352" s="37" t="s">
        <v>1075</v>
      </c>
    </row>
    <row r="353" customHeight="1" spans="1:15">
      <c r="A353" s="37" t="s">
        <v>637</v>
      </c>
      <c r="B353" s="38">
        <v>45046</v>
      </c>
      <c r="C353" s="37" t="s">
        <v>646</v>
      </c>
      <c r="D353" s="37" t="s">
        <v>682</v>
      </c>
      <c r="E353" s="37" t="s">
        <v>640</v>
      </c>
      <c r="F353" s="37" t="s">
        <v>641</v>
      </c>
      <c r="G353" s="37" t="s">
        <v>642</v>
      </c>
      <c r="H353" s="37" t="s">
        <v>650</v>
      </c>
      <c r="I353" s="37" t="s">
        <v>743</v>
      </c>
      <c r="J353" s="37" t="s">
        <v>656</v>
      </c>
      <c r="K353" s="37" t="s">
        <v>13</v>
      </c>
      <c r="L353" s="47">
        <v>15875</v>
      </c>
      <c r="M353" s="47">
        <v>14976.42</v>
      </c>
      <c r="N353" s="47">
        <v>898.58</v>
      </c>
      <c r="O353" s="37" t="s">
        <v>1076</v>
      </c>
    </row>
    <row r="354" customHeight="1" spans="1:15">
      <c r="A354" s="37" t="s">
        <v>637</v>
      </c>
      <c r="B354" s="38">
        <v>45046</v>
      </c>
      <c r="C354" s="37" t="s">
        <v>646</v>
      </c>
      <c r="D354" s="37" t="s">
        <v>639</v>
      </c>
      <c r="E354" s="37" t="s">
        <v>640</v>
      </c>
      <c r="F354" s="37" t="s">
        <v>641</v>
      </c>
      <c r="G354" s="37" t="s">
        <v>648</v>
      </c>
      <c r="H354" s="37" t="s">
        <v>643</v>
      </c>
      <c r="I354" s="37" t="s">
        <v>430</v>
      </c>
      <c r="J354" s="37" t="s">
        <v>644</v>
      </c>
      <c r="K354" s="37" t="s">
        <v>14</v>
      </c>
      <c r="L354" s="47">
        <v>-18031.85</v>
      </c>
      <c r="M354" s="47">
        <v>-17011.18</v>
      </c>
      <c r="N354" s="47">
        <v>-1020.67</v>
      </c>
      <c r="O354" s="37" t="s">
        <v>1077</v>
      </c>
    </row>
    <row r="355" customHeight="1" spans="1:15">
      <c r="A355" s="37" t="s">
        <v>637</v>
      </c>
      <c r="B355" s="38">
        <v>45046</v>
      </c>
      <c r="C355" s="37" t="s">
        <v>646</v>
      </c>
      <c r="D355" s="37" t="s">
        <v>639</v>
      </c>
      <c r="E355" s="37" t="s">
        <v>640</v>
      </c>
      <c r="F355" s="37" t="s">
        <v>641</v>
      </c>
      <c r="G355" s="37" t="s">
        <v>648</v>
      </c>
      <c r="H355" s="37" t="s">
        <v>643</v>
      </c>
      <c r="I355" s="37" t="s">
        <v>430</v>
      </c>
      <c r="J355" s="37" t="s">
        <v>644</v>
      </c>
      <c r="K355" s="37" t="s">
        <v>14</v>
      </c>
      <c r="L355" s="47">
        <v>65.27</v>
      </c>
      <c r="M355" s="47">
        <v>61.58</v>
      </c>
      <c r="N355" s="47">
        <v>3.69</v>
      </c>
      <c r="O355" s="37" t="s">
        <v>1078</v>
      </c>
    </row>
    <row r="356" customHeight="1" spans="1:15">
      <c r="A356" s="37" t="s">
        <v>637</v>
      </c>
      <c r="B356" s="38">
        <v>45046</v>
      </c>
      <c r="C356" s="37" t="s">
        <v>748</v>
      </c>
      <c r="D356" s="37" t="s">
        <v>639</v>
      </c>
      <c r="E356" s="37" t="s">
        <v>640</v>
      </c>
      <c r="F356" s="37" t="s">
        <v>641</v>
      </c>
      <c r="G356" s="37" t="s">
        <v>642</v>
      </c>
      <c r="H356" s="37" t="s">
        <v>643</v>
      </c>
      <c r="I356" s="37" t="s">
        <v>430</v>
      </c>
      <c r="J356" s="37" t="s">
        <v>644</v>
      </c>
      <c r="K356" s="37" t="s">
        <v>14</v>
      </c>
      <c r="L356" s="47">
        <v>14179.58</v>
      </c>
      <c r="M356" s="47">
        <v>13376.96</v>
      </c>
      <c r="N356" s="47">
        <v>802.62</v>
      </c>
      <c r="O356" s="37" t="s">
        <v>1079</v>
      </c>
    </row>
    <row r="357" customHeight="1" spans="1:15">
      <c r="A357" s="37" t="s">
        <v>637</v>
      </c>
      <c r="B357" s="38">
        <v>45046</v>
      </c>
      <c r="C357" s="37" t="s">
        <v>811</v>
      </c>
      <c r="D357" s="37" t="s">
        <v>639</v>
      </c>
      <c r="E357" s="37" t="s">
        <v>640</v>
      </c>
      <c r="F357" s="37" t="s">
        <v>641</v>
      </c>
      <c r="G357" s="37" t="s">
        <v>642</v>
      </c>
      <c r="H357" s="37" t="s">
        <v>643</v>
      </c>
      <c r="I357" s="37" t="s">
        <v>430</v>
      </c>
      <c r="J357" s="37" t="s">
        <v>644</v>
      </c>
      <c r="K357" s="37" t="s">
        <v>14</v>
      </c>
      <c r="L357" s="47">
        <v>102624.57</v>
      </c>
      <c r="M357" s="47">
        <v>96815.63</v>
      </c>
      <c r="N357" s="47">
        <v>5808.94</v>
      </c>
      <c r="O357" s="37" t="s">
        <v>1080</v>
      </c>
    </row>
    <row r="358" customHeight="1" spans="1:15">
      <c r="A358" s="37" t="s">
        <v>637</v>
      </c>
      <c r="B358" s="38">
        <v>45046</v>
      </c>
      <c r="C358" s="37" t="s">
        <v>748</v>
      </c>
      <c r="D358" s="37" t="s">
        <v>639</v>
      </c>
      <c r="E358" s="37" t="s">
        <v>640</v>
      </c>
      <c r="F358" s="37" t="s">
        <v>641</v>
      </c>
      <c r="G358" s="37" t="s">
        <v>648</v>
      </c>
      <c r="H358" s="37" t="s">
        <v>643</v>
      </c>
      <c r="I358" s="37" t="s">
        <v>430</v>
      </c>
      <c r="J358" s="37" t="s">
        <v>644</v>
      </c>
      <c r="K358" s="37" t="s">
        <v>14</v>
      </c>
      <c r="L358" s="47">
        <v>-228002.05</v>
      </c>
      <c r="M358" s="47">
        <v>-215096.27</v>
      </c>
      <c r="N358" s="47">
        <v>-12905.78</v>
      </c>
      <c r="O358" s="37" t="s">
        <v>1081</v>
      </c>
    </row>
    <row r="359" customHeight="1" spans="1:15">
      <c r="A359" s="37" t="s">
        <v>637</v>
      </c>
      <c r="B359" s="38">
        <v>45046</v>
      </c>
      <c r="C359" s="37" t="s">
        <v>811</v>
      </c>
      <c r="D359" s="37" t="s">
        <v>639</v>
      </c>
      <c r="E359" s="37" t="s">
        <v>640</v>
      </c>
      <c r="F359" s="37" t="s">
        <v>641</v>
      </c>
      <c r="G359" s="37" t="s">
        <v>648</v>
      </c>
      <c r="H359" s="37" t="s">
        <v>643</v>
      </c>
      <c r="I359" s="37" t="s">
        <v>430</v>
      </c>
      <c r="J359" s="37" t="s">
        <v>644</v>
      </c>
      <c r="K359" s="37" t="s">
        <v>14</v>
      </c>
      <c r="L359" s="47">
        <v>-215610.1</v>
      </c>
      <c r="M359" s="47">
        <v>-203405.75</v>
      </c>
      <c r="N359" s="47">
        <v>-12204.35</v>
      </c>
      <c r="O359" s="37" t="s">
        <v>1082</v>
      </c>
    </row>
    <row r="360" customHeight="1" spans="1:15">
      <c r="A360" s="37" t="s">
        <v>637</v>
      </c>
      <c r="B360" s="38">
        <v>45046</v>
      </c>
      <c r="C360" s="37" t="s">
        <v>748</v>
      </c>
      <c r="D360" s="37" t="s">
        <v>653</v>
      </c>
      <c r="E360" s="37" t="s">
        <v>640</v>
      </c>
      <c r="F360" s="37" t="s">
        <v>641</v>
      </c>
      <c r="G360" s="37" t="s">
        <v>642</v>
      </c>
      <c r="H360" s="37" t="s">
        <v>650</v>
      </c>
      <c r="I360" s="37" t="s">
        <v>728</v>
      </c>
      <c r="J360" s="37" t="s">
        <v>644</v>
      </c>
      <c r="K360" s="37" t="s">
        <v>166</v>
      </c>
      <c r="L360" s="47">
        <v>5741.39</v>
      </c>
      <c r="M360" s="47">
        <v>5416.41</v>
      </c>
      <c r="N360" s="47">
        <v>324.98</v>
      </c>
      <c r="O360" s="37" t="s">
        <v>1083</v>
      </c>
    </row>
    <row r="361" customHeight="1" spans="1:15">
      <c r="A361" s="37" t="s">
        <v>637</v>
      </c>
      <c r="B361" s="38">
        <v>45046</v>
      </c>
      <c r="C361" s="37" t="s">
        <v>748</v>
      </c>
      <c r="D361" s="37" t="s">
        <v>639</v>
      </c>
      <c r="E361" s="37" t="s">
        <v>640</v>
      </c>
      <c r="F361" s="37" t="s">
        <v>749</v>
      </c>
      <c r="G361" s="37" t="s">
        <v>642</v>
      </c>
      <c r="H361" s="37" t="s">
        <v>643</v>
      </c>
      <c r="I361" s="37" t="s">
        <v>779</v>
      </c>
      <c r="J361" s="37" t="s">
        <v>644</v>
      </c>
      <c r="K361" s="37" t="s">
        <v>14</v>
      </c>
      <c r="L361" s="47">
        <v>13896.92</v>
      </c>
      <c r="M361" s="47">
        <v>13110.3</v>
      </c>
      <c r="N361" s="47">
        <v>786.62</v>
      </c>
      <c r="O361" s="37" t="s">
        <v>1084</v>
      </c>
    </row>
    <row r="362" customHeight="1" spans="1:14">
      <c r="A362" s="57" t="s">
        <v>1085</v>
      </c>
      <c r="B362" s="38">
        <v>45046</v>
      </c>
      <c r="C362" s="26" t="s">
        <v>748</v>
      </c>
      <c r="D362" s="37" t="s">
        <v>639</v>
      </c>
      <c r="E362" s="37" t="s">
        <v>640</v>
      </c>
      <c r="F362" s="37" t="s">
        <v>641</v>
      </c>
      <c r="G362" s="57" t="s">
        <v>648</v>
      </c>
      <c r="H362" s="37" t="s">
        <v>650</v>
      </c>
      <c r="I362" s="26" t="s">
        <v>441</v>
      </c>
      <c r="J362" s="37" t="s">
        <v>644</v>
      </c>
      <c r="K362" s="37" t="s">
        <v>14</v>
      </c>
      <c r="L362" s="47">
        <v>3089123.75</v>
      </c>
      <c r="M362" s="47">
        <v>2914267.69</v>
      </c>
      <c r="N362" s="47">
        <f>L362-M362</f>
        <v>174856.06</v>
      </c>
    </row>
    <row r="363" customHeight="1" spans="1:15">
      <c r="A363" s="44" t="s">
        <v>637</v>
      </c>
      <c r="B363" s="86">
        <v>45077</v>
      </c>
      <c r="C363" s="44" t="s">
        <v>748</v>
      </c>
      <c r="D363" s="44" t="s">
        <v>653</v>
      </c>
      <c r="E363" s="44" t="s">
        <v>640</v>
      </c>
      <c r="F363" s="44" t="s">
        <v>641</v>
      </c>
      <c r="G363" s="44" t="s">
        <v>642</v>
      </c>
      <c r="H363" s="44" t="s">
        <v>650</v>
      </c>
      <c r="I363" s="44" t="s">
        <v>728</v>
      </c>
      <c r="J363" s="44" t="s">
        <v>644</v>
      </c>
      <c r="K363" s="44" t="s">
        <v>166</v>
      </c>
      <c r="L363" s="48">
        <v>9426.6</v>
      </c>
      <c r="M363" s="48">
        <v>8893.02</v>
      </c>
      <c r="N363" s="48">
        <v>533.58</v>
      </c>
      <c r="O363" s="44" t="s">
        <v>1086</v>
      </c>
    </row>
    <row r="364" customHeight="1" spans="1:15">
      <c r="A364" s="44" t="s">
        <v>637</v>
      </c>
      <c r="B364" s="86">
        <v>45077</v>
      </c>
      <c r="C364" s="44" t="s">
        <v>730</v>
      </c>
      <c r="D364" s="44" t="s">
        <v>653</v>
      </c>
      <c r="E364" s="44" t="s">
        <v>640</v>
      </c>
      <c r="F364" s="44" t="s">
        <v>659</v>
      </c>
      <c r="G364" s="44" t="s">
        <v>654</v>
      </c>
      <c r="H364" s="44" t="s">
        <v>650</v>
      </c>
      <c r="I364" s="44" t="s">
        <v>719</v>
      </c>
      <c r="J364" s="44" t="s">
        <v>656</v>
      </c>
      <c r="K364" s="44" t="s">
        <v>166</v>
      </c>
      <c r="L364" s="48">
        <v>5133.12</v>
      </c>
      <c r="M364" s="48">
        <v>4842.57</v>
      </c>
      <c r="N364" s="48">
        <v>290.55</v>
      </c>
      <c r="O364" s="44" t="s">
        <v>1087</v>
      </c>
    </row>
    <row r="365" customHeight="1" spans="1:15">
      <c r="A365" s="44" t="s">
        <v>637</v>
      </c>
      <c r="B365" s="86">
        <v>45077</v>
      </c>
      <c r="C365" s="44" t="s">
        <v>748</v>
      </c>
      <c r="D365" s="44" t="s">
        <v>639</v>
      </c>
      <c r="E365" s="44" t="s">
        <v>640</v>
      </c>
      <c r="F365" s="44" t="s">
        <v>707</v>
      </c>
      <c r="G365" s="44" t="s">
        <v>642</v>
      </c>
      <c r="H365" s="44" t="s">
        <v>650</v>
      </c>
      <c r="I365" s="44" t="s">
        <v>769</v>
      </c>
      <c r="J365" s="44" t="s">
        <v>644</v>
      </c>
      <c r="K365" s="44" t="s">
        <v>14</v>
      </c>
      <c r="L365" s="48">
        <v>13034.25</v>
      </c>
      <c r="M365" s="48">
        <v>12296.46</v>
      </c>
      <c r="N365" s="48">
        <v>737.79</v>
      </c>
      <c r="O365" s="44" t="s">
        <v>1088</v>
      </c>
    </row>
    <row r="366" customHeight="1" spans="1:15">
      <c r="A366" s="44" t="s">
        <v>637</v>
      </c>
      <c r="B366" s="86">
        <v>45077</v>
      </c>
      <c r="C366" s="44" t="s">
        <v>748</v>
      </c>
      <c r="D366" s="44" t="s">
        <v>639</v>
      </c>
      <c r="E366" s="44" t="s">
        <v>640</v>
      </c>
      <c r="F366" s="44" t="s">
        <v>641</v>
      </c>
      <c r="G366" s="44" t="s">
        <v>642</v>
      </c>
      <c r="H366" s="44" t="s">
        <v>650</v>
      </c>
      <c r="I366" s="44" t="s">
        <v>436</v>
      </c>
      <c r="J366" s="44" t="s">
        <v>644</v>
      </c>
      <c r="K366" s="44" t="s">
        <v>350</v>
      </c>
      <c r="L366" s="48">
        <v>5000</v>
      </c>
      <c r="M366" s="48">
        <v>4716.98</v>
      </c>
      <c r="N366" s="48">
        <v>283.02</v>
      </c>
      <c r="O366" s="44" t="s">
        <v>1089</v>
      </c>
    </row>
    <row r="367" customHeight="1" spans="1:15">
      <c r="A367" s="44" t="s">
        <v>637</v>
      </c>
      <c r="B367" s="86">
        <v>45077</v>
      </c>
      <c r="C367" s="44" t="s">
        <v>748</v>
      </c>
      <c r="D367" s="44" t="s">
        <v>639</v>
      </c>
      <c r="E367" s="44" t="s">
        <v>640</v>
      </c>
      <c r="F367" s="44" t="s">
        <v>749</v>
      </c>
      <c r="G367" s="44" t="s">
        <v>648</v>
      </c>
      <c r="H367" s="44" t="s">
        <v>650</v>
      </c>
      <c r="I367" s="44" t="s">
        <v>461</v>
      </c>
      <c r="J367" s="44" t="s">
        <v>644</v>
      </c>
      <c r="K367" s="44" t="s">
        <v>14</v>
      </c>
      <c r="L367" s="48">
        <v>8705.6</v>
      </c>
      <c r="M367" s="48">
        <v>8212.83</v>
      </c>
      <c r="N367" s="48">
        <v>492.77</v>
      </c>
      <c r="O367" s="44" t="s">
        <v>1090</v>
      </c>
    </row>
    <row r="368" customHeight="1" spans="1:15">
      <c r="A368" s="44" t="s">
        <v>637</v>
      </c>
      <c r="B368" s="86">
        <v>45077</v>
      </c>
      <c r="C368" s="44" t="s">
        <v>748</v>
      </c>
      <c r="D368" s="44" t="s">
        <v>639</v>
      </c>
      <c r="E368" s="44" t="s">
        <v>640</v>
      </c>
      <c r="F368" s="44" t="s">
        <v>749</v>
      </c>
      <c r="G368" s="44" t="s">
        <v>648</v>
      </c>
      <c r="H368" s="44" t="s">
        <v>650</v>
      </c>
      <c r="I368" s="44" t="s">
        <v>461</v>
      </c>
      <c r="J368" s="44" t="s">
        <v>644</v>
      </c>
      <c r="K368" s="44" t="s">
        <v>14</v>
      </c>
      <c r="L368" s="48">
        <v>-243213</v>
      </c>
      <c r="M368" s="48">
        <v>-229446.23</v>
      </c>
      <c r="N368" s="48">
        <v>-13766.77</v>
      </c>
      <c r="O368" s="44" t="s">
        <v>1091</v>
      </c>
    </row>
    <row r="369" customHeight="1" spans="1:15">
      <c r="A369" s="44" t="s">
        <v>637</v>
      </c>
      <c r="B369" s="86">
        <v>45077</v>
      </c>
      <c r="C369" s="44" t="s">
        <v>748</v>
      </c>
      <c r="D369" s="44" t="s">
        <v>682</v>
      </c>
      <c r="E369" s="44" t="s">
        <v>640</v>
      </c>
      <c r="F369" s="44" t="s">
        <v>641</v>
      </c>
      <c r="G369" s="44" t="s">
        <v>642</v>
      </c>
      <c r="H369" s="44" t="s">
        <v>650</v>
      </c>
      <c r="I369" s="44" t="s">
        <v>711</v>
      </c>
      <c r="J369" s="44" t="s">
        <v>644</v>
      </c>
      <c r="K369" s="44" t="s">
        <v>13</v>
      </c>
      <c r="L369" s="48">
        <v>44712</v>
      </c>
      <c r="M369" s="48">
        <v>42181.13</v>
      </c>
      <c r="N369" s="48">
        <v>2530.87</v>
      </c>
      <c r="O369" s="44" t="s">
        <v>1092</v>
      </c>
    </row>
    <row r="370" customHeight="1" spans="1:15">
      <c r="A370" s="44" t="s">
        <v>637</v>
      </c>
      <c r="B370" s="86">
        <v>45077</v>
      </c>
      <c r="C370" s="44" t="s">
        <v>748</v>
      </c>
      <c r="D370" s="44" t="s">
        <v>639</v>
      </c>
      <c r="E370" s="44" t="s">
        <v>640</v>
      </c>
      <c r="F370" s="44" t="s">
        <v>707</v>
      </c>
      <c r="G370" s="44" t="s">
        <v>642</v>
      </c>
      <c r="H370" s="44" t="s">
        <v>650</v>
      </c>
      <c r="I370" s="44" t="s">
        <v>676</v>
      </c>
      <c r="J370" s="44" t="s">
        <v>644</v>
      </c>
      <c r="K370" s="44" t="s">
        <v>350</v>
      </c>
      <c r="L370" s="48">
        <v>373327.58</v>
      </c>
      <c r="M370" s="48">
        <v>352195.83</v>
      </c>
      <c r="N370" s="48">
        <v>21131.75</v>
      </c>
      <c r="O370" s="44" t="s">
        <v>1093</v>
      </c>
    </row>
    <row r="371" customHeight="1" spans="1:15">
      <c r="A371" s="44" t="s">
        <v>637</v>
      </c>
      <c r="B371" s="86">
        <v>45077</v>
      </c>
      <c r="C371" s="44" t="s">
        <v>748</v>
      </c>
      <c r="D371" s="44" t="s">
        <v>639</v>
      </c>
      <c r="E371" s="44" t="s">
        <v>647</v>
      </c>
      <c r="F371" s="44" t="s">
        <v>707</v>
      </c>
      <c r="G371" s="44" t="s">
        <v>642</v>
      </c>
      <c r="H371" s="44" t="s">
        <v>650</v>
      </c>
      <c r="I371" s="44" t="s">
        <v>460</v>
      </c>
      <c r="J371" s="44" t="s">
        <v>644</v>
      </c>
      <c r="K371" s="44" t="s">
        <v>14</v>
      </c>
      <c r="L371" s="48">
        <v>500623.2</v>
      </c>
      <c r="M371" s="48">
        <v>472286.04</v>
      </c>
      <c r="N371" s="48">
        <v>28337.16</v>
      </c>
      <c r="O371" s="44" t="s">
        <v>1094</v>
      </c>
    </row>
    <row r="372" customHeight="1" spans="1:15">
      <c r="A372" s="44" t="s">
        <v>637</v>
      </c>
      <c r="B372" s="86">
        <v>45077</v>
      </c>
      <c r="C372" s="44" t="s">
        <v>748</v>
      </c>
      <c r="D372" s="44" t="s">
        <v>639</v>
      </c>
      <c r="E372" s="44" t="s">
        <v>647</v>
      </c>
      <c r="F372" s="44" t="s">
        <v>689</v>
      </c>
      <c r="G372" s="44" t="s">
        <v>654</v>
      </c>
      <c r="H372" s="44" t="s">
        <v>650</v>
      </c>
      <c r="I372" s="44" t="s">
        <v>664</v>
      </c>
      <c r="J372" s="44" t="s">
        <v>656</v>
      </c>
      <c r="K372" s="44" t="s">
        <v>350</v>
      </c>
      <c r="L372" s="48">
        <v>13448</v>
      </c>
      <c r="M372" s="48">
        <v>12686.81</v>
      </c>
      <c r="N372" s="48">
        <v>761.19</v>
      </c>
      <c r="O372" s="44" t="s">
        <v>1095</v>
      </c>
    </row>
    <row r="373" customHeight="1" spans="1:15">
      <c r="A373" s="44" t="s">
        <v>637</v>
      </c>
      <c r="B373" s="86">
        <v>45077</v>
      </c>
      <c r="C373" s="44" t="s">
        <v>748</v>
      </c>
      <c r="D373" s="44" t="s">
        <v>639</v>
      </c>
      <c r="E373" s="44" t="s">
        <v>647</v>
      </c>
      <c r="F373" s="44" t="s">
        <v>689</v>
      </c>
      <c r="G373" s="44" t="s">
        <v>654</v>
      </c>
      <c r="H373" s="44" t="s">
        <v>697</v>
      </c>
      <c r="I373" s="44" t="s">
        <v>665</v>
      </c>
      <c r="J373" s="44" t="s">
        <v>656</v>
      </c>
      <c r="K373" s="44" t="s">
        <v>350</v>
      </c>
      <c r="L373" s="48">
        <v>6937.75</v>
      </c>
      <c r="M373" s="48">
        <v>6545.05</v>
      </c>
      <c r="N373" s="48">
        <v>392.7</v>
      </c>
      <c r="O373" s="44" t="s">
        <v>1096</v>
      </c>
    </row>
    <row r="374" customHeight="1" spans="1:15">
      <c r="A374" s="44" t="s">
        <v>637</v>
      </c>
      <c r="B374" s="86">
        <v>45077</v>
      </c>
      <c r="C374" s="44" t="s">
        <v>748</v>
      </c>
      <c r="D374" s="44" t="s">
        <v>682</v>
      </c>
      <c r="E374" s="44" t="s">
        <v>647</v>
      </c>
      <c r="F374" s="44" t="s">
        <v>641</v>
      </c>
      <c r="G374" s="44" t="s">
        <v>648</v>
      </c>
      <c r="H374" s="44" t="s">
        <v>650</v>
      </c>
      <c r="I374" s="44" t="s">
        <v>711</v>
      </c>
      <c r="J374" s="44" t="s">
        <v>656</v>
      </c>
      <c r="K374" s="44" t="s">
        <v>13</v>
      </c>
      <c r="L374" s="48">
        <v>23058</v>
      </c>
      <c r="M374" s="48">
        <v>21752.82</v>
      </c>
      <c r="N374" s="48">
        <v>1305.18</v>
      </c>
      <c r="O374" s="44" t="s">
        <v>1097</v>
      </c>
    </row>
    <row r="375" customHeight="1" spans="1:15">
      <c r="A375" s="44" t="s">
        <v>637</v>
      </c>
      <c r="B375" s="86">
        <v>45077</v>
      </c>
      <c r="C375" s="44" t="s">
        <v>748</v>
      </c>
      <c r="D375" s="44" t="s">
        <v>639</v>
      </c>
      <c r="E375" s="44" t="s">
        <v>647</v>
      </c>
      <c r="F375" s="44" t="s">
        <v>641</v>
      </c>
      <c r="G375" s="44" t="s">
        <v>642</v>
      </c>
      <c r="H375" s="44" t="s">
        <v>650</v>
      </c>
      <c r="I375" s="44" t="s">
        <v>441</v>
      </c>
      <c r="J375" s="44" t="s">
        <v>644</v>
      </c>
      <c r="K375" s="44" t="s">
        <v>14</v>
      </c>
      <c r="L375" s="48">
        <v>121063.8</v>
      </c>
      <c r="M375" s="48">
        <v>114211.13</v>
      </c>
      <c r="N375" s="48">
        <v>6852.67</v>
      </c>
      <c r="O375" s="44" t="s">
        <v>1098</v>
      </c>
    </row>
    <row r="376" customHeight="1" spans="1:15">
      <c r="A376" s="44" t="s">
        <v>637</v>
      </c>
      <c r="B376" s="86">
        <v>45077</v>
      </c>
      <c r="C376" s="44" t="s">
        <v>748</v>
      </c>
      <c r="D376" s="44" t="s">
        <v>682</v>
      </c>
      <c r="E376" s="44" t="s">
        <v>647</v>
      </c>
      <c r="F376" s="44" t="s">
        <v>641</v>
      </c>
      <c r="G376" s="44" t="s">
        <v>648</v>
      </c>
      <c r="H376" s="44" t="s">
        <v>650</v>
      </c>
      <c r="I376" s="44" t="s">
        <v>711</v>
      </c>
      <c r="J376" s="44" t="s">
        <v>656</v>
      </c>
      <c r="K376" s="44" t="s">
        <v>13</v>
      </c>
      <c r="L376" s="48">
        <v>1998</v>
      </c>
      <c r="M376" s="48">
        <v>1884.91</v>
      </c>
      <c r="N376" s="48">
        <v>113.09</v>
      </c>
      <c r="O376" s="44" t="s">
        <v>1099</v>
      </c>
    </row>
    <row r="377" customHeight="1" spans="1:15">
      <c r="A377" s="44" t="s">
        <v>637</v>
      </c>
      <c r="B377" s="86">
        <v>45077</v>
      </c>
      <c r="C377" s="44" t="s">
        <v>748</v>
      </c>
      <c r="D377" s="44" t="s">
        <v>639</v>
      </c>
      <c r="E377" s="44" t="s">
        <v>647</v>
      </c>
      <c r="F377" s="44" t="s">
        <v>641</v>
      </c>
      <c r="G377" s="44" t="s">
        <v>654</v>
      </c>
      <c r="H377" s="44" t="s">
        <v>650</v>
      </c>
      <c r="I377" s="44" t="s">
        <v>776</v>
      </c>
      <c r="J377" s="44" t="s">
        <v>644</v>
      </c>
      <c r="K377" s="44" t="s">
        <v>14</v>
      </c>
      <c r="L377" s="48">
        <v>315000</v>
      </c>
      <c r="M377" s="48">
        <v>297169.81</v>
      </c>
      <c r="N377" s="48">
        <v>17830.19</v>
      </c>
      <c r="O377" s="44" t="s">
        <v>1100</v>
      </c>
    </row>
    <row r="378" customHeight="1" spans="1:15">
      <c r="A378" s="44" t="s">
        <v>637</v>
      </c>
      <c r="B378" s="86">
        <v>45077</v>
      </c>
      <c r="C378" s="44" t="s">
        <v>748</v>
      </c>
      <c r="D378" s="44" t="s">
        <v>639</v>
      </c>
      <c r="E378" s="44" t="s">
        <v>647</v>
      </c>
      <c r="F378" s="44" t="s">
        <v>641</v>
      </c>
      <c r="G378" s="44" t="s">
        <v>648</v>
      </c>
      <c r="H378" s="44" t="s">
        <v>643</v>
      </c>
      <c r="I378" s="44" t="s">
        <v>430</v>
      </c>
      <c r="J378" s="44" t="s">
        <v>644</v>
      </c>
      <c r="K378" s="44" t="s">
        <v>14</v>
      </c>
      <c r="L378" s="48">
        <v>1347136.86</v>
      </c>
      <c r="M378" s="48">
        <v>1270883.8</v>
      </c>
      <c r="N378" s="48">
        <v>76253.06</v>
      </c>
      <c r="O378" s="44" t="s">
        <v>1101</v>
      </c>
    </row>
    <row r="379" customHeight="1" spans="1:15">
      <c r="A379" s="44" t="s">
        <v>637</v>
      </c>
      <c r="B379" s="86">
        <v>45077</v>
      </c>
      <c r="C379" s="44" t="s">
        <v>748</v>
      </c>
      <c r="D379" s="44" t="s">
        <v>639</v>
      </c>
      <c r="E379" s="44" t="s">
        <v>647</v>
      </c>
      <c r="F379" s="44" t="s">
        <v>689</v>
      </c>
      <c r="G379" s="44" t="s">
        <v>654</v>
      </c>
      <c r="H379" s="44" t="s">
        <v>697</v>
      </c>
      <c r="I379" s="44" t="s">
        <v>672</v>
      </c>
      <c r="J379" s="44" t="s">
        <v>656</v>
      </c>
      <c r="K379" s="44" t="s">
        <v>350</v>
      </c>
      <c r="L379" s="48">
        <v>1005025</v>
      </c>
      <c r="M379" s="48">
        <v>948136.8</v>
      </c>
      <c r="N379" s="48">
        <v>56888.2</v>
      </c>
      <c r="O379" s="44" t="s">
        <v>1102</v>
      </c>
    </row>
    <row r="380" customHeight="1" spans="1:15">
      <c r="A380" s="44" t="s">
        <v>637</v>
      </c>
      <c r="B380" s="86">
        <v>45077</v>
      </c>
      <c r="C380" s="44" t="s">
        <v>748</v>
      </c>
      <c r="D380" s="44" t="s">
        <v>639</v>
      </c>
      <c r="E380" s="44" t="s">
        <v>647</v>
      </c>
      <c r="F380" s="44" t="s">
        <v>707</v>
      </c>
      <c r="G380" s="44" t="s">
        <v>642</v>
      </c>
      <c r="H380" s="44" t="s">
        <v>650</v>
      </c>
      <c r="I380" s="44" t="s">
        <v>429</v>
      </c>
      <c r="J380" s="44" t="s">
        <v>644</v>
      </c>
      <c r="K380" s="44" t="s">
        <v>14</v>
      </c>
      <c r="L380" s="48">
        <v>2328231.58</v>
      </c>
      <c r="M380" s="48">
        <v>2196444.89</v>
      </c>
      <c r="N380" s="48">
        <v>131786.69</v>
      </c>
      <c r="O380" s="44" t="s">
        <v>1103</v>
      </c>
    </row>
    <row r="381" customHeight="1" spans="1:15">
      <c r="A381" s="44" t="s">
        <v>637</v>
      </c>
      <c r="B381" s="86">
        <v>45077</v>
      </c>
      <c r="C381" s="44" t="s">
        <v>748</v>
      </c>
      <c r="D381" s="44" t="s">
        <v>639</v>
      </c>
      <c r="E381" s="44" t="s">
        <v>647</v>
      </c>
      <c r="F381" s="44" t="s">
        <v>749</v>
      </c>
      <c r="G381" s="44" t="s">
        <v>642</v>
      </c>
      <c r="H381" s="44" t="s">
        <v>650</v>
      </c>
      <c r="I381" s="44" t="s">
        <v>779</v>
      </c>
      <c r="J381" s="44" t="s">
        <v>644</v>
      </c>
      <c r="K381" s="44" t="s">
        <v>14</v>
      </c>
      <c r="L381" s="48">
        <v>3320.7</v>
      </c>
      <c r="M381" s="48">
        <v>3132.73</v>
      </c>
      <c r="N381" s="48">
        <v>187.97</v>
      </c>
      <c r="O381" s="44" t="s">
        <v>1104</v>
      </c>
    </row>
    <row r="382" customHeight="1" spans="1:15">
      <c r="A382" s="44" t="s">
        <v>637</v>
      </c>
      <c r="B382" s="86">
        <v>45077</v>
      </c>
      <c r="C382" s="44" t="s">
        <v>748</v>
      </c>
      <c r="D382" s="44" t="s">
        <v>639</v>
      </c>
      <c r="E382" s="44" t="s">
        <v>647</v>
      </c>
      <c r="F382" s="44" t="s">
        <v>707</v>
      </c>
      <c r="G382" s="44" t="s">
        <v>642</v>
      </c>
      <c r="H382" s="44" t="s">
        <v>650</v>
      </c>
      <c r="I382" s="44" t="s">
        <v>429</v>
      </c>
      <c r="J382" s="44" t="s">
        <v>644</v>
      </c>
      <c r="K382" s="44" t="s">
        <v>165</v>
      </c>
      <c r="L382" s="48">
        <v>392720.93</v>
      </c>
      <c r="M382" s="48">
        <v>370491.44</v>
      </c>
      <c r="N382" s="48">
        <v>22229.49</v>
      </c>
      <c r="O382" s="44" t="s">
        <v>1105</v>
      </c>
    </row>
    <row r="383" customHeight="1" spans="1:15">
      <c r="A383" s="44" t="s">
        <v>637</v>
      </c>
      <c r="B383" s="86">
        <v>45077</v>
      </c>
      <c r="C383" s="44" t="s">
        <v>748</v>
      </c>
      <c r="D383" s="44" t="s">
        <v>639</v>
      </c>
      <c r="E383" s="44" t="s">
        <v>647</v>
      </c>
      <c r="F383" s="44" t="s">
        <v>641</v>
      </c>
      <c r="G383" s="44" t="s">
        <v>642</v>
      </c>
      <c r="H383" s="44" t="s">
        <v>650</v>
      </c>
      <c r="I383" s="44" t="s">
        <v>436</v>
      </c>
      <c r="J383" s="44" t="s">
        <v>644</v>
      </c>
      <c r="K383" s="44" t="s">
        <v>350</v>
      </c>
      <c r="L383" s="48">
        <v>39431.9</v>
      </c>
      <c r="M383" s="48">
        <v>37199.88</v>
      </c>
      <c r="N383" s="48">
        <v>2232.02</v>
      </c>
      <c r="O383" s="44" t="s">
        <v>1106</v>
      </c>
    </row>
    <row r="384" customHeight="1" spans="1:15">
      <c r="A384" s="44" t="s">
        <v>637</v>
      </c>
      <c r="B384" s="86">
        <v>45077</v>
      </c>
      <c r="C384" s="44" t="s">
        <v>748</v>
      </c>
      <c r="D384" s="44" t="s">
        <v>639</v>
      </c>
      <c r="E384" s="44" t="s">
        <v>647</v>
      </c>
      <c r="F384" s="44" t="s">
        <v>689</v>
      </c>
      <c r="G384" s="44" t="s">
        <v>654</v>
      </c>
      <c r="H384" s="44" t="s">
        <v>697</v>
      </c>
      <c r="I384" s="44" t="s">
        <v>669</v>
      </c>
      <c r="J384" s="44" t="s">
        <v>656</v>
      </c>
      <c r="K384" s="44" t="s">
        <v>350</v>
      </c>
      <c r="L384" s="48">
        <v>340545</v>
      </c>
      <c r="M384" s="48">
        <v>321268.89</v>
      </c>
      <c r="N384" s="48">
        <v>19276.11</v>
      </c>
      <c r="O384" s="44" t="s">
        <v>1107</v>
      </c>
    </row>
    <row r="385" customHeight="1" spans="1:15">
      <c r="A385" s="44" t="s">
        <v>637</v>
      </c>
      <c r="B385" s="86">
        <v>45077</v>
      </c>
      <c r="C385" s="44" t="s">
        <v>748</v>
      </c>
      <c r="D385" s="44" t="s">
        <v>639</v>
      </c>
      <c r="E385" s="44" t="s">
        <v>647</v>
      </c>
      <c r="F385" s="44" t="s">
        <v>641</v>
      </c>
      <c r="G385" s="44" t="s">
        <v>642</v>
      </c>
      <c r="H385" s="44" t="s">
        <v>650</v>
      </c>
      <c r="I385" s="44" t="s">
        <v>430</v>
      </c>
      <c r="J385" s="44" t="s">
        <v>644</v>
      </c>
      <c r="K385" s="44" t="s">
        <v>14</v>
      </c>
      <c r="L385" s="48">
        <v>50215.14</v>
      </c>
      <c r="M385" s="48">
        <v>47372.79</v>
      </c>
      <c r="N385" s="48">
        <v>2842.35</v>
      </c>
      <c r="O385" s="44" t="s">
        <v>1108</v>
      </c>
    </row>
    <row r="386" customHeight="1" spans="1:15">
      <c r="A386" s="44" t="s">
        <v>637</v>
      </c>
      <c r="B386" s="86">
        <v>45077</v>
      </c>
      <c r="C386" s="44" t="s">
        <v>748</v>
      </c>
      <c r="D386" s="44" t="s">
        <v>639</v>
      </c>
      <c r="E386" s="44" t="s">
        <v>647</v>
      </c>
      <c r="F386" s="44" t="s">
        <v>707</v>
      </c>
      <c r="G386" s="44" t="s">
        <v>654</v>
      </c>
      <c r="H386" s="44" t="s">
        <v>650</v>
      </c>
      <c r="I386" s="44" t="s">
        <v>754</v>
      </c>
      <c r="J386" s="44" t="s">
        <v>644</v>
      </c>
      <c r="K386" s="44" t="s">
        <v>14</v>
      </c>
      <c r="L386" s="48">
        <v>3890523.6</v>
      </c>
      <c r="M386" s="48">
        <v>3670305.29</v>
      </c>
      <c r="N386" s="48">
        <v>220218.31</v>
      </c>
      <c r="O386" s="44" t="s">
        <v>1109</v>
      </c>
    </row>
    <row r="387" customHeight="1" spans="1:15">
      <c r="A387" s="44" t="s">
        <v>637</v>
      </c>
      <c r="B387" s="86">
        <v>45077</v>
      </c>
      <c r="C387" s="44" t="s">
        <v>748</v>
      </c>
      <c r="D387" s="44" t="s">
        <v>639</v>
      </c>
      <c r="E387" s="44" t="s">
        <v>647</v>
      </c>
      <c r="F387" s="44" t="s">
        <v>641</v>
      </c>
      <c r="G387" s="44" t="s">
        <v>648</v>
      </c>
      <c r="H387" s="44" t="s">
        <v>697</v>
      </c>
      <c r="I387" s="44" t="s">
        <v>441</v>
      </c>
      <c r="J387" s="44" t="s">
        <v>644</v>
      </c>
      <c r="K387" s="44" t="s">
        <v>14</v>
      </c>
      <c r="L387" s="48">
        <v>5260910.25</v>
      </c>
      <c r="M387" s="48">
        <v>4963122.86</v>
      </c>
      <c r="N387" s="48">
        <v>297787.39</v>
      </c>
      <c r="O387" s="44" t="s">
        <v>1110</v>
      </c>
    </row>
    <row r="388" customHeight="1" spans="1:15">
      <c r="A388" s="44" t="s">
        <v>637</v>
      </c>
      <c r="B388" s="86">
        <v>45077</v>
      </c>
      <c r="C388" s="44" t="s">
        <v>748</v>
      </c>
      <c r="D388" s="44" t="s">
        <v>639</v>
      </c>
      <c r="E388" s="44" t="s">
        <v>647</v>
      </c>
      <c r="F388" s="44" t="s">
        <v>749</v>
      </c>
      <c r="G388" s="44" t="s">
        <v>648</v>
      </c>
      <c r="H388" s="44" t="s">
        <v>650</v>
      </c>
      <c r="I388" s="44" t="s">
        <v>461</v>
      </c>
      <c r="J388" s="44" t="s">
        <v>644</v>
      </c>
      <c r="K388" s="44" t="s">
        <v>14</v>
      </c>
      <c r="L388" s="48">
        <v>103731.4</v>
      </c>
      <c r="M388" s="48">
        <v>97859.83</v>
      </c>
      <c r="N388" s="48">
        <v>5871.57</v>
      </c>
      <c r="O388" s="44" t="s">
        <v>1111</v>
      </c>
    </row>
    <row r="389" customHeight="1" spans="1:15">
      <c r="A389" s="44" t="s">
        <v>637</v>
      </c>
      <c r="B389" s="86">
        <v>45077</v>
      </c>
      <c r="C389" s="44" t="s">
        <v>748</v>
      </c>
      <c r="D389" s="44" t="s">
        <v>639</v>
      </c>
      <c r="E389" s="44" t="s">
        <v>647</v>
      </c>
      <c r="F389" s="44" t="s">
        <v>641</v>
      </c>
      <c r="G389" s="44" t="s">
        <v>648</v>
      </c>
      <c r="H389" s="44" t="s">
        <v>650</v>
      </c>
      <c r="I389" s="44" t="s">
        <v>447</v>
      </c>
      <c r="J389" s="44" t="s">
        <v>656</v>
      </c>
      <c r="K389" s="44" t="s">
        <v>14</v>
      </c>
      <c r="L389" s="48">
        <v>73538.48</v>
      </c>
      <c r="M389" s="48">
        <v>69375.94</v>
      </c>
      <c r="N389" s="48">
        <v>4162.54</v>
      </c>
      <c r="O389" s="44" t="s">
        <v>1112</v>
      </c>
    </row>
    <row r="390" customHeight="1" spans="1:15">
      <c r="A390" s="44" t="s">
        <v>637</v>
      </c>
      <c r="B390" s="86">
        <v>45077</v>
      </c>
      <c r="C390" s="44" t="s">
        <v>748</v>
      </c>
      <c r="D390" s="44" t="s">
        <v>639</v>
      </c>
      <c r="E390" s="44" t="s">
        <v>647</v>
      </c>
      <c r="F390" s="44" t="s">
        <v>707</v>
      </c>
      <c r="G390" s="44" t="s">
        <v>648</v>
      </c>
      <c r="H390" s="44" t="s">
        <v>650</v>
      </c>
      <c r="I390" s="44" t="s">
        <v>763</v>
      </c>
      <c r="J390" s="44" t="s">
        <v>644</v>
      </c>
      <c r="K390" s="44" t="s">
        <v>165</v>
      </c>
      <c r="L390" s="48">
        <v>19982.42</v>
      </c>
      <c r="M390" s="48">
        <v>18851.31</v>
      </c>
      <c r="N390" s="48">
        <v>1131.11</v>
      </c>
      <c r="O390" s="44" t="s">
        <v>1113</v>
      </c>
    </row>
    <row r="391" customHeight="1" spans="1:15">
      <c r="A391" s="44" t="s">
        <v>637</v>
      </c>
      <c r="B391" s="86">
        <v>45077</v>
      </c>
      <c r="C391" s="44" t="s">
        <v>748</v>
      </c>
      <c r="D391" s="44" t="s">
        <v>639</v>
      </c>
      <c r="E391" s="44" t="s">
        <v>647</v>
      </c>
      <c r="F391" s="44" t="s">
        <v>707</v>
      </c>
      <c r="G391" s="44" t="s">
        <v>654</v>
      </c>
      <c r="H391" s="44" t="s">
        <v>697</v>
      </c>
      <c r="I391" s="44" t="s">
        <v>782</v>
      </c>
      <c r="J391" s="44" t="s">
        <v>644</v>
      </c>
      <c r="K391" s="44" t="s">
        <v>14</v>
      </c>
      <c r="L391" s="48">
        <v>26666.67</v>
      </c>
      <c r="M391" s="48">
        <v>25157.23</v>
      </c>
      <c r="N391" s="48">
        <v>1509.44</v>
      </c>
      <c r="O391" s="44" t="s">
        <v>1114</v>
      </c>
    </row>
    <row r="392" customHeight="1" spans="1:15">
      <c r="A392" s="44" t="s">
        <v>637</v>
      </c>
      <c r="B392" s="86">
        <v>45077</v>
      </c>
      <c r="C392" s="44" t="s">
        <v>748</v>
      </c>
      <c r="D392" s="44" t="s">
        <v>639</v>
      </c>
      <c r="E392" s="44" t="s">
        <v>647</v>
      </c>
      <c r="F392" s="44" t="s">
        <v>707</v>
      </c>
      <c r="G392" s="44" t="s">
        <v>648</v>
      </c>
      <c r="H392" s="44" t="s">
        <v>643</v>
      </c>
      <c r="I392" s="44" t="s">
        <v>429</v>
      </c>
      <c r="J392" s="44" t="s">
        <v>644</v>
      </c>
      <c r="K392" s="44" t="s">
        <v>14</v>
      </c>
      <c r="L392" s="48">
        <v>5314147.79</v>
      </c>
      <c r="M392" s="48">
        <v>5013346.98</v>
      </c>
      <c r="N392" s="48">
        <v>300800.81</v>
      </c>
      <c r="O392" s="44" t="s">
        <v>1115</v>
      </c>
    </row>
    <row r="393" customHeight="1" spans="1:15">
      <c r="A393" s="44" t="s">
        <v>637</v>
      </c>
      <c r="B393" s="86">
        <v>45077</v>
      </c>
      <c r="C393" s="44" t="s">
        <v>748</v>
      </c>
      <c r="D393" s="44" t="s">
        <v>639</v>
      </c>
      <c r="E393" s="44" t="s">
        <v>647</v>
      </c>
      <c r="F393" s="44" t="s">
        <v>749</v>
      </c>
      <c r="G393" s="44" t="s">
        <v>648</v>
      </c>
      <c r="H393" s="44" t="s">
        <v>650</v>
      </c>
      <c r="I393" s="44" t="s">
        <v>461</v>
      </c>
      <c r="J393" s="44" t="s">
        <v>644</v>
      </c>
      <c r="K393" s="44" t="s">
        <v>14</v>
      </c>
      <c r="L393" s="48">
        <v>476764.8</v>
      </c>
      <c r="M393" s="48">
        <v>449778.1</v>
      </c>
      <c r="N393" s="48">
        <v>26986.7</v>
      </c>
      <c r="O393" s="44" t="s">
        <v>1116</v>
      </c>
    </row>
    <row r="394" customHeight="1" spans="1:15">
      <c r="A394" s="44" t="s">
        <v>637</v>
      </c>
      <c r="B394" s="86">
        <v>45077</v>
      </c>
      <c r="C394" s="44" t="s">
        <v>638</v>
      </c>
      <c r="D394" s="44" t="s">
        <v>639</v>
      </c>
      <c r="E394" s="44" t="s">
        <v>647</v>
      </c>
      <c r="F394" s="44" t="s">
        <v>641</v>
      </c>
      <c r="G394" s="44" t="s">
        <v>642</v>
      </c>
      <c r="H394" s="44" t="s">
        <v>650</v>
      </c>
      <c r="I394" s="44" t="s">
        <v>430</v>
      </c>
      <c r="J394" s="44" t="s">
        <v>644</v>
      </c>
      <c r="K394" s="44" t="s">
        <v>14</v>
      </c>
      <c r="L394" s="48">
        <v>748985.46</v>
      </c>
      <c r="M394" s="48">
        <v>706590.06</v>
      </c>
      <c r="N394" s="48">
        <v>42395.4</v>
      </c>
      <c r="O394" s="44" t="s">
        <v>1117</v>
      </c>
    </row>
    <row r="395" customHeight="1" spans="1:15">
      <c r="A395" s="44" t="s">
        <v>637</v>
      </c>
      <c r="B395" s="86">
        <v>45077</v>
      </c>
      <c r="C395" s="44" t="s">
        <v>638</v>
      </c>
      <c r="D395" s="44" t="s">
        <v>639</v>
      </c>
      <c r="E395" s="44" t="s">
        <v>640</v>
      </c>
      <c r="F395" s="44" t="s">
        <v>641</v>
      </c>
      <c r="G395" s="44" t="s">
        <v>648</v>
      </c>
      <c r="H395" s="44" t="s">
        <v>643</v>
      </c>
      <c r="I395" s="44" t="s">
        <v>430</v>
      </c>
      <c r="J395" s="44" t="s">
        <v>644</v>
      </c>
      <c r="K395" s="44" t="s">
        <v>14</v>
      </c>
      <c r="L395" s="48">
        <v>1150626.39</v>
      </c>
      <c r="M395" s="48">
        <v>1085496.59</v>
      </c>
      <c r="N395" s="48">
        <v>65129.8</v>
      </c>
      <c r="O395" s="44" t="s">
        <v>1118</v>
      </c>
    </row>
    <row r="396" customHeight="1" spans="1:15">
      <c r="A396" s="44" t="s">
        <v>637</v>
      </c>
      <c r="B396" s="86">
        <v>45077</v>
      </c>
      <c r="C396" s="44" t="s">
        <v>638</v>
      </c>
      <c r="D396" s="44" t="s">
        <v>639</v>
      </c>
      <c r="E396" s="44" t="s">
        <v>640</v>
      </c>
      <c r="F396" s="44" t="s">
        <v>641</v>
      </c>
      <c r="G396" s="44" t="s">
        <v>648</v>
      </c>
      <c r="H396" s="44" t="s">
        <v>643</v>
      </c>
      <c r="I396" s="44" t="s">
        <v>430</v>
      </c>
      <c r="J396" s="44" t="s">
        <v>644</v>
      </c>
      <c r="K396" s="44" t="s">
        <v>14</v>
      </c>
      <c r="L396" s="48">
        <v>346819</v>
      </c>
      <c r="M396" s="48">
        <v>327187.74</v>
      </c>
      <c r="N396" s="48">
        <v>19631.26</v>
      </c>
      <c r="O396" s="44" t="s">
        <v>1119</v>
      </c>
    </row>
    <row r="397" customHeight="1" spans="1:15">
      <c r="A397" s="44" t="s">
        <v>637</v>
      </c>
      <c r="B397" s="86">
        <v>45077</v>
      </c>
      <c r="C397" s="44" t="s">
        <v>638</v>
      </c>
      <c r="D397" s="44" t="s">
        <v>639</v>
      </c>
      <c r="E397" s="44" t="s">
        <v>640</v>
      </c>
      <c r="F397" s="44" t="s">
        <v>641</v>
      </c>
      <c r="G397" s="44" t="s">
        <v>642</v>
      </c>
      <c r="H397" s="44" t="s">
        <v>643</v>
      </c>
      <c r="I397" s="44" t="s">
        <v>430</v>
      </c>
      <c r="J397" s="44" t="s">
        <v>644</v>
      </c>
      <c r="K397" s="44" t="s">
        <v>14</v>
      </c>
      <c r="L397" s="48">
        <v>374724.83</v>
      </c>
      <c r="M397" s="48">
        <v>353513.99</v>
      </c>
      <c r="N397" s="48">
        <v>21210.84</v>
      </c>
      <c r="O397" s="44" t="s">
        <v>1120</v>
      </c>
    </row>
    <row r="398" customHeight="1" spans="1:15">
      <c r="A398" s="44" t="s">
        <v>637</v>
      </c>
      <c r="B398" s="86">
        <v>45077</v>
      </c>
      <c r="C398" s="44" t="s">
        <v>638</v>
      </c>
      <c r="D398" s="44" t="s">
        <v>639</v>
      </c>
      <c r="E398" s="44" t="s">
        <v>647</v>
      </c>
      <c r="F398" s="44" t="s">
        <v>641</v>
      </c>
      <c r="G398" s="44" t="s">
        <v>648</v>
      </c>
      <c r="H398" s="44" t="s">
        <v>643</v>
      </c>
      <c r="I398" s="44" t="s">
        <v>430</v>
      </c>
      <c r="J398" s="44" t="s">
        <v>644</v>
      </c>
      <c r="K398" s="44" t="s">
        <v>14</v>
      </c>
      <c r="L398" s="48">
        <v>145397.25</v>
      </c>
      <c r="M398" s="48">
        <v>137167.23</v>
      </c>
      <c r="N398" s="48">
        <v>8230.02</v>
      </c>
      <c r="O398" s="44" t="s">
        <v>1121</v>
      </c>
    </row>
    <row r="399" customHeight="1" spans="1:15">
      <c r="A399" s="44" t="s">
        <v>637</v>
      </c>
      <c r="B399" s="86">
        <v>45077</v>
      </c>
      <c r="C399" s="44" t="s">
        <v>646</v>
      </c>
      <c r="D399" s="44" t="s">
        <v>639</v>
      </c>
      <c r="E399" s="44" t="s">
        <v>640</v>
      </c>
      <c r="F399" s="44" t="s">
        <v>641</v>
      </c>
      <c r="G399" s="44" t="s">
        <v>648</v>
      </c>
      <c r="H399" s="44" t="s">
        <v>643</v>
      </c>
      <c r="I399" s="44" t="s">
        <v>430</v>
      </c>
      <c r="J399" s="44" t="s">
        <v>644</v>
      </c>
      <c r="K399" s="44" t="s">
        <v>14</v>
      </c>
      <c r="L399" s="48">
        <v>79889</v>
      </c>
      <c r="M399" s="48">
        <v>75366.98</v>
      </c>
      <c r="N399" s="48">
        <v>4522.02</v>
      </c>
      <c r="O399" s="44" t="s">
        <v>1122</v>
      </c>
    </row>
    <row r="400" customHeight="1" spans="1:15">
      <c r="A400" s="44" t="s">
        <v>637</v>
      </c>
      <c r="B400" s="86">
        <v>45077</v>
      </c>
      <c r="C400" s="44" t="s">
        <v>638</v>
      </c>
      <c r="D400" s="44" t="s">
        <v>639</v>
      </c>
      <c r="E400" s="44" t="s">
        <v>647</v>
      </c>
      <c r="F400" s="44" t="s">
        <v>641</v>
      </c>
      <c r="G400" s="44" t="s">
        <v>648</v>
      </c>
      <c r="H400" s="44" t="s">
        <v>643</v>
      </c>
      <c r="I400" s="44" t="s">
        <v>430</v>
      </c>
      <c r="J400" s="44" t="s">
        <v>644</v>
      </c>
      <c r="K400" s="44" t="s">
        <v>14</v>
      </c>
      <c r="L400" s="48">
        <v>27863.6</v>
      </c>
      <c r="M400" s="48">
        <v>26286.44</v>
      </c>
      <c r="N400" s="48">
        <v>1577.16</v>
      </c>
      <c r="O400" s="44" t="s">
        <v>1123</v>
      </c>
    </row>
    <row r="401" customHeight="1" spans="1:15">
      <c r="A401" s="44" t="s">
        <v>637</v>
      </c>
      <c r="B401" s="86">
        <v>45077</v>
      </c>
      <c r="C401" s="44" t="s">
        <v>638</v>
      </c>
      <c r="D401" s="44" t="s">
        <v>639</v>
      </c>
      <c r="E401" s="44" t="s">
        <v>647</v>
      </c>
      <c r="F401" s="44" t="s">
        <v>641</v>
      </c>
      <c r="G401" s="44" t="s">
        <v>648</v>
      </c>
      <c r="H401" s="44" t="s">
        <v>697</v>
      </c>
      <c r="I401" s="44" t="s">
        <v>430</v>
      </c>
      <c r="J401" s="44" t="s">
        <v>644</v>
      </c>
      <c r="K401" s="44" t="s">
        <v>14</v>
      </c>
      <c r="L401" s="48">
        <v>1271.46</v>
      </c>
      <c r="M401" s="48">
        <v>1199.49</v>
      </c>
      <c r="N401" s="48">
        <v>71.97</v>
      </c>
      <c r="O401" s="44" t="s">
        <v>1124</v>
      </c>
    </row>
    <row r="402" customHeight="1" spans="1:15">
      <c r="A402" s="44" t="s">
        <v>637</v>
      </c>
      <c r="B402" s="86">
        <v>45077</v>
      </c>
      <c r="C402" s="44" t="s">
        <v>646</v>
      </c>
      <c r="D402" s="44" t="s">
        <v>682</v>
      </c>
      <c r="E402" s="44" t="s">
        <v>640</v>
      </c>
      <c r="F402" s="44" t="s">
        <v>641</v>
      </c>
      <c r="G402" s="44" t="s">
        <v>642</v>
      </c>
      <c r="H402" s="44" t="s">
        <v>650</v>
      </c>
      <c r="I402" s="44" t="s">
        <v>743</v>
      </c>
      <c r="J402" s="44" t="s">
        <v>656</v>
      </c>
      <c r="K402" s="44" t="s">
        <v>13</v>
      </c>
      <c r="L402" s="48">
        <v>7540</v>
      </c>
      <c r="M402" s="48">
        <v>7113.21</v>
      </c>
      <c r="N402" s="48">
        <v>426.79</v>
      </c>
      <c r="O402" s="44" t="s">
        <v>1125</v>
      </c>
    </row>
    <row r="403" customHeight="1" spans="1:15">
      <c r="A403" s="44" t="s">
        <v>637</v>
      </c>
      <c r="B403" s="86">
        <v>45077</v>
      </c>
      <c r="C403" s="44" t="s">
        <v>646</v>
      </c>
      <c r="D403" s="44" t="s">
        <v>639</v>
      </c>
      <c r="E403" s="44" t="s">
        <v>640</v>
      </c>
      <c r="F403" s="44" t="s">
        <v>689</v>
      </c>
      <c r="G403" s="44" t="s">
        <v>648</v>
      </c>
      <c r="H403" s="44" t="s">
        <v>650</v>
      </c>
      <c r="I403" s="44" t="s">
        <v>690</v>
      </c>
      <c r="J403" s="44" t="s">
        <v>656</v>
      </c>
      <c r="K403" s="44" t="s">
        <v>165</v>
      </c>
      <c r="L403" s="48">
        <v>13110</v>
      </c>
      <c r="M403" s="48">
        <v>12367.92</v>
      </c>
      <c r="N403" s="48">
        <v>742.08</v>
      </c>
      <c r="O403" s="44" t="s">
        <v>1126</v>
      </c>
    </row>
    <row r="404" customHeight="1" spans="1:15">
      <c r="A404" s="44" t="s">
        <v>637</v>
      </c>
      <c r="B404" s="86">
        <v>45077</v>
      </c>
      <c r="C404" s="44" t="s">
        <v>646</v>
      </c>
      <c r="D404" s="44" t="s">
        <v>653</v>
      </c>
      <c r="E404" s="44" t="s">
        <v>640</v>
      </c>
      <c r="F404" s="44" t="s">
        <v>641</v>
      </c>
      <c r="G404" s="44" t="s">
        <v>648</v>
      </c>
      <c r="H404" s="44" t="s">
        <v>697</v>
      </c>
      <c r="I404" s="44" t="s">
        <v>462</v>
      </c>
      <c r="J404" s="44" t="s">
        <v>656</v>
      </c>
      <c r="K404" s="44" t="s">
        <v>166</v>
      </c>
      <c r="L404" s="48">
        <v>229499.25</v>
      </c>
      <c r="M404" s="48">
        <v>216508.73</v>
      </c>
      <c r="N404" s="48">
        <v>12990.52</v>
      </c>
      <c r="O404" s="44" t="s">
        <v>1127</v>
      </c>
    </row>
    <row r="405" customHeight="1" spans="1:15">
      <c r="A405" s="44" t="s">
        <v>637</v>
      </c>
      <c r="B405" s="86">
        <v>45077</v>
      </c>
      <c r="C405" s="44" t="s">
        <v>646</v>
      </c>
      <c r="D405" s="44" t="s">
        <v>639</v>
      </c>
      <c r="E405" s="44" t="s">
        <v>640</v>
      </c>
      <c r="F405" s="44" t="s">
        <v>641</v>
      </c>
      <c r="G405" s="44" t="s">
        <v>648</v>
      </c>
      <c r="H405" s="44" t="s">
        <v>650</v>
      </c>
      <c r="I405" s="44" t="s">
        <v>667</v>
      </c>
      <c r="J405" s="44" t="s">
        <v>656</v>
      </c>
      <c r="K405" s="44" t="s">
        <v>350</v>
      </c>
      <c r="L405" s="48">
        <v>-84</v>
      </c>
      <c r="M405" s="48">
        <v>-79.25</v>
      </c>
      <c r="N405" s="48">
        <v>-4.75</v>
      </c>
      <c r="O405" s="44" t="s">
        <v>1128</v>
      </c>
    </row>
    <row r="406" customHeight="1" spans="1:15">
      <c r="A406" s="44" t="s">
        <v>637</v>
      </c>
      <c r="B406" s="86">
        <v>45077</v>
      </c>
      <c r="C406" s="44" t="s">
        <v>646</v>
      </c>
      <c r="D406" s="44" t="s">
        <v>653</v>
      </c>
      <c r="E406" s="44" t="s">
        <v>640</v>
      </c>
      <c r="F406" s="44" t="s">
        <v>659</v>
      </c>
      <c r="G406" s="44" t="s">
        <v>648</v>
      </c>
      <c r="H406" s="44" t="s">
        <v>650</v>
      </c>
      <c r="I406" s="44" t="s">
        <v>462</v>
      </c>
      <c r="J406" s="44" t="s">
        <v>656</v>
      </c>
      <c r="K406" s="44" t="s">
        <v>166</v>
      </c>
      <c r="L406" s="48">
        <v>1222447.68</v>
      </c>
      <c r="M406" s="48">
        <v>1153252.53</v>
      </c>
      <c r="N406" s="48">
        <v>69195.15</v>
      </c>
      <c r="O406" s="44" t="s">
        <v>1129</v>
      </c>
    </row>
    <row r="407" customHeight="1" spans="1:15">
      <c r="A407" s="44" t="s">
        <v>637</v>
      </c>
      <c r="B407" s="86">
        <v>45077</v>
      </c>
      <c r="C407" s="44" t="s">
        <v>646</v>
      </c>
      <c r="D407" s="44" t="s">
        <v>653</v>
      </c>
      <c r="E407" s="44" t="s">
        <v>640</v>
      </c>
      <c r="F407" s="44" t="s">
        <v>659</v>
      </c>
      <c r="G407" s="44" t="s">
        <v>648</v>
      </c>
      <c r="H407" s="44" t="s">
        <v>650</v>
      </c>
      <c r="I407" s="44" t="s">
        <v>462</v>
      </c>
      <c r="J407" s="44" t="s">
        <v>656</v>
      </c>
      <c r="K407" s="44" t="s">
        <v>166</v>
      </c>
      <c r="L407" s="48">
        <v>917997</v>
      </c>
      <c r="M407" s="48">
        <v>866034.91</v>
      </c>
      <c r="N407" s="48">
        <v>51962.09</v>
      </c>
      <c r="O407" s="44" t="s">
        <v>1130</v>
      </c>
    </row>
    <row r="408" customHeight="1" spans="1:15">
      <c r="A408" s="44" t="s">
        <v>637</v>
      </c>
      <c r="B408" s="86">
        <v>45077</v>
      </c>
      <c r="C408" s="44" t="s">
        <v>646</v>
      </c>
      <c r="D408" s="44" t="s">
        <v>653</v>
      </c>
      <c r="E408" s="44" t="s">
        <v>640</v>
      </c>
      <c r="F408" s="44" t="s">
        <v>641</v>
      </c>
      <c r="G408" s="44" t="s">
        <v>642</v>
      </c>
      <c r="H408" s="44" t="s">
        <v>643</v>
      </c>
      <c r="I408" s="44" t="s">
        <v>462</v>
      </c>
      <c r="J408" s="44" t="s">
        <v>656</v>
      </c>
      <c r="K408" s="44" t="s">
        <v>166</v>
      </c>
      <c r="L408" s="48">
        <v>1080000</v>
      </c>
      <c r="M408" s="48">
        <v>1018867.92</v>
      </c>
      <c r="N408" s="48">
        <v>61132.08</v>
      </c>
      <c r="O408" s="44" t="s">
        <v>1131</v>
      </c>
    </row>
    <row r="409" customHeight="1" spans="1:15">
      <c r="A409" s="44" t="s">
        <v>637</v>
      </c>
      <c r="B409" s="86">
        <v>45077</v>
      </c>
      <c r="C409" s="44" t="s">
        <v>646</v>
      </c>
      <c r="D409" s="44" t="s">
        <v>639</v>
      </c>
      <c r="E409" s="44" t="s">
        <v>640</v>
      </c>
      <c r="F409" s="44" t="s">
        <v>641</v>
      </c>
      <c r="G409" s="44" t="s">
        <v>642</v>
      </c>
      <c r="H409" s="44" t="s">
        <v>643</v>
      </c>
      <c r="I409" s="44" t="s">
        <v>430</v>
      </c>
      <c r="J409" s="44" t="s">
        <v>644</v>
      </c>
      <c r="K409" s="44" t="s">
        <v>14</v>
      </c>
      <c r="L409" s="48">
        <v>-33663.16</v>
      </c>
      <c r="M409" s="48">
        <v>-31757.7</v>
      </c>
      <c r="N409" s="48">
        <v>-1905.46</v>
      </c>
      <c r="O409" s="44" t="s">
        <v>1132</v>
      </c>
    </row>
    <row r="410" customHeight="1" spans="1:15">
      <c r="A410" s="44" t="s">
        <v>637</v>
      </c>
      <c r="B410" s="86">
        <v>45077</v>
      </c>
      <c r="C410" s="44" t="s">
        <v>646</v>
      </c>
      <c r="D410" s="44" t="s">
        <v>639</v>
      </c>
      <c r="E410" s="44" t="s">
        <v>640</v>
      </c>
      <c r="F410" s="44" t="s">
        <v>641</v>
      </c>
      <c r="G410" s="44" t="s">
        <v>648</v>
      </c>
      <c r="H410" s="44" t="s">
        <v>643</v>
      </c>
      <c r="I410" s="44" t="s">
        <v>430</v>
      </c>
      <c r="J410" s="44" t="s">
        <v>644</v>
      </c>
      <c r="K410" s="44" t="s">
        <v>14</v>
      </c>
      <c r="L410" s="48">
        <v>30516.28</v>
      </c>
      <c r="M410" s="48">
        <v>28788.94</v>
      </c>
      <c r="N410" s="48">
        <v>1727.34</v>
      </c>
      <c r="O410" s="44" t="s">
        <v>1133</v>
      </c>
    </row>
    <row r="411" customHeight="1" spans="1:15">
      <c r="A411" s="44" t="s">
        <v>637</v>
      </c>
      <c r="B411" s="86">
        <v>45077</v>
      </c>
      <c r="C411" s="44" t="s">
        <v>646</v>
      </c>
      <c r="D411" s="44" t="s">
        <v>653</v>
      </c>
      <c r="E411" s="44" t="s">
        <v>640</v>
      </c>
      <c r="F411" s="44" t="s">
        <v>641</v>
      </c>
      <c r="G411" s="44" t="s">
        <v>642</v>
      </c>
      <c r="H411" s="44" t="s">
        <v>643</v>
      </c>
      <c r="I411" s="44" t="s">
        <v>462</v>
      </c>
      <c r="J411" s="44" t="s">
        <v>656</v>
      </c>
      <c r="K411" s="44" t="s">
        <v>166</v>
      </c>
      <c r="L411" s="48">
        <v>2900000</v>
      </c>
      <c r="M411" s="48">
        <v>2735849.06</v>
      </c>
      <c r="N411" s="48">
        <v>164150.94</v>
      </c>
      <c r="O411" s="44" t="s">
        <v>1134</v>
      </c>
    </row>
    <row r="412" customHeight="1" spans="1:15">
      <c r="A412" s="44" t="s">
        <v>637</v>
      </c>
      <c r="B412" s="86">
        <v>45077</v>
      </c>
      <c r="C412" s="44" t="s">
        <v>811</v>
      </c>
      <c r="D412" s="44" t="s">
        <v>639</v>
      </c>
      <c r="E412" s="44" t="s">
        <v>647</v>
      </c>
      <c r="F412" s="44" t="s">
        <v>641</v>
      </c>
      <c r="G412" s="44" t="s">
        <v>642</v>
      </c>
      <c r="H412" s="44" t="s">
        <v>650</v>
      </c>
      <c r="I412" s="44" t="s">
        <v>430</v>
      </c>
      <c r="J412" s="44" t="s">
        <v>644</v>
      </c>
      <c r="K412" s="44" t="s">
        <v>14</v>
      </c>
      <c r="L412" s="48">
        <v>88977.38</v>
      </c>
      <c r="M412" s="48">
        <v>83940.94</v>
      </c>
      <c r="N412" s="48">
        <v>5036.44</v>
      </c>
      <c r="O412" s="44" t="s">
        <v>1135</v>
      </c>
    </row>
    <row r="413" customHeight="1" spans="1:15">
      <c r="A413" s="44" t="s">
        <v>637</v>
      </c>
      <c r="B413" s="86">
        <v>45077</v>
      </c>
      <c r="C413" s="44" t="s">
        <v>811</v>
      </c>
      <c r="D413" s="44" t="s">
        <v>653</v>
      </c>
      <c r="E413" s="44" t="s">
        <v>647</v>
      </c>
      <c r="F413" s="44" t="s">
        <v>641</v>
      </c>
      <c r="G413" s="44" t="s">
        <v>648</v>
      </c>
      <c r="H413" s="44" t="s">
        <v>643</v>
      </c>
      <c r="I413" s="44" t="s">
        <v>430</v>
      </c>
      <c r="J413" s="44" t="s">
        <v>644</v>
      </c>
      <c r="K413" s="44" t="s">
        <v>14</v>
      </c>
      <c r="L413" s="48">
        <v>2211.41</v>
      </c>
      <c r="M413" s="48">
        <v>2086.22</v>
      </c>
      <c r="N413" s="48">
        <v>125.19</v>
      </c>
      <c r="O413" s="44" t="s">
        <v>1136</v>
      </c>
    </row>
    <row r="414" customHeight="1" spans="1:15">
      <c r="A414" s="44" t="s">
        <v>637</v>
      </c>
      <c r="B414" s="86">
        <v>45077</v>
      </c>
      <c r="C414" s="44" t="s">
        <v>646</v>
      </c>
      <c r="D414" s="44" t="s">
        <v>639</v>
      </c>
      <c r="E414" s="44" t="s">
        <v>647</v>
      </c>
      <c r="F414" s="44" t="s">
        <v>641</v>
      </c>
      <c r="G414" s="44" t="s">
        <v>654</v>
      </c>
      <c r="H414" s="44" t="s">
        <v>643</v>
      </c>
      <c r="I414" s="44" t="s">
        <v>661</v>
      </c>
      <c r="J414" s="44" t="s">
        <v>656</v>
      </c>
      <c r="K414" s="44" t="s">
        <v>350</v>
      </c>
      <c r="L414" s="48">
        <v>724.5</v>
      </c>
      <c r="M414" s="48">
        <v>683.49</v>
      </c>
      <c r="N414" s="48">
        <v>41.01</v>
      </c>
      <c r="O414" s="44" t="s">
        <v>1137</v>
      </c>
    </row>
    <row r="415" customHeight="1" spans="1:15">
      <c r="A415" s="44" t="s">
        <v>637</v>
      </c>
      <c r="B415" s="86">
        <v>45077</v>
      </c>
      <c r="C415" s="44" t="s">
        <v>646</v>
      </c>
      <c r="D415" s="44" t="s">
        <v>639</v>
      </c>
      <c r="E415" s="44" t="s">
        <v>647</v>
      </c>
      <c r="F415" s="44" t="s">
        <v>641</v>
      </c>
      <c r="G415" s="44" t="s">
        <v>648</v>
      </c>
      <c r="H415" s="44" t="s">
        <v>650</v>
      </c>
      <c r="I415" s="44" t="s">
        <v>667</v>
      </c>
      <c r="J415" s="44" t="s">
        <v>644</v>
      </c>
      <c r="K415" s="44" t="s">
        <v>350</v>
      </c>
      <c r="L415" s="48">
        <v>84</v>
      </c>
      <c r="M415" s="48">
        <v>79.25</v>
      </c>
      <c r="N415" s="48">
        <v>4.75</v>
      </c>
      <c r="O415" s="44" t="s">
        <v>1138</v>
      </c>
    </row>
    <row r="416" customHeight="1" spans="1:15">
      <c r="A416" s="44" t="s">
        <v>637</v>
      </c>
      <c r="B416" s="86">
        <v>45077</v>
      </c>
      <c r="C416" s="44" t="s">
        <v>811</v>
      </c>
      <c r="D416" s="44" t="s">
        <v>726</v>
      </c>
      <c r="E416" s="44" t="s">
        <v>647</v>
      </c>
      <c r="F416" s="44" t="s">
        <v>641</v>
      </c>
      <c r="G416" s="44" t="s">
        <v>648</v>
      </c>
      <c r="H416" s="44" t="s">
        <v>643</v>
      </c>
      <c r="I416" s="44" t="s">
        <v>430</v>
      </c>
      <c r="J416" s="44" t="s">
        <v>644</v>
      </c>
      <c r="K416" s="44" t="s">
        <v>14</v>
      </c>
      <c r="L416" s="48">
        <v>429254.59</v>
      </c>
      <c r="M416" s="48">
        <v>404957.19</v>
      </c>
      <c r="N416" s="48">
        <v>24297.4</v>
      </c>
      <c r="O416" s="44" t="s">
        <v>1139</v>
      </c>
    </row>
    <row r="417" customHeight="1" spans="1:15">
      <c r="A417" s="44" t="s">
        <v>637</v>
      </c>
      <c r="B417" s="86">
        <v>45077</v>
      </c>
      <c r="C417" s="44" t="s">
        <v>992</v>
      </c>
      <c r="D417" s="44" t="s">
        <v>639</v>
      </c>
      <c r="E417" s="44" t="s">
        <v>647</v>
      </c>
      <c r="F417" s="44" t="s">
        <v>641</v>
      </c>
      <c r="G417" s="44" t="s">
        <v>648</v>
      </c>
      <c r="H417" s="44" t="s">
        <v>643</v>
      </c>
      <c r="I417" s="44" t="s">
        <v>430</v>
      </c>
      <c r="J417" s="44" t="s">
        <v>644</v>
      </c>
      <c r="K417" s="44" t="s">
        <v>14</v>
      </c>
      <c r="L417" s="48">
        <v>103018.4</v>
      </c>
      <c r="M417" s="48">
        <v>97187.15</v>
      </c>
      <c r="N417" s="48">
        <v>5831.25</v>
      </c>
      <c r="O417" s="44" t="s">
        <v>1140</v>
      </c>
    </row>
    <row r="418" customHeight="1" spans="1:15">
      <c r="A418" s="44" t="s">
        <v>637</v>
      </c>
      <c r="B418" s="86">
        <v>45077</v>
      </c>
      <c r="C418" s="44" t="s">
        <v>646</v>
      </c>
      <c r="D418" s="44" t="s">
        <v>639</v>
      </c>
      <c r="E418" s="44" t="s">
        <v>647</v>
      </c>
      <c r="F418" s="44" t="s">
        <v>641</v>
      </c>
      <c r="G418" s="44" t="s">
        <v>648</v>
      </c>
      <c r="H418" s="44" t="s">
        <v>643</v>
      </c>
      <c r="I418" s="44" t="s">
        <v>430</v>
      </c>
      <c r="J418" s="44" t="s">
        <v>644</v>
      </c>
      <c r="K418" s="44" t="s">
        <v>14</v>
      </c>
      <c r="L418" s="48">
        <v>328742.4</v>
      </c>
      <c r="M418" s="48">
        <v>310134.34</v>
      </c>
      <c r="N418" s="48">
        <v>18608.06</v>
      </c>
      <c r="O418" s="44" t="s">
        <v>1141</v>
      </c>
    </row>
    <row r="419" customHeight="1" spans="1:15">
      <c r="A419" s="44" t="s">
        <v>637</v>
      </c>
      <c r="B419" s="86">
        <v>45077</v>
      </c>
      <c r="C419" s="44" t="s">
        <v>646</v>
      </c>
      <c r="D419" s="44" t="s">
        <v>639</v>
      </c>
      <c r="E419" s="44" t="s">
        <v>647</v>
      </c>
      <c r="F419" s="44" t="s">
        <v>641</v>
      </c>
      <c r="G419" s="44" t="s">
        <v>642</v>
      </c>
      <c r="H419" s="44" t="s">
        <v>650</v>
      </c>
      <c r="I419" s="44" t="s">
        <v>678</v>
      </c>
      <c r="J419" s="44" t="s">
        <v>656</v>
      </c>
      <c r="K419" s="44" t="s">
        <v>350</v>
      </c>
      <c r="L419" s="48">
        <v>372</v>
      </c>
      <c r="M419" s="48">
        <v>350.92</v>
      </c>
      <c r="N419" s="48">
        <v>21.08</v>
      </c>
      <c r="O419" s="44" t="s">
        <v>1142</v>
      </c>
    </row>
    <row r="420" customHeight="1" spans="1:15">
      <c r="A420" s="44" t="s">
        <v>637</v>
      </c>
      <c r="B420" s="86">
        <v>45077</v>
      </c>
      <c r="C420" s="44" t="s">
        <v>646</v>
      </c>
      <c r="D420" s="44" t="s">
        <v>639</v>
      </c>
      <c r="E420" s="44" t="s">
        <v>647</v>
      </c>
      <c r="F420" s="44" t="s">
        <v>641</v>
      </c>
      <c r="G420" s="44" t="s">
        <v>648</v>
      </c>
      <c r="H420" s="44" t="s">
        <v>697</v>
      </c>
      <c r="I420" s="44" t="s">
        <v>430</v>
      </c>
      <c r="J420" s="44" t="s">
        <v>644</v>
      </c>
      <c r="K420" s="44" t="s">
        <v>14</v>
      </c>
      <c r="L420" s="48">
        <v>70684.24</v>
      </c>
      <c r="M420" s="48">
        <v>66683.27</v>
      </c>
      <c r="N420" s="48">
        <v>4000.97</v>
      </c>
      <c r="O420" s="44" t="s">
        <v>1143</v>
      </c>
    </row>
    <row r="421" customHeight="1" spans="1:15">
      <c r="A421" s="44" t="s">
        <v>637</v>
      </c>
      <c r="B421" s="86">
        <v>45077</v>
      </c>
      <c r="C421" s="44" t="s">
        <v>646</v>
      </c>
      <c r="D421" s="44" t="s">
        <v>639</v>
      </c>
      <c r="E421" s="44" t="s">
        <v>647</v>
      </c>
      <c r="F421" s="44" t="s">
        <v>641</v>
      </c>
      <c r="G421" s="44" t="s">
        <v>642</v>
      </c>
      <c r="H421" s="44" t="s">
        <v>650</v>
      </c>
      <c r="I421" s="44" t="s">
        <v>430</v>
      </c>
      <c r="J421" s="44" t="s">
        <v>644</v>
      </c>
      <c r="K421" s="44" t="s">
        <v>14</v>
      </c>
      <c r="L421" s="48">
        <v>439322.55</v>
      </c>
      <c r="M421" s="48">
        <v>414455.22</v>
      </c>
      <c r="N421" s="48">
        <v>24867.33</v>
      </c>
      <c r="O421" s="44" t="s">
        <v>1144</v>
      </c>
    </row>
    <row r="422" customHeight="1" spans="1:15">
      <c r="A422" s="44" t="s">
        <v>637</v>
      </c>
      <c r="B422" s="86">
        <v>45077</v>
      </c>
      <c r="C422" s="44" t="s">
        <v>646</v>
      </c>
      <c r="D422" s="44" t="s">
        <v>639</v>
      </c>
      <c r="E422" s="44" t="s">
        <v>647</v>
      </c>
      <c r="F422" s="44" t="s">
        <v>641</v>
      </c>
      <c r="G422" s="44" t="s">
        <v>648</v>
      </c>
      <c r="H422" s="44" t="s">
        <v>650</v>
      </c>
      <c r="I422" s="44" t="s">
        <v>686</v>
      </c>
      <c r="J422" s="44" t="s">
        <v>656</v>
      </c>
      <c r="K422" s="44" t="s">
        <v>14</v>
      </c>
      <c r="L422" s="48">
        <v>7018.88</v>
      </c>
      <c r="M422" s="48">
        <v>6621.56</v>
      </c>
      <c r="N422" s="48">
        <v>397.32</v>
      </c>
      <c r="O422" s="44" t="s">
        <v>1145</v>
      </c>
    </row>
    <row r="423" customHeight="1" spans="1:15">
      <c r="A423" s="44" t="s">
        <v>637</v>
      </c>
      <c r="B423" s="86">
        <v>45077</v>
      </c>
      <c r="C423" s="44" t="s">
        <v>646</v>
      </c>
      <c r="D423" s="44" t="s">
        <v>639</v>
      </c>
      <c r="E423" s="44" t="s">
        <v>647</v>
      </c>
      <c r="F423" s="44" t="s">
        <v>689</v>
      </c>
      <c r="G423" s="44" t="s">
        <v>654</v>
      </c>
      <c r="H423" s="44" t="s">
        <v>697</v>
      </c>
      <c r="I423" s="44" t="s">
        <v>658</v>
      </c>
      <c r="J423" s="44" t="s">
        <v>656</v>
      </c>
      <c r="K423" s="44" t="s">
        <v>350</v>
      </c>
      <c r="L423" s="48">
        <v>107153.2</v>
      </c>
      <c r="M423" s="48">
        <v>101087.93</v>
      </c>
      <c r="N423" s="48">
        <v>6065.27</v>
      </c>
      <c r="O423" s="44" t="s">
        <v>1146</v>
      </c>
    </row>
    <row r="424" customHeight="1" spans="1:15">
      <c r="A424" s="44" t="s">
        <v>637</v>
      </c>
      <c r="B424" s="86">
        <v>45077</v>
      </c>
      <c r="C424" s="44" t="s">
        <v>811</v>
      </c>
      <c r="D424" s="44" t="s">
        <v>740</v>
      </c>
      <c r="E424" s="44" t="s">
        <v>647</v>
      </c>
      <c r="F424" s="44" t="s">
        <v>641</v>
      </c>
      <c r="G424" s="44" t="s">
        <v>648</v>
      </c>
      <c r="H424" s="44" t="s">
        <v>643</v>
      </c>
      <c r="I424" s="44" t="s">
        <v>430</v>
      </c>
      <c r="J424" s="44" t="s">
        <v>644</v>
      </c>
      <c r="K424" s="44" t="s">
        <v>14</v>
      </c>
      <c r="L424" s="48">
        <v>135454.9</v>
      </c>
      <c r="M424" s="48">
        <v>127787.63</v>
      </c>
      <c r="N424" s="48">
        <v>7667.27</v>
      </c>
      <c r="O424" s="44" t="s">
        <v>1147</v>
      </c>
    </row>
    <row r="425" customHeight="1" spans="1:15">
      <c r="A425" s="44" t="s">
        <v>637</v>
      </c>
      <c r="B425" s="86">
        <v>45077</v>
      </c>
      <c r="C425" s="44" t="s">
        <v>700</v>
      </c>
      <c r="D425" s="44" t="s">
        <v>639</v>
      </c>
      <c r="E425" s="44" t="s">
        <v>640</v>
      </c>
      <c r="F425" s="44" t="s">
        <v>641</v>
      </c>
      <c r="G425" s="44" t="s">
        <v>648</v>
      </c>
      <c r="H425" s="44" t="s">
        <v>650</v>
      </c>
      <c r="I425" s="44" t="s">
        <v>442</v>
      </c>
      <c r="J425" s="44" t="s">
        <v>644</v>
      </c>
      <c r="K425" s="44" t="s">
        <v>14</v>
      </c>
      <c r="L425" s="48">
        <v>-163863.92</v>
      </c>
      <c r="M425" s="48">
        <v>-154588.6</v>
      </c>
      <c r="N425" s="48">
        <v>-9275.32</v>
      </c>
      <c r="O425" s="44" t="s">
        <v>1148</v>
      </c>
    </row>
    <row r="426" customHeight="1" spans="1:15">
      <c r="A426" s="44" t="s">
        <v>637</v>
      </c>
      <c r="B426" s="86">
        <v>45077</v>
      </c>
      <c r="C426" s="44" t="s">
        <v>700</v>
      </c>
      <c r="D426" s="44" t="s">
        <v>639</v>
      </c>
      <c r="E426" s="44" t="s">
        <v>647</v>
      </c>
      <c r="F426" s="44" t="s">
        <v>641</v>
      </c>
      <c r="G426" s="44" t="s">
        <v>648</v>
      </c>
      <c r="H426" s="44" t="s">
        <v>650</v>
      </c>
      <c r="I426" s="44" t="s">
        <v>460</v>
      </c>
      <c r="J426" s="44" t="s">
        <v>644</v>
      </c>
      <c r="K426" s="44" t="s">
        <v>14</v>
      </c>
      <c r="L426" s="48">
        <v>440283.32</v>
      </c>
      <c r="M426" s="48">
        <v>415361.62</v>
      </c>
      <c r="N426" s="48">
        <v>24921.7</v>
      </c>
      <c r="O426" s="44" t="s">
        <v>1149</v>
      </c>
    </row>
    <row r="427" customHeight="1" spans="1:15">
      <c r="A427" s="44" t="s">
        <v>637</v>
      </c>
      <c r="B427" s="86">
        <v>45077</v>
      </c>
      <c r="C427" s="44" t="s">
        <v>700</v>
      </c>
      <c r="D427" s="44" t="s">
        <v>639</v>
      </c>
      <c r="E427" s="44" t="s">
        <v>647</v>
      </c>
      <c r="F427" s="44" t="s">
        <v>641</v>
      </c>
      <c r="G427" s="44" t="s">
        <v>648</v>
      </c>
      <c r="H427" s="44" t="s">
        <v>643</v>
      </c>
      <c r="I427" s="44" t="s">
        <v>442</v>
      </c>
      <c r="J427" s="44" t="s">
        <v>644</v>
      </c>
      <c r="K427" s="44" t="s">
        <v>14</v>
      </c>
      <c r="L427" s="48">
        <v>1112866.75</v>
      </c>
      <c r="M427" s="48">
        <v>1049874.29</v>
      </c>
      <c r="N427" s="48">
        <v>62992.46</v>
      </c>
      <c r="O427" s="44" t="s">
        <v>1150</v>
      </c>
    </row>
    <row r="428" customHeight="1" spans="1:15">
      <c r="A428" s="44" t="s">
        <v>637</v>
      </c>
      <c r="B428" s="86">
        <v>45077</v>
      </c>
      <c r="C428" s="44" t="s">
        <v>700</v>
      </c>
      <c r="D428" s="44" t="s">
        <v>639</v>
      </c>
      <c r="E428" s="44" t="s">
        <v>640</v>
      </c>
      <c r="F428" s="44" t="s">
        <v>659</v>
      </c>
      <c r="G428" s="44" t="s">
        <v>642</v>
      </c>
      <c r="H428" s="44" t="s">
        <v>650</v>
      </c>
      <c r="I428" s="44" t="s">
        <v>442</v>
      </c>
      <c r="J428" s="44" t="s">
        <v>644</v>
      </c>
      <c r="K428" s="44" t="s">
        <v>14</v>
      </c>
      <c r="L428" s="48">
        <v>717383.4</v>
      </c>
      <c r="M428" s="48">
        <v>676776.79</v>
      </c>
      <c r="N428" s="48">
        <v>40606.61</v>
      </c>
      <c r="O428" s="44" t="s">
        <v>1151</v>
      </c>
    </row>
    <row r="429" customHeight="1" spans="1:15">
      <c r="A429" s="44" t="s">
        <v>637</v>
      </c>
      <c r="B429" s="86">
        <v>45077</v>
      </c>
      <c r="C429" s="44" t="s">
        <v>700</v>
      </c>
      <c r="D429" s="44" t="s">
        <v>639</v>
      </c>
      <c r="E429" s="44" t="s">
        <v>640</v>
      </c>
      <c r="F429" s="44" t="s">
        <v>641</v>
      </c>
      <c r="G429" s="44" t="s">
        <v>654</v>
      </c>
      <c r="H429" s="44" t="s">
        <v>650</v>
      </c>
      <c r="I429" s="44" t="s">
        <v>442</v>
      </c>
      <c r="J429" s="44" t="s">
        <v>644</v>
      </c>
      <c r="K429" s="44" t="s">
        <v>14</v>
      </c>
      <c r="L429" s="48">
        <v>2230478.13</v>
      </c>
      <c r="M429" s="48">
        <v>2104224.65</v>
      </c>
      <c r="N429" s="48">
        <v>126253.48</v>
      </c>
      <c r="O429" s="44" t="s">
        <v>1152</v>
      </c>
    </row>
    <row r="430" customHeight="1" spans="1:15">
      <c r="A430" s="44" t="s">
        <v>637</v>
      </c>
      <c r="B430" s="86">
        <v>45077</v>
      </c>
      <c r="C430" s="44" t="s">
        <v>700</v>
      </c>
      <c r="D430" s="44" t="s">
        <v>639</v>
      </c>
      <c r="E430" s="44" t="s">
        <v>640</v>
      </c>
      <c r="F430" s="44" t="s">
        <v>659</v>
      </c>
      <c r="G430" s="44" t="s">
        <v>654</v>
      </c>
      <c r="H430" s="44" t="s">
        <v>650</v>
      </c>
      <c r="I430" s="44" t="s">
        <v>442</v>
      </c>
      <c r="J430" s="44" t="s">
        <v>644</v>
      </c>
      <c r="K430" s="44" t="s">
        <v>14</v>
      </c>
      <c r="L430" s="48">
        <v>-2322379.11</v>
      </c>
      <c r="M430" s="48">
        <v>-2190923.69</v>
      </c>
      <c r="N430" s="48">
        <v>-131455.42</v>
      </c>
      <c r="O430" s="44" t="s">
        <v>1153</v>
      </c>
    </row>
    <row r="431" customHeight="1" spans="1:15">
      <c r="A431" s="44" t="s">
        <v>637</v>
      </c>
      <c r="B431" s="86">
        <v>45077</v>
      </c>
      <c r="C431" s="44" t="s">
        <v>811</v>
      </c>
      <c r="D431" s="44" t="s">
        <v>639</v>
      </c>
      <c r="E431" s="44" t="s">
        <v>640</v>
      </c>
      <c r="F431" s="44" t="s">
        <v>641</v>
      </c>
      <c r="G431" s="44" t="s">
        <v>648</v>
      </c>
      <c r="H431" s="44" t="s">
        <v>643</v>
      </c>
      <c r="I431" s="44" t="s">
        <v>430</v>
      </c>
      <c r="J431" s="44" t="s">
        <v>656</v>
      </c>
      <c r="K431" s="44" t="s">
        <v>14</v>
      </c>
      <c r="L431" s="48">
        <v>192969</v>
      </c>
      <c r="M431" s="48">
        <v>182046.23</v>
      </c>
      <c r="N431" s="48">
        <v>10922.77</v>
      </c>
      <c r="O431" s="44" t="s">
        <v>1154</v>
      </c>
    </row>
    <row r="432" customHeight="1" spans="1:15">
      <c r="A432" s="44" t="s">
        <v>637</v>
      </c>
      <c r="B432" s="86">
        <v>45077</v>
      </c>
      <c r="C432" s="44" t="s">
        <v>715</v>
      </c>
      <c r="D432" s="44" t="s">
        <v>653</v>
      </c>
      <c r="E432" s="44" t="s">
        <v>647</v>
      </c>
      <c r="F432" s="44" t="s">
        <v>659</v>
      </c>
      <c r="G432" s="44" t="s">
        <v>648</v>
      </c>
      <c r="H432" s="44" t="s">
        <v>650</v>
      </c>
      <c r="I432" s="44" t="s">
        <v>716</v>
      </c>
      <c r="J432" s="44" t="s">
        <v>656</v>
      </c>
      <c r="K432" s="44" t="s">
        <v>166</v>
      </c>
      <c r="L432" s="48">
        <v>400.5</v>
      </c>
      <c r="M432" s="48">
        <v>377.8</v>
      </c>
      <c r="N432" s="48">
        <v>22.7</v>
      </c>
      <c r="O432" s="44" t="s">
        <v>1155</v>
      </c>
    </row>
    <row r="433" customHeight="1" spans="1:15">
      <c r="A433" s="44" t="s">
        <v>637</v>
      </c>
      <c r="B433" s="86">
        <v>45077</v>
      </c>
      <c r="C433" s="44" t="s">
        <v>700</v>
      </c>
      <c r="D433" s="44" t="s">
        <v>639</v>
      </c>
      <c r="E433" s="44" t="s">
        <v>647</v>
      </c>
      <c r="F433" s="44" t="s">
        <v>641</v>
      </c>
      <c r="G433" s="44" t="s">
        <v>648</v>
      </c>
      <c r="H433" s="44" t="s">
        <v>643</v>
      </c>
      <c r="I433" s="44" t="s">
        <v>430</v>
      </c>
      <c r="J433" s="44" t="s">
        <v>644</v>
      </c>
      <c r="K433" s="44" t="s">
        <v>14</v>
      </c>
      <c r="L433" s="48">
        <v>322612.58</v>
      </c>
      <c r="M433" s="48">
        <v>304351.49</v>
      </c>
      <c r="N433" s="48">
        <v>18261.09</v>
      </c>
      <c r="O433" s="44" t="s">
        <v>1156</v>
      </c>
    </row>
    <row r="434" customHeight="1" spans="1:15">
      <c r="A434" s="44" t="s">
        <v>637</v>
      </c>
      <c r="B434" s="86">
        <v>45077</v>
      </c>
      <c r="C434" s="44" t="s">
        <v>710</v>
      </c>
      <c r="D434" s="44" t="s">
        <v>639</v>
      </c>
      <c r="E434" s="44" t="s">
        <v>640</v>
      </c>
      <c r="F434" s="44" t="s">
        <v>707</v>
      </c>
      <c r="G434" s="44" t="s">
        <v>648</v>
      </c>
      <c r="H434" s="44" t="s">
        <v>650</v>
      </c>
      <c r="I434" s="44" t="s">
        <v>723</v>
      </c>
      <c r="J434" s="44" t="s">
        <v>644</v>
      </c>
      <c r="K434" s="44" t="s">
        <v>165</v>
      </c>
      <c r="L434" s="48">
        <v>-58445</v>
      </c>
      <c r="M434" s="48">
        <v>-55136.79</v>
      </c>
      <c r="N434" s="48">
        <v>-3308.21</v>
      </c>
      <c r="O434" s="44" t="s">
        <v>1157</v>
      </c>
    </row>
    <row r="435" customHeight="1" spans="1:15">
      <c r="A435" s="44" t="s">
        <v>637</v>
      </c>
      <c r="B435" s="86">
        <v>45077</v>
      </c>
      <c r="C435" s="44" t="s">
        <v>710</v>
      </c>
      <c r="D435" s="44" t="s">
        <v>639</v>
      </c>
      <c r="E435" s="44" t="s">
        <v>647</v>
      </c>
      <c r="F435" s="44" t="s">
        <v>707</v>
      </c>
      <c r="G435" s="44" t="s">
        <v>648</v>
      </c>
      <c r="H435" s="44" t="s">
        <v>650</v>
      </c>
      <c r="I435" s="44" t="s">
        <v>723</v>
      </c>
      <c r="J435" s="44" t="s">
        <v>644</v>
      </c>
      <c r="K435" s="44" t="s">
        <v>165</v>
      </c>
      <c r="L435" s="48">
        <v>1546235</v>
      </c>
      <c r="M435" s="48">
        <v>1458712.28</v>
      </c>
      <c r="N435" s="48">
        <v>87522.72</v>
      </c>
      <c r="O435" s="44" t="s">
        <v>1158</v>
      </c>
    </row>
    <row r="436" customHeight="1" spans="1:15">
      <c r="A436" s="44" t="s">
        <v>637</v>
      </c>
      <c r="B436" s="86">
        <v>45077</v>
      </c>
      <c r="C436" s="44" t="s">
        <v>811</v>
      </c>
      <c r="D436" s="44" t="s">
        <v>639</v>
      </c>
      <c r="E436" s="44" t="s">
        <v>640</v>
      </c>
      <c r="F436" s="44" t="s">
        <v>641</v>
      </c>
      <c r="G436" s="44" t="s">
        <v>648</v>
      </c>
      <c r="H436" s="44" t="s">
        <v>643</v>
      </c>
      <c r="I436" s="44" t="s">
        <v>430</v>
      </c>
      <c r="J436" s="44" t="s">
        <v>656</v>
      </c>
      <c r="K436" s="44" t="s">
        <v>14</v>
      </c>
      <c r="L436" s="48">
        <v>-10131.92</v>
      </c>
      <c r="M436" s="48">
        <v>-9558.42</v>
      </c>
      <c r="N436" s="48">
        <v>-573.5</v>
      </c>
      <c r="O436" s="44" t="s">
        <v>1159</v>
      </c>
    </row>
    <row r="437" customHeight="1" spans="1:15">
      <c r="A437" s="44" t="s">
        <v>637</v>
      </c>
      <c r="B437" s="86">
        <v>45077</v>
      </c>
      <c r="C437" s="44" t="s">
        <v>811</v>
      </c>
      <c r="D437" s="44" t="s">
        <v>639</v>
      </c>
      <c r="E437" s="44" t="s">
        <v>640</v>
      </c>
      <c r="F437" s="44" t="s">
        <v>641</v>
      </c>
      <c r="G437" s="44" t="s">
        <v>642</v>
      </c>
      <c r="H437" s="44" t="s">
        <v>643</v>
      </c>
      <c r="I437" s="44" t="s">
        <v>430</v>
      </c>
      <c r="J437" s="44" t="s">
        <v>656</v>
      </c>
      <c r="K437" s="44" t="s">
        <v>14</v>
      </c>
      <c r="L437" s="48">
        <v>111284.62</v>
      </c>
      <c r="M437" s="48">
        <v>104985.49</v>
      </c>
      <c r="N437" s="48">
        <v>6299.13</v>
      </c>
      <c r="O437" s="44" t="s">
        <v>1160</v>
      </c>
    </row>
    <row r="438" customHeight="1" spans="1:15">
      <c r="A438" s="44" t="s">
        <v>637</v>
      </c>
      <c r="B438" s="86">
        <v>45077</v>
      </c>
      <c r="C438" s="44" t="s">
        <v>748</v>
      </c>
      <c r="D438" s="44" t="s">
        <v>639</v>
      </c>
      <c r="E438" s="44" t="s">
        <v>640</v>
      </c>
      <c r="F438" s="44" t="s">
        <v>707</v>
      </c>
      <c r="G438" s="44" t="s">
        <v>648</v>
      </c>
      <c r="H438" s="44" t="s">
        <v>697</v>
      </c>
      <c r="I438" s="44" t="s">
        <v>670</v>
      </c>
      <c r="J438" s="44" t="s">
        <v>644</v>
      </c>
      <c r="K438" s="44" t="s">
        <v>350</v>
      </c>
      <c r="L438" s="48">
        <v>112750</v>
      </c>
      <c r="M438" s="48">
        <v>106367.92</v>
      </c>
      <c r="N438" s="48">
        <v>6382.08</v>
      </c>
      <c r="O438" s="44" t="s">
        <v>1161</v>
      </c>
    </row>
    <row r="439" customHeight="1" spans="1:15">
      <c r="A439" s="44" t="s">
        <v>637</v>
      </c>
      <c r="B439" s="86">
        <v>45077</v>
      </c>
      <c r="C439" s="44" t="s">
        <v>748</v>
      </c>
      <c r="D439" s="44" t="s">
        <v>639</v>
      </c>
      <c r="E439" s="44" t="s">
        <v>640</v>
      </c>
      <c r="F439" s="44" t="s">
        <v>641</v>
      </c>
      <c r="G439" s="44" t="s">
        <v>648</v>
      </c>
      <c r="H439" s="44" t="s">
        <v>650</v>
      </c>
      <c r="I439" s="44" t="s">
        <v>436</v>
      </c>
      <c r="J439" s="44" t="s">
        <v>644</v>
      </c>
      <c r="K439" s="44" t="s">
        <v>350</v>
      </c>
      <c r="L439" s="48">
        <v>-162</v>
      </c>
      <c r="M439" s="48">
        <v>-152.83</v>
      </c>
      <c r="N439" s="48">
        <v>-9.17</v>
      </c>
      <c r="O439" s="44" t="s">
        <v>1162</v>
      </c>
    </row>
    <row r="440" customHeight="1" spans="1:15">
      <c r="A440" s="44" t="s">
        <v>637</v>
      </c>
      <c r="B440" s="86">
        <v>45077</v>
      </c>
      <c r="C440" s="44" t="s">
        <v>748</v>
      </c>
      <c r="D440" s="44" t="s">
        <v>639</v>
      </c>
      <c r="E440" s="44" t="s">
        <v>640</v>
      </c>
      <c r="F440" s="44" t="s">
        <v>641</v>
      </c>
      <c r="G440" s="44" t="s">
        <v>648</v>
      </c>
      <c r="H440" s="44" t="s">
        <v>643</v>
      </c>
      <c r="I440" s="44" t="s">
        <v>430</v>
      </c>
      <c r="J440" s="44" t="s">
        <v>644</v>
      </c>
      <c r="K440" s="44" t="s">
        <v>14</v>
      </c>
      <c r="L440" s="48">
        <v>523029</v>
      </c>
      <c r="M440" s="48">
        <v>493423.58</v>
      </c>
      <c r="N440" s="48">
        <v>29605.42</v>
      </c>
      <c r="O440" s="44" t="s">
        <v>1163</v>
      </c>
    </row>
    <row r="441" customHeight="1" spans="1:15">
      <c r="A441" s="44" t="s">
        <v>637</v>
      </c>
      <c r="B441" s="86">
        <v>45077</v>
      </c>
      <c r="C441" s="44" t="s">
        <v>748</v>
      </c>
      <c r="D441" s="44" t="s">
        <v>639</v>
      </c>
      <c r="E441" s="44" t="s">
        <v>640</v>
      </c>
      <c r="F441" s="44" t="s">
        <v>689</v>
      </c>
      <c r="G441" s="44" t="s">
        <v>654</v>
      </c>
      <c r="H441" s="44" t="s">
        <v>650</v>
      </c>
      <c r="I441" s="44" t="s">
        <v>681</v>
      </c>
      <c r="J441" s="44" t="s">
        <v>656</v>
      </c>
      <c r="K441" s="44" t="s">
        <v>350</v>
      </c>
      <c r="L441" s="48">
        <v>66000</v>
      </c>
      <c r="M441" s="48">
        <v>62264.15</v>
      </c>
      <c r="N441" s="48">
        <v>3735.85</v>
      </c>
      <c r="O441" s="44" t="s">
        <v>1164</v>
      </c>
    </row>
    <row r="442" customHeight="1" spans="1:15">
      <c r="A442" s="44" t="s">
        <v>637</v>
      </c>
      <c r="B442" s="86">
        <v>45077</v>
      </c>
      <c r="C442" s="44" t="s">
        <v>748</v>
      </c>
      <c r="D442" s="44" t="s">
        <v>639</v>
      </c>
      <c r="E442" s="44" t="s">
        <v>640</v>
      </c>
      <c r="F442" s="44" t="s">
        <v>707</v>
      </c>
      <c r="G442" s="44" t="s">
        <v>654</v>
      </c>
      <c r="H442" s="44" t="s">
        <v>650</v>
      </c>
      <c r="I442" s="44" t="s">
        <v>769</v>
      </c>
      <c r="J442" s="44" t="s">
        <v>644</v>
      </c>
      <c r="K442" s="44" t="s">
        <v>14</v>
      </c>
      <c r="L442" s="48">
        <v>250140</v>
      </c>
      <c r="M442" s="48">
        <v>235981.13</v>
      </c>
      <c r="N442" s="48">
        <v>14158.87</v>
      </c>
      <c r="O442" s="44" t="s">
        <v>1165</v>
      </c>
    </row>
    <row r="443" customHeight="1" spans="1:15">
      <c r="A443" s="44" t="s">
        <v>637</v>
      </c>
      <c r="B443" s="86">
        <v>45077</v>
      </c>
      <c r="C443" s="44" t="s">
        <v>748</v>
      </c>
      <c r="D443" s="44" t="s">
        <v>639</v>
      </c>
      <c r="E443" s="44" t="s">
        <v>640</v>
      </c>
      <c r="F443" s="44" t="s">
        <v>707</v>
      </c>
      <c r="G443" s="44" t="s">
        <v>648</v>
      </c>
      <c r="H443" s="44" t="s">
        <v>643</v>
      </c>
      <c r="I443" s="44" t="s">
        <v>429</v>
      </c>
      <c r="J443" s="44" t="s">
        <v>644</v>
      </c>
      <c r="K443" s="44" t="s">
        <v>14</v>
      </c>
      <c r="L443" s="48">
        <v>49984</v>
      </c>
      <c r="M443" s="48">
        <v>47154.72</v>
      </c>
      <c r="N443" s="48">
        <v>2829.28</v>
      </c>
      <c r="O443" s="44" t="s">
        <v>1166</v>
      </c>
    </row>
    <row r="444" customHeight="1" spans="1:15">
      <c r="A444" s="44" t="s">
        <v>637</v>
      </c>
      <c r="B444" s="86">
        <v>45077</v>
      </c>
      <c r="C444" s="44" t="s">
        <v>748</v>
      </c>
      <c r="D444" s="44" t="s">
        <v>639</v>
      </c>
      <c r="E444" s="44" t="s">
        <v>640</v>
      </c>
      <c r="F444" s="44" t="s">
        <v>641</v>
      </c>
      <c r="G444" s="44" t="s">
        <v>654</v>
      </c>
      <c r="H444" s="44" t="s">
        <v>643</v>
      </c>
      <c r="I444" s="44" t="s">
        <v>441</v>
      </c>
      <c r="J444" s="44" t="s">
        <v>644</v>
      </c>
      <c r="K444" s="44" t="s">
        <v>14</v>
      </c>
      <c r="L444" s="48">
        <v>12000</v>
      </c>
      <c r="M444" s="48">
        <v>11320.75</v>
      </c>
      <c r="N444" s="48">
        <v>679.25</v>
      </c>
      <c r="O444" s="44" t="s">
        <v>1167</v>
      </c>
    </row>
    <row r="445" customHeight="1" spans="1:15">
      <c r="A445" s="44" t="s">
        <v>637</v>
      </c>
      <c r="B445" s="86">
        <v>45077</v>
      </c>
      <c r="C445" s="44" t="s">
        <v>748</v>
      </c>
      <c r="D445" s="44" t="s">
        <v>639</v>
      </c>
      <c r="E445" s="44" t="s">
        <v>640</v>
      </c>
      <c r="F445" s="44" t="s">
        <v>689</v>
      </c>
      <c r="G445" s="44" t="s">
        <v>654</v>
      </c>
      <c r="H445" s="44" t="s">
        <v>697</v>
      </c>
      <c r="I445" s="44" t="s">
        <v>681</v>
      </c>
      <c r="J445" s="44" t="s">
        <v>656</v>
      </c>
      <c r="K445" s="44" t="s">
        <v>350</v>
      </c>
      <c r="L445" s="48">
        <v>204000</v>
      </c>
      <c r="M445" s="48">
        <v>192452.83</v>
      </c>
      <c r="N445" s="48">
        <v>11547.17</v>
      </c>
      <c r="O445" s="44" t="s">
        <v>1168</v>
      </c>
    </row>
    <row r="446" customHeight="1" spans="1:15">
      <c r="A446" s="44" t="s">
        <v>637</v>
      </c>
      <c r="B446" s="86">
        <v>45077</v>
      </c>
      <c r="C446" s="44" t="s">
        <v>748</v>
      </c>
      <c r="D446" s="44" t="s">
        <v>639</v>
      </c>
      <c r="E446" s="44" t="s">
        <v>640</v>
      </c>
      <c r="F446" s="44" t="s">
        <v>749</v>
      </c>
      <c r="G446" s="44" t="s">
        <v>642</v>
      </c>
      <c r="H446" s="44" t="s">
        <v>643</v>
      </c>
      <c r="I446" s="44" t="s">
        <v>779</v>
      </c>
      <c r="J446" s="44" t="s">
        <v>644</v>
      </c>
      <c r="K446" s="44" t="s">
        <v>14</v>
      </c>
      <c r="L446" s="48">
        <v>36106.22</v>
      </c>
      <c r="M446" s="48">
        <v>34062.47</v>
      </c>
      <c r="N446" s="48">
        <v>2043.75</v>
      </c>
      <c r="O446" s="44" t="s">
        <v>1169</v>
      </c>
    </row>
    <row r="447" customHeight="1" spans="1:15">
      <c r="A447" s="44" t="s">
        <v>637</v>
      </c>
      <c r="B447" s="86">
        <v>45077</v>
      </c>
      <c r="C447" s="44" t="s">
        <v>748</v>
      </c>
      <c r="D447" s="44" t="s">
        <v>682</v>
      </c>
      <c r="E447" s="44" t="s">
        <v>640</v>
      </c>
      <c r="F447" s="44" t="s">
        <v>641</v>
      </c>
      <c r="G447" s="44" t="s">
        <v>642</v>
      </c>
      <c r="H447" s="44" t="s">
        <v>650</v>
      </c>
      <c r="I447" s="44" t="s">
        <v>742</v>
      </c>
      <c r="J447" s="44" t="s">
        <v>656</v>
      </c>
      <c r="K447" s="44" t="s">
        <v>13</v>
      </c>
      <c r="L447" s="48">
        <v>14732.62</v>
      </c>
      <c r="M447" s="48">
        <v>13898.7</v>
      </c>
      <c r="N447" s="48">
        <v>833.92</v>
      </c>
      <c r="O447" s="44" t="s">
        <v>1170</v>
      </c>
    </row>
    <row r="448" customHeight="1" spans="1:15">
      <c r="A448" s="44" t="s">
        <v>637</v>
      </c>
      <c r="B448" s="86">
        <v>45077</v>
      </c>
      <c r="C448" s="44" t="s">
        <v>748</v>
      </c>
      <c r="D448" s="44" t="s">
        <v>639</v>
      </c>
      <c r="E448" s="44" t="s">
        <v>640</v>
      </c>
      <c r="F448" s="44" t="s">
        <v>689</v>
      </c>
      <c r="G448" s="44" t="s">
        <v>654</v>
      </c>
      <c r="H448" s="44" t="s">
        <v>697</v>
      </c>
      <c r="I448" s="44" t="s">
        <v>672</v>
      </c>
      <c r="J448" s="44" t="s">
        <v>656</v>
      </c>
      <c r="K448" s="44" t="s">
        <v>350</v>
      </c>
      <c r="L448" s="48">
        <v>-1492616.84</v>
      </c>
      <c r="M448" s="48">
        <v>-1408129.09</v>
      </c>
      <c r="N448" s="48">
        <v>-84487.75</v>
      </c>
      <c r="O448" s="44" t="s">
        <v>1171</v>
      </c>
    </row>
    <row r="449" customHeight="1" spans="1:15">
      <c r="A449" s="44" t="s">
        <v>637</v>
      </c>
      <c r="B449" s="86">
        <v>45077</v>
      </c>
      <c r="C449" s="44" t="s">
        <v>748</v>
      </c>
      <c r="D449" s="44" t="s">
        <v>653</v>
      </c>
      <c r="E449" s="44" t="s">
        <v>640</v>
      </c>
      <c r="F449" s="44" t="s">
        <v>659</v>
      </c>
      <c r="G449" s="44" t="s">
        <v>648</v>
      </c>
      <c r="H449" s="44" t="s">
        <v>650</v>
      </c>
      <c r="I449" s="44" t="s">
        <v>720</v>
      </c>
      <c r="J449" s="44" t="s">
        <v>656</v>
      </c>
      <c r="K449" s="44" t="s">
        <v>166</v>
      </c>
      <c r="L449" s="48">
        <v>893.8</v>
      </c>
      <c r="M449" s="48">
        <v>843.21</v>
      </c>
      <c r="N449" s="48">
        <v>50.59</v>
      </c>
      <c r="O449" s="44" t="s">
        <v>1172</v>
      </c>
    </row>
    <row r="450" customHeight="1" spans="1:15">
      <c r="A450" s="44" t="s">
        <v>637</v>
      </c>
      <c r="B450" s="86">
        <v>45077</v>
      </c>
      <c r="C450" s="44" t="s">
        <v>748</v>
      </c>
      <c r="D450" s="44" t="s">
        <v>653</v>
      </c>
      <c r="E450" s="44" t="s">
        <v>640</v>
      </c>
      <c r="F450" s="44" t="s">
        <v>659</v>
      </c>
      <c r="G450" s="44" t="s">
        <v>648</v>
      </c>
      <c r="H450" s="44" t="s">
        <v>650</v>
      </c>
      <c r="I450" s="44" t="s">
        <v>757</v>
      </c>
      <c r="J450" s="44" t="s">
        <v>656</v>
      </c>
      <c r="K450" s="44" t="s">
        <v>14</v>
      </c>
      <c r="L450" s="48">
        <v>23395.1</v>
      </c>
      <c r="M450" s="48">
        <v>22070.85</v>
      </c>
      <c r="N450" s="48">
        <v>1324.25</v>
      </c>
      <c r="O450" s="44" t="s">
        <v>1173</v>
      </c>
    </row>
    <row r="451" customHeight="1" spans="1:15">
      <c r="A451" s="44" t="s">
        <v>637</v>
      </c>
      <c r="B451" s="86">
        <v>45077</v>
      </c>
      <c r="C451" s="44" t="s">
        <v>748</v>
      </c>
      <c r="D451" s="44" t="s">
        <v>639</v>
      </c>
      <c r="E451" s="44" t="s">
        <v>640</v>
      </c>
      <c r="F451" s="44" t="s">
        <v>641</v>
      </c>
      <c r="G451" s="44" t="s">
        <v>648</v>
      </c>
      <c r="H451" s="44" t="s">
        <v>643</v>
      </c>
      <c r="I451" s="44" t="s">
        <v>430</v>
      </c>
      <c r="J451" s="44" t="s">
        <v>644</v>
      </c>
      <c r="K451" s="44" t="s">
        <v>14</v>
      </c>
      <c r="L451" s="48">
        <v>260094.13</v>
      </c>
      <c r="M451" s="48">
        <v>245371.82</v>
      </c>
      <c r="N451" s="48">
        <v>14722.31</v>
      </c>
      <c r="O451" s="44" t="s">
        <v>1174</v>
      </c>
    </row>
    <row r="452" customHeight="1" spans="1:15">
      <c r="A452" s="44" t="s">
        <v>637</v>
      </c>
      <c r="B452" s="86">
        <v>45077</v>
      </c>
      <c r="C452" s="44" t="s">
        <v>748</v>
      </c>
      <c r="D452" s="44" t="s">
        <v>639</v>
      </c>
      <c r="E452" s="44" t="s">
        <v>640</v>
      </c>
      <c r="F452" s="44" t="s">
        <v>641</v>
      </c>
      <c r="G452" s="44" t="s">
        <v>642</v>
      </c>
      <c r="H452" s="44" t="s">
        <v>643</v>
      </c>
      <c r="I452" s="44" t="s">
        <v>430</v>
      </c>
      <c r="J452" s="44" t="s">
        <v>644</v>
      </c>
      <c r="K452" s="44" t="s">
        <v>14</v>
      </c>
      <c r="L452" s="48">
        <v>-39460.14</v>
      </c>
      <c r="M452" s="48">
        <v>-37226.55</v>
      </c>
      <c r="N452" s="48">
        <v>-2233.59</v>
      </c>
      <c r="O452" s="44" t="s">
        <v>1175</v>
      </c>
    </row>
    <row r="453" customHeight="1" spans="1:15">
      <c r="A453" s="44" t="s">
        <v>637</v>
      </c>
      <c r="B453" s="86">
        <v>45077</v>
      </c>
      <c r="C453" s="44" t="s">
        <v>748</v>
      </c>
      <c r="D453" s="44" t="s">
        <v>639</v>
      </c>
      <c r="E453" s="44" t="s">
        <v>640</v>
      </c>
      <c r="F453" s="44" t="s">
        <v>707</v>
      </c>
      <c r="G453" s="44" t="s">
        <v>642</v>
      </c>
      <c r="H453" s="44" t="s">
        <v>643</v>
      </c>
      <c r="I453" s="44" t="s">
        <v>429</v>
      </c>
      <c r="J453" s="44" t="s">
        <v>644</v>
      </c>
      <c r="K453" s="44" t="s">
        <v>14</v>
      </c>
      <c r="L453" s="48">
        <v>-69525.1</v>
      </c>
      <c r="M453" s="48">
        <v>-65589.72</v>
      </c>
      <c r="N453" s="48">
        <v>-3935.38</v>
      </c>
      <c r="O453" s="44" t="s">
        <v>1176</v>
      </c>
    </row>
    <row r="454" customHeight="1" spans="1:15">
      <c r="A454" s="44" t="s">
        <v>637</v>
      </c>
      <c r="B454" s="86">
        <v>45077</v>
      </c>
      <c r="C454" s="44" t="s">
        <v>748</v>
      </c>
      <c r="D454" s="44" t="s">
        <v>639</v>
      </c>
      <c r="E454" s="44" t="s">
        <v>640</v>
      </c>
      <c r="F454" s="44" t="s">
        <v>707</v>
      </c>
      <c r="G454" s="44" t="s">
        <v>654</v>
      </c>
      <c r="H454" s="44" t="s">
        <v>650</v>
      </c>
      <c r="I454" s="44" t="s">
        <v>769</v>
      </c>
      <c r="J454" s="44" t="s">
        <v>644</v>
      </c>
      <c r="K454" s="44" t="s">
        <v>14</v>
      </c>
      <c r="L454" s="48">
        <v>249000</v>
      </c>
      <c r="M454" s="48">
        <v>234905.66</v>
      </c>
      <c r="N454" s="48">
        <v>14094.34</v>
      </c>
      <c r="O454" s="44" t="s">
        <v>1177</v>
      </c>
    </row>
    <row r="455" customHeight="1" spans="1:15">
      <c r="A455" s="44" t="s">
        <v>637</v>
      </c>
      <c r="B455" s="86">
        <v>45077</v>
      </c>
      <c r="C455" s="44" t="s">
        <v>748</v>
      </c>
      <c r="D455" s="44" t="s">
        <v>639</v>
      </c>
      <c r="E455" s="44" t="s">
        <v>640</v>
      </c>
      <c r="F455" s="44" t="s">
        <v>707</v>
      </c>
      <c r="G455" s="44" t="s">
        <v>654</v>
      </c>
      <c r="H455" s="44" t="s">
        <v>643</v>
      </c>
      <c r="I455" s="44" t="s">
        <v>429</v>
      </c>
      <c r="J455" s="44" t="s">
        <v>644</v>
      </c>
      <c r="K455" s="44" t="s">
        <v>14</v>
      </c>
      <c r="L455" s="48">
        <v>-5625.19</v>
      </c>
      <c r="M455" s="48">
        <v>-5306.78</v>
      </c>
      <c r="N455" s="48">
        <v>-318.41</v>
      </c>
      <c r="O455" s="44" t="s">
        <v>1178</v>
      </c>
    </row>
    <row r="456" customHeight="1" spans="1:15">
      <c r="A456" s="44" t="s">
        <v>637</v>
      </c>
      <c r="B456" s="86">
        <v>45077</v>
      </c>
      <c r="C456" s="44" t="s">
        <v>748</v>
      </c>
      <c r="D456" s="44" t="s">
        <v>639</v>
      </c>
      <c r="E456" s="44" t="s">
        <v>640</v>
      </c>
      <c r="F456" s="44" t="s">
        <v>707</v>
      </c>
      <c r="G456" s="44" t="s">
        <v>642</v>
      </c>
      <c r="H456" s="44" t="s">
        <v>650</v>
      </c>
      <c r="I456" s="44" t="s">
        <v>460</v>
      </c>
      <c r="J456" s="44" t="s">
        <v>644</v>
      </c>
      <c r="K456" s="44" t="s">
        <v>14</v>
      </c>
      <c r="L456" s="48">
        <v>-31.8</v>
      </c>
      <c r="M456" s="48">
        <v>-30</v>
      </c>
      <c r="N456" s="48">
        <v>-1.8</v>
      </c>
      <c r="O456" s="44" t="s">
        <v>1179</v>
      </c>
    </row>
    <row r="457" customHeight="1" spans="1:15">
      <c r="A457" s="44" t="s">
        <v>637</v>
      </c>
      <c r="B457" s="86">
        <v>45077</v>
      </c>
      <c r="C457" s="44" t="s">
        <v>748</v>
      </c>
      <c r="D457" s="44" t="s">
        <v>639</v>
      </c>
      <c r="E457" s="44" t="s">
        <v>640</v>
      </c>
      <c r="F457" s="44" t="s">
        <v>707</v>
      </c>
      <c r="G457" s="44" t="s">
        <v>654</v>
      </c>
      <c r="H457" s="44" t="s">
        <v>650</v>
      </c>
      <c r="I457" s="44" t="s">
        <v>754</v>
      </c>
      <c r="J457" s="44" t="s">
        <v>644</v>
      </c>
      <c r="K457" s="44" t="s">
        <v>14</v>
      </c>
      <c r="L457" s="48">
        <v>-162946.4</v>
      </c>
      <c r="M457" s="48">
        <v>-153723.02</v>
      </c>
      <c r="N457" s="48">
        <v>-9223.38</v>
      </c>
      <c r="O457" s="44" t="s">
        <v>1180</v>
      </c>
    </row>
    <row r="458" customHeight="1" spans="1:15">
      <c r="A458" s="44" t="s">
        <v>637</v>
      </c>
      <c r="B458" s="86">
        <v>45077</v>
      </c>
      <c r="C458" s="44" t="s">
        <v>748</v>
      </c>
      <c r="D458" s="44" t="s">
        <v>639</v>
      </c>
      <c r="E458" s="44" t="s">
        <v>640</v>
      </c>
      <c r="F458" s="44" t="s">
        <v>707</v>
      </c>
      <c r="G458" s="44" t="s">
        <v>648</v>
      </c>
      <c r="H458" s="44" t="s">
        <v>697</v>
      </c>
      <c r="I458" s="44" t="s">
        <v>670</v>
      </c>
      <c r="J458" s="44" t="s">
        <v>644</v>
      </c>
      <c r="K458" s="44" t="s">
        <v>350</v>
      </c>
      <c r="L458" s="48">
        <v>189750</v>
      </c>
      <c r="M458" s="48">
        <v>179009.43</v>
      </c>
      <c r="N458" s="48">
        <v>10740.57</v>
      </c>
      <c r="O458" s="44" t="s">
        <v>1181</v>
      </c>
    </row>
    <row r="459" customHeight="1" spans="1:15">
      <c r="A459" s="44" t="s">
        <v>637</v>
      </c>
      <c r="B459" s="86">
        <v>45077</v>
      </c>
      <c r="C459" s="44" t="s">
        <v>748</v>
      </c>
      <c r="D459" s="44" t="s">
        <v>653</v>
      </c>
      <c r="E459" s="44" t="s">
        <v>640</v>
      </c>
      <c r="F459" s="44" t="s">
        <v>659</v>
      </c>
      <c r="G459" s="44" t="s">
        <v>642</v>
      </c>
      <c r="H459" s="44" t="s">
        <v>650</v>
      </c>
      <c r="I459" s="44" t="s">
        <v>728</v>
      </c>
      <c r="J459" s="44" t="s">
        <v>656</v>
      </c>
      <c r="K459" s="44" t="s">
        <v>166</v>
      </c>
      <c r="L459" s="48">
        <v>37843.96</v>
      </c>
      <c r="M459" s="48">
        <v>35701.85</v>
      </c>
      <c r="N459" s="48">
        <v>2142.11</v>
      </c>
      <c r="O459" s="44" t="s">
        <v>1182</v>
      </c>
    </row>
    <row r="460" customHeight="1" spans="1:15">
      <c r="A460" s="44" t="s">
        <v>637</v>
      </c>
      <c r="B460" s="86">
        <v>45077</v>
      </c>
      <c r="C460" s="44" t="s">
        <v>748</v>
      </c>
      <c r="D460" s="44" t="s">
        <v>653</v>
      </c>
      <c r="E460" s="44" t="s">
        <v>640</v>
      </c>
      <c r="F460" s="44" t="s">
        <v>659</v>
      </c>
      <c r="G460" s="44" t="s">
        <v>642</v>
      </c>
      <c r="H460" s="44" t="s">
        <v>650</v>
      </c>
      <c r="I460" s="44" t="s">
        <v>429</v>
      </c>
      <c r="J460" s="44" t="s">
        <v>656</v>
      </c>
      <c r="K460" s="44" t="s">
        <v>166</v>
      </c>
      <c r="L460" s="48">
        <v>10383.62</v>
      </c>
      <c r="M460" s="48">
        <v>9795.87</v>
      </c>
      <c r="N460" s="48">
        <v>587.75</v>
      </c>
      <c r="O460" s="44" t="s">
        <v>1183</v>
      </c>
    </row>
    <row r="461" customHeight="1" spans="1:14">
      <c r="A461" s="44" t="s">
        <v>1085</v>
      </c>
      <c r="B461" s="86">
        <v>45077</v>
      </c>
      <c r="C461" s="44" t="s">
        <v>700</v>
      </c>
      <c r="D461" s="44" t="s">
        <v>639</v>
      </c>
      <c r="E461" s="44" t="s">
        <v>647</v>
      </c>
      <c r="F461" s="44" t="s">
        <v>641</v>
      </c>
      <c r="G461" s="44" t="s">
        <v>648</v>
      </c>
      <c r="H461" s="44" t="s">
        <v>650</v>
      </c>
      <c r="I461" s="44" t="s">
        <v>460</v>
      </c>
      <c r="J461" s="44" t="s">
        <v>644</v>
      </c>
      <c r="K461" s="44" t="s">
        <v>14</v>
      </c>
      <c r="L461" s="31">
        <v>-1</v>
      </c>
      <c r="M461" s="31">
        <v>-0.94</v>
      </c>
      <c r="N461" s="31">
        <f>L461-M461</f>
        <v>-0.0600000000000001</v>
      </c>
    </row>
    <row r="462" customHeight="1" spans="1:15">
      <c r="A462" s="45" t="s">
        <v>637</v>
      </c>
      <c r="B462" s="96">
        <v>45107</v>
      </c>
      <c r="C462" s="45" t="s">
        <v>748</v>
      </c>
      <c r="D462" s="45" t="s">
        <v>639</v>
      </c>
      <c r="E462" s="45" t="s">
        <v>640</v>
      </c>
      <c r="F462" s="45" t="s">
        <v>689</v>
      </c>
      <c r="G462" s="45" t="s">
        <v>654</v>
      </c>
      <c r="H462" s="45" t="s">
        <v>650</v>
      </c>
      <c r="I462" s="45" t="s">
        <v>681</v>
      </c>
      <c r="J462" s="45" t="s">
        <v>656</v>
      </c>
      <c r="K462" s="45" t="s">
        <v>350</v>
      </c>
      <c r="L462" s="97">
        <v>50000</v>
      </c>
      <c r="M462" s="97">
        <v>47169.81</v>
      </c>
      <c r="N462" s="97">
        <v>2830.19</v>
      </c>
      <c r="O462" s="45" t="s">
        <v>1184</v>
      </c>
    </row>
    <row r="463" customHeight="1" spans="1:15">
      <c r="A463" s="45" t="s">
        <v>637</v>
      </c>
      <c r="B463" s="96">
        <v>45107</v>
      </c>
      <c r="C463" s="45" t="s">
        <v>730</v>
      </c>
      <c r="D463" s="45" t="s">
        <v>653</v>
      </c>
      <c r="E463" s="45" t="s">
        <v>640</v>
      </c>
      <c r="F463" s="45" t="s">
        <v>659</v>
      </c>
      <c r="G463" s="45" t="s">
        <v>654</v>
      </c>
      <c r="H463" s="45" t="s">
        <v>650</v>
      </c>
      <c r="I463" s="45" t="s">
        <v>719</v>
      </c>
      <c r="J463" s="45" t="s">
        <v>656</v>
      </c>
      <c r="K463" s="45" t="s">
        <v>166</v>
      </c>
      <c r="L463" s="97">
        <v>3831.48</v>
      </c>
      <c r="M463" s="97">
        <v>3614.6</v>
      </c>
      <c r="N463" s="97">
        <v>216.88</v>
      </c>
      <c r="O463" s="45" t="s">
        <v>1185</v>
      </c>
    </row>
    <row r="464" customHeight="1" spans="1:15">
      <c r="A464" s="45" t="s">
        <v>637</v>
      </c>
      <c r="B464" s="96">
        <v>45107</v>
      </c>
      <c r="C464" s="45" t="s">
        <v>715</v>
      </c>
      <c r="D464" s="45" t="s">
        <v>653</v>
      </c>
      <c r="E464" s="45" t="s">
        <v>647</v>
      </c>
      <c r="F464" s="45" t="s">
        <v>659</v>
      </c>
      <c r="G464" s="45" t="s">
        <v>648</v>
      </c>
      <c r="H464" s="45" t="s">
        <v>650</v>
      </c>
      <c r="I464" s="45" t="s">
        <v>716</v>
      </c>
      <c r="J464" s="45" t="s">
        <v>656</v>
      </c>
      <c r="K464" s="45" t="s">
        <v>166</v>
      </c>
      <c r="L464" s="97">
        <v>424.26</v>
      </c>
      <c r="M464" s="97">
        <v>400.19</v>
      </c>
      <c r="N464" s="97">
        <v>24.07</v>
      </c>
      <c r="O464" s="45" t="s">
        <v>1186</v>
      </c>
    </row>
    <row r="465" customHeight="1" spans="1:15">
      <c r="A465" s="45" t="s">
        <v>637</v>
      </c>
      <c r="B465" s="96">
        <v>45107</v>
      </c>
      <c r="C465" s="45" t="s">
        <v>710</v>
      </c>
      <c r="D465" s="45" t="s">
        <v>639</v>
      </c>
      <c r="E465" s="45" t="s">
        <v>640</v>
      </c>
      <c r="F465" s="45" t="s">
        <v>707</v>
      </c>
      <c r="G465" s="45" t="s">
        <v>648</v>
      </c>
      <c r="H465" s="45" t="s">
        <v>650</v>
      </c>
      <c r="I465" s="45" t="s">
        <v>723</v>
      </c>
      <c r="J465" s="45" t="s">
        <v>644</v>
      </c>
      <c r="K465" s="45" t="s">
        <v>165</v>
      </c>
      <c r="L465" s="97">
        <v>-109885</v>
      </c>
      <c r="M465" s="97">
        <v>-103665.09</v>
      </c>
      <c r="N465" s="97">
        <v>-6219.91</v>
      </c>
      <c r="O465" s="45" t="s">
        <v>1187</v>
      </c>
    </row>
    <row r="466" customHeight="1" spans="1:15">
      <c r="A466" s="45" t="s">
        <v>637</v>
      </c>
      <c r="B466" s="96">
        <v>45107</v>
      </c>
      <c r="C466" s="45" t="s">
        <v>710</v>
      </c>
      <c r="D466" s="45" t="s">
        <v>639</v>
      </c>
      <c r="E466" s="45" t="s">
        <v>647</v>
      </c>
      <c r="F466" s="45" t="s">
        <v>707</v>
      </c>
      <c r="G466" s="45" t="s">
        <v>648</v>
      </c>
      <c r="H466" s="45" t="s">
        <v>650</v>
      </c>
      <c r="I466" s="45" t="s">
        <v>723</v>
      </c>
      <c r="J466" s="45" t="s">
        <v>644</v>
      </c>
      <c r="K466" s="45" t="s">
        <v>165</v>
      </c>
      <c r="L466" s="97">
        <v>1957265</v>
      </c>
      <c r="M466" s="97">
        <v>1846476.43</v>
      </c>
      <c r="N466" s="97">
        <v>110788.57</v>
      </c>
      <c r="O466" s="45" t="s">
        <v>1188</v>
      </c>
    </row>
    <row r="467" customHeight="1" spans="1:15">
      <c r="A467" s="45" t="s">
        <v>637</v>
      </c>
      <c r="B467" s="96">
        <v>45107</v>
      </c>
      <c r="C467" s="45" t="s">
        <v>811</v>
      </c>
      <c r="D467" s="45" t="s">
        <v>639</v>
      </c>
      <c r="E467" s="45" t="s">
        <v>640</v>
      </c>
      <c r="F467" s="45" t="s">
        <v>641</v>
      </c>
      <c r="G467" s="45" t="s">
        <v>642</v>
      </c>
      <c r="H467" s="45" t="s">
        <v>643</v>
      </c>
      <c r="I467" s="45" t="s">
        <v>430</v>
      </c>
      <c r="J467" s="45" t="s">
        <v>656</v>
      </c>
      <c r="K467" s="45" t="s">
        <v>14</v>
      </c>
      <c r="L467" s="97">
        <v>518.05</v>
      </c>
      <c r="M467" s="97">
        <v>488.73</v>
      </c>
      <c r="N467" s="97">
        <v>29.32</v>
      </c>
      <c r="O467" s="45" t="s">
        <v>1189</v>
      </c>
    </row>
    <row r="468" customHeight="1" spans="1:15">
      <c r="A468" s="45" t="s">
        <v>637</v>
      </c>
      <c r="B468" s="96">
        <v>45107</v>
      </c>
      <c r="C468" s="45" t="s">
        <v>811</v>
      </c>
      <c r="D468" s="45" t="s">
        <v>639</v>
      </c>
      <c r="E468" s="45" t="s">
        <v>640</v>
      </c>
      <c r="F468" s="45" t="s">
        <v>641</v>
      </c>
      <c r="G468" s="45" t="s">
        <v>648</v>
      </c>
      <c r="H468" s="45" t="s">
        <v>643</v>
      </c>
      <c r="I468" s="45" t="s">
        <v>430</v>
      </c>
      <c r="J468" s="45" t="s">
        <v>656</v>
      </c>
      <c r="K468" s="45" t="s">
        <v>14</v>
      </c>
      <c r="L468" s="97">
        <v>500085.07</v>
      </c>
      <c r="M468" s="97">
        <v>471778.37</v>
      </c>
      <c r="N468" s="97">
        <v>28306.7</v>
      </c>
      <c r="O468" s="45" t="s">
        <v>1190</v>
      </c>
    </row>
    <row r="469" customHeight="1" spans="1:15">
      <c r="A469" s="45" t="s">
        <v>637</v>
      </c>
      <c r="B469" s="96">
        <v>45107</v>
      </c>
      <c r="C469" s="45" t="s">
        <v>748</v>
      </c>
      <c r="D469" s="45" t="s">
        <v>639</v>
      </c>
      <c r="E469" s="45" t="s">
        <v>640</v>
      </c>
      <c r="F469" s="45" t="s">
        <v>659</v>
      </c>
      <c r="G469" s="45" t="s">
        <v>642</v>
      </c>
      <c r="H469" s="45" t="s">
        <v>643</v>
      </c>
      <c r="I469" s="45" t="s">
        <v>692</v>
      </c>
      <c r="J469" s="45" t="s">
        <v>644</v>
      </c>
      <c r="K469" s="45" t="s">
        <v>350</v>
      </c>
      <c r="L469" s="97">
        <v>1259.02</v>
      </c>
      <c r="M469" s="97">
        <v>1187.75</v>
      </c>
      <c r="N469" s="97">
        <v>71.27</v>
      </c>
      <c r="O469" s="45" t="s">
        <v>1191</v>
      </c>
    </row>
    <row r="470" customHeight="1" spans="1:15">
      <c r="A470" s="45" t="s">
        <v>637</v>
      </c>
      <c r="B470" s="96">
        <v>45107</v>
      </c>
      <c r="C470" s="45" t="s">
        <v>748</v>
      </c>
      <c r="D470" s="45" t="s">
        <v>639</v>
      </c>
      <c r="E470" s="45" t="s">
        <v>640</v>
      </c>
      <c r="F470" s="45" t="s">
        <v>707</v>
      </c>
      <c r="G470" s="45" t="s">
        <v>648</v>
      </c>
      <c r="H470" s="45" t="s">
        <v>697</v>
      </c>
      <c r="I470" s="45" t="s">
        <v>670</v>
      </c>
      <c r="J470" s="45" t="s">
        <v>644</v>
      </c>
      <c r="K470" s="45" t="s">
        <v>350</v>
      </c>
      <c r="L470" s="97">
        <v>324500</v>
      </c>
      <c r="M470" s="97">
        <v>306132.08</v>
      </c>
      <c r="N470" s="97">
        <v>18367.92</v>
      </c>
      <c r="O470" s="45" t="s">
        <v>1192</v>
      </c>
    </row>
    <row r="471" customHeight="1" spans="1:15">
      <c r="A471" s="45" t="s">
        <v>637</v>
      </c>
      <c r="B471" s="96">
        <v>45107</v>
      </c>
      <c r="C471" s="45" t="s">
        <v>748</v>
      </c>
      <c r="D471" s="45" t="s">
        <v>639</v>
      </c>
      <c r="E471" s="45" t="s">
        <v>640</v>
      </c>
      <c r="F471" s="45" t="s">
        <v>641</v>
      </c>
      <c r="G471" s="45" t="s">
        <v>648</v>
      </c>
      <c r="H471" s="45" t="s">
        <v>643</v>
      </c>
      <c r="I471" s="45" t="s">
        <v>441</v>
      </c>
      <c r="J471" s="45" t="s">
        <v>644</v>
      </c>
      <c r="K471" s="45" t="s">
        <v>14</v>
      </c>
      <c r="L471" s="97">
        <v>1700188.54</v>
      </c>
      <c r="M471" s="97">
        <v>1603951.45</v>
      </c>
      <c r="N471" s="97">
        <v>96237.09</v>
      </c>
      <c r="O471" s="45" t="s">
        <v>1193</v>
      </c>
    </row>
    <row r="472" customHeight="1" spans="1:15">
      <c r="A472" s="45" t="s">
        <v>637</v>
      </c>
      <c r="B472" s="96">
        <v>45107</v>
      </c>
      <c r="C472" s="45" t="s">
        <v>748</v>
      </c>
      <c r="D472" s="45" t="s">
        <v>639</v>
      </c>
      <c r="E472" s="45" t="s">
        <v>640</v>
      </c>
      <c r="F472" s="45" t="s">
        <v>749</v>
      </c>
      <c r="G472" s="45" t="s">
        <v>648</v>
      </c>
      <c r="H472" s="45" t="s">
        <v>643</v>
      </c>
      <c r="I472" s="45" t="s">
        <v>779</v>
      </c>
      <c r="J472" s="45" t="s">
        <v>644</v>
      </c>
      <c r="K472" s="45" t="s">
        <v>14</v>
      </c>
      <c r="L472" s="97">
        <v>88417.13</v>
      </c>
      <c r="M472" s="97">
        <v>83412.39</v>
      </c>
      <c r="N472" s="97">
        <v>5004.74</v>
      </c>
      <c r="O472" s="45" t="s">
        <v>1194</v>
      </c>
    </row>
    <row r="473" customHeight="1" spans="1:15">
      <c r="A473" s="45" t="s">
        <v>637</v>
      </c>
      <c r="B473" s="96">
        <v>45107</v>
      </c>
      <c r="C473" s="45" t="s">
        <v>748</v>
      </c>
      <c r="D473" s="45" t="s">
        <v>682</v>
      </c>
      <c r="E473" s="45" t="s">
        <v>640</v>
      </c>
      <c r="F473" s="45" t="s">
        <v>641</v>
      </c>
      <c r="G473" s="45" t="s">
        <v>642</v>
      </c>
      <c r="H473" s="45" t="s">
        <v>650</v>
      </c>
      <c r="I473" s="45" t="s">
        <v>742</v>
      </c>
      <c r="J473" s="45" t="s">
        <v>656</v>
      </c>
      <c r="K473" s="45" t="s">
        <v>13</v>
      </c>
      <c r="L473" s="97">
        <v>11341.31</v>
      </c>
      <c r="M473" s="97">
        <v>10699.35</v>
      </c>
      <c r="N473" s="97">
        <v>641.96</v>
      </c>
      <c r="O473" s="45" t="s">
        <v>1195</v>
      </c>
    </row>
    <row r="474" customHeight="1" spans="1:15">
      <c r="A474" s="45" t="s">
        <v>637</v>
      </c>
      <c r="B474" s="96">
        <v>45107</v>
      </c>
      <c r="C474" s="45" t="s">
        <v>748</v>
      </c>
      <c r="D474" s="45" t="s">
        <v>639</v>
      </c>
      <c r="E474" s="45" t="s">
        <v>640</v>
      </c>
      <c r="F474" s="45" t="s">
        <v>641</v>
      </c>
      <c r="G474" s="45" t="s">
        <v>642</v>
      </c>
      <c r="H474" s="45" t="s">
        <v>643</v>
      </c>
      <c r="I474" s="45" t="s">
        <v>779</v>
      </c>
      <c r="J474" s="45" t="s">
        <v>644</v>
      </c>
      <c r="K474" s="45" t="s">
        <v>14</v>
      </c>
      <c r="L474" s="97">
        <v>90000</v>
      </c>
      <c r="M474" s="97">
        <v>84905.66</v>
      </c>
      <c r="N474" s="97">
        <v>5094.34</v>
      </c>
      <c r="O474" s="45" t="s">
        <v>1196</v>
      </c>
    </row>
    <row r="475" customHeight="1" spans="1:15">
      <c r="A475" s="45" t="s">
        <v>637</v>
      </c>
      <c r="B475" s="96">
        <v>45107</v>
      </c>
      <c r="C475" s="45" t="s">
        <v>748</v>
      </c>
      <c r="D475" s="45" t="s">
        <v>639</v>
      </c>
      <c r="E475" s="45" t="s">
        <v>640</v>
      </c>
      <c r="F475" s="45" t="s">
        <v>641</v>
      </c>
      <c r="G475" s="45" t="s">
        <v>642</v>
      </c>
      <c r="H475" s="45" t="s">
        <v>650</v>
      </c>
      <c r="I475" s="45" t="s">
        <v>444</v>
      </c>
      <c r="J475" s="45" t="s">
        <v>644</v>
      </c>
      <c r="K475" s="45" t="s">
        <v>14</v>
      </c>
      <c r="L475" s="97">
        <v>7801.76</v>
      </c>
      <c r="M475" s="97">
        <v>7360.15</v>
      </c>
      <c r="N475" s="97">
        <v>441.61</v>
      </c>
      <c r="O475" s="45" t="s">
        <v>1197</v>
      </c>
    </row>
    <row r="476" customHeight="1" spans="1:15">
      <c r="A476" s="45" t="s">
        <v>637</v>
      </c>
      <c r="B476" s="96">
        <v>45107</v>
      </c>
      <c r="C476" s="45" t="s">
        <v>748</v>
      </c>
      <c r="D476" s="45" t="s">
        <v>639</v>
      </c>
      <c r="E476" s="45" t="s">
        <v>640</v>
      </c>
      <c r="F476" s="45" t="s">
        <v>641</v>
      </c>
      <c r="G476" s="45" t="s">
        <v>648</v>
      </c>
      <c r="H476" s="45" t="s">
        <v>643</v>
      </c>
      <c r="I476" s="45" t="s">
        <v>430</v>
      </c>
      <c r="J476" s="45" t="s">
        <v>644</v>
      </c>
      <c r="K476" s="45" t="s">
        <v>14</v>
      </c>
      <c r="L476" s="97">
        <v>858323.73</v>
      </c>
      <c r="M476" s="97">
        <v>809739.37</v>
      </c>
      <c r="N476" s="97">
        <v>48584.36</v>
      </c>
      <c r="O476" s="45" t="s">
        <v>1198</v>
      </c>
    </row>
    <row r="477" customHeight="1" spans="1:15">
      <c r="A477" s="45" t="s">
        <v>637</v>
      </c>
      <c r="B477" s="96">
        <v>45107</v>
      </c>
      <c r="C477" s="45" t="s">
        <v>748</v>
      </c>
      <c r="D477" s="45" t="s">
        <v>653</v>
      </c>
      <c r="E477" s="45" t="s">
        <v>640</v>
      </c>
      <c r="F477" s="45" t="s">
        <v>659</v>
      </c>
      <c r="G477" s="45" t="s">
        <v>648</v>
      </c>
      <c r="H477" s="45" t="s">
        <v>650</v>
      </c>
      <c r="I477" s="45" t="s">
        <v>720</v>
      </c>
      <c r="J477" s="45" t="s">
        <v>656</v>
      </c>
      <c r="K477" s="45" t="s">
        <v>166</v>
      </c>
      <c r="L477" s="97">
        <v>127.3</v>
      </c>
      <c r="M477" s="97">
        <v>120.09</v>
      </c>
      <c r="N477" s="97">
        <v>7.21</v>
      </c>
      <c r="O477" s="45" t="s">
        <v>1199</v>
      </c>
    </row>
    <row r="478" customHeight="1" spans="1:15">
      <c r="A478" s="45" t="s">
        <v>637</v>
      </c>
      <c r="B478" s="96">
        <v>45107</v>
      </c>
      <c r="C478" s="45" t="s">
        <v>748</v>
      </c>
      <c r="D478" s="45" t="s">
        <v>639</v>
      </c>
      <c r="E478" s="45" t="s">
        <v>640</v>
      </c>
      <c r="F478" s="45" t="s">
        <v>707</v>
      </c>
      <c r="G478" s="45" t="s">
        <v>654</v>
      </c>
      <c r="H478" s="45" t="s">
        <v>650</v>
      </c>
      <c r="I478" s="45" t="s">
        <v>754</v>
      </c>
      <c r="J478" s="45" t="s">
        <v>644</v>
      </c>
      <c r="K478" s="45" t="s">
        <v>14</v>
      </c>
      <c r="L478" s="97">
        <v>-1156964.8</v>
      </c>
      <c r="M478" s="97">
        <v>-1091476.23</v>
      </c>
      <c r="N478" s="97">
        <v>-65488.57</v>
      </c>
      <c r="O478" s="45" t="s">
        <v>1200</v>
      </c>
    </row>
    <row r="479" customHeight="1" spans="1:15">
      <c r="A479" s="45" t="s">
        <v>637</v>
      </c>
      <c r="B479" s="96">
        <v>45107</v>
      </c>
      <c r="C479" s="45" t="s">
        <v>748</v>
      </c>
      <c r="D479" s="45" t="s">
        <v>639</v>
      </c>
      <c r="E479" s="45" t="s">
        <v>640</v>
      </c>
      <c r="F479" s="45" t="s">
        <v>749</v>
      </c>
      <c r="G479" s="45" t="s">
        <v>642</v>
      </c>
      <c r="H479" s="45" t="s">
        <v>643</v>
      </c>
      <c r="I479" s="45" t="s">
        <v>779</v>
      </c>
      <c r="J479" s="45" t="s">
        <v>644</v>
      </c>
      <c r="K479" s="45" t="s">
        <v>14</v>
      </c>
      <c r="L479" s="97">
        <v>-44503.34</v>
      </c>
      <c r="M479" s="97">
        <v>-41984.28</v>
      </c>
      <c r="N479" s="97">
        <v>-2519.06</v>
      </c>
      <c r="O479" s="45" t="s">
        <v>1201</v>
      </c>
    </row>
    <row r="480" customHeight="1" spans="1:15">
      <c r="A480" s="45" t="s">
        <v>637</v>
      </c>
      <c r="B480" s="96">
        <v>45107</v>
      </c>
      <c r="C480" s="45" t="s">
        <v>748</v>
      </c>
      <c r="D480" s="45" t="s">
        <v>639</v>
      </c>
      <c r="E480" s="45" t="s">
        <v>640</v>
      </c>
      <c r="F480" s="45" t="s">
        <v>707</v>
      </c>
      <c r="G480" s="45" t="s">
        <v>642</v>
      </c>
      <c r="H480" s="45" t="s">
        <v>650</v>
      </c>
      <c r="I480" s="45" t="s">
        <v>769</v>
      </c>
      <c r="J480" s="45" t="s">
        <v>644</v>
      </c>
      <c r="K480" s="45" t="s">
        <v>14</v>
      </c>
      <c r="L480" s="97">
        <v>506018.7</v>
      </c>
      <c r="M480" s="97">
        <v>477376.13</v>
      </c>
      <c r="N480" s="97">
        <v>28642.57</v>
      </c>
      <c r="O480" s="45" t="s">
        <v>1202</v>
      </c>
    </row>
    <row r="481" customHeight="1" spans="1:15">
      <c r="A481" s="45" t="s">
        <v>637</v>
      </c>
      <c r="B481" s="96">
        <v>45107</v>
      </c>
      <c r="C481" s="45" t="s">
        <v>748</v>
      </c>
      <c r="D481" s="45" t="s">
        <v>639</v>
      </c>
      <c r="E481" s="45" t="s">
        <v>640</v>
      </c>
      <c r="F481" s="45" t="s">
        <v>641</v>
      </c>
      <c r="G481" s="45" t="s">
        <v>642</v>
      </c>
      <c r="H481" s="45" t="s">
        <v>643</v>
      </c>
      <c r="I481" s="45" t="s">
        <v>430</v>
      </c>
      <c r="J481" s="45" t="s">
        <v>644</v>
      </c>
      <c r="K481" s="45" t="s">
        <v>14</v>
      </c>
      <c r="L481" s="97">
        <v>-161900.28</v>
      </c>
      <c r="M481" s="97">
        <v>-152736.11</v>
      </c>
      <c r="N481" s="97">
        <v>-9164.17</v>
      </c>
      <c r="O481" s="45" t="s">
        <v>1203</v>
      </c>
    </row>
    <row r="482" customHeight="1" spans="1:15">
      <c r="A482" s="45" t="s">
        <v>637</v>
      </c>
      <c r="B482" s="96">
        <v>45107</v>
      </c>
      <c r="C482" s="45" t="s">
        <v>748</v>
      </c>
      <c r="D482" s="45" t="s">
        <v>653</v>
      </c>
      <c r="E482" s="45" t="s">
        <v>640</v>
      </c>
      <c r="F482" s="45" t="s">
        <v>659</v>
      </c>
      <c r="G482" s="45" t="s">
        <v>648</v>
      </c>
      <c r="H482" s="45" t="s">
        <v>650</v>
      </c>
      <c r="I482" s="45" t="s">
        <v>757</v>
      </c>
      <c r="J482" s="45" t="s">
        <v>656</v>
      </c>
      <c r="K482" s="45" t="s">
        <v>14</v>
      </c>
      <c r="L482" s="97">
        <v>3546.4</v>
      </c>
      <c r="M482" s="97">
        <v>3345.66</v>
      </c>
      <c r="N482" s="97">
        <v>200.74</v>
      </c>
      <c r="O482" s="45" t="s">
        <v>1204</v>
      </c>
    </row>
    <row r="483" customHeight="1" spans="1:15">
      <c r="A483" s="45" t="s">
        <v>637</v>
      </c>
      <c r="B483" s="96">
        <v>45107</v>
      </c>
      <c r="C483" s="45" t="s">
        <v>748</v>
      </c>
      <c r="D483" s="45" t="s">
        <v>639</v>
      </c>
      <c r="E483" s="45" t="s">
        <v>640</v>
      </c>
      <c r="F483" s="45" t="s">
        <v>707</v>
      </c>
      <c r="G483" s="45" t="s">
        <v>648</v>
      </c>
      <c r="H483" s="45" t="s">
        <v>643</v>
      </c>
      <c r="I483" s="45" t="s">
        <v>429</v>
      </c>
      <c r="J483" s="45" t="s">
        <v>644</v>
      </c>
      <c r="K483" s="45" t="s">
        <v>14</v>
      </c>
      <c r="L483" s="97">
        <v>-673981.46</v>
      </c>
      <c r="M483" s="97">
        <v>-635831.57</v>
      </c>
      <c r="N483" s="97">
        <v>-38149.89</v>
      </c>
      <c r="O483" s="45" t="s">
        <v>1205</v>
      </c>
    </row>
    <row r="484" customHeight="1" spans="1:15">
      <c r="A484" s="45" t="s">
        <v>637</v>
      </c>
      <c r="B484" s="96">
        <v>45107</v>
      </c>
      <c r="C484" s="45" t="s">
        <v>748</v>
      </c>
      <c r="D484" s="45" t="s">
        <v>639</v>
      </c>
      <c r="E484" s="45" t="s">
        <v>640</v>
      </c>
      <c r="F484" s="45" t="s">
        <v>707</v>
      </c>
      <c r="G484" s="45" t="s">
        <v>642</v>
      </c>
      <c r="H484" s="45" t="s">
        <v>643</v>
      </c>
      <c r="I484" s="45" t="s">
        <v>429</v>
      </c>
      <c r="J484" s="45" t="s">
        <v>644</v>
      </c>
      <c r="K484" s="45" t="s">
        <v>14</v>
      </c>
      <c r="L484" s="97">
        <v>-954291.68</v>
      </c>
      <c r="M484" s="97">
        <v>-900275.17</v>
      </c>
      <c r="N484" s="97">
        <v>-54016.51</v>
      </c>
      <c r="O484" s="45" t="s">
        <v>1206</v>
      </c>
    </row>
    <row r="485" customHeight="1" spans="1:15">
      <c r="A485" s="45" t="s">
        <v>637</v>
      </c>
      <c r="B485" s="96">
        <v>45107</v>
      </c>
      <c r="C485" s="45" t="s">
        <v>748</v>
      </c>
      <c r="D485" s="45" t="s">
        <v>653</v>
      </c>
      <c r="E485" s="45" t="s">
        <v>640</v>
      </c>
      <c r="F485" s="45" t="s">
        <v>659</v>
      </c>
      <c r="G485" s="45" t="s">
        <v>642</v>
      </c>
      <c r="H485" s="45" t="s">
        <v>650</v>
      </c>
      <c r="I485" s="45" t="s">
        <v>728</v>
      </c>
      <c r="J485" s="45" t="s">
        <v>656</v>
      </c>
      <c r="K485" s="45" t="s">
        <v>166</v>
      </c>
      <c r="L485" s="97">
        <v>29474</v>
      </c>
      <c r="M485" s="97">
        <v>27805.66</v>
      </c>
      <c r="N485" s="97">
        <v>1668.34</v>
      </c>
      <c r="O485" s="45" t="s">
        <v>1207</v>
      </c>
    </row>
    <row r="486" customHeight="1" spans="1:15">
      <c r="A486" s="45" t="s">
        <v>637</v>
      </c>
      <c r="B486" s="96">
        <v>45107</v>
      </c>
      <c r="C486" s="45" t="s">
        <v>748</v>
      </c>
      <c r="D486" s="45" t="s">
        <v>653</v>
      </c>
      <c r="E486" s="45" t="s">
        <v>640</v>
      </c>
      <c r="F486" s="45" t="s">
        <v>659</v>
      </c>
      <c r="G486" s="45" t="s">
        <v>642</v>
      </c>
      <c r="H486" s="45" t="s">
        <v>650</v>
      </c>
      <c r="I486" s="45" t="s">
        <v>429</v>
      </c>
      <c r="J486" s="45" t="s">
        <v>656</v>
      </c>
      <c r="K486" s="45" t="s">
        <v>166</v>
      </c>
      <c r="L486" s="97">
        <v>17946</v>
      </c>
      <c r="M486" s="97">
        <v>16930.19</v>
      </c>
      <c r="N486" s="97">
        <v>1015.81</v>
      </c>
      <c r="O486" s="45" t="s">
        <v>1208</v>
      </c>
    </row>
    <row r="487" customHeight="1" spans="1:15">
      <c r="A487" s="45" t="s">
        <v>637</v>
      </c>
      <c r="B487" s="96">
        <v>45107</v>
      </c>
      <c r="C487" s="45" t="s">
        <v>748</v>
      </c>
      <c r="D487" s="45" t="s">
        <v>639</v>
      </c>
      <c r="E487" s="45" t="s">
        <v>647</v>
      </c>
      <c r="F487" s="45" t="s">
        <v>689</v>
      </c>
      <c r="G487" s="45" t="s">
        <v>654</v>
      </c>
      <c r="H487" s="45" t="s">
        <v>697</v>
      </c>
      <c r="I487" s="45" t="s">
        <v>665</v>
      </c>
      <c r="J487" s="45" t="s">
        <v>656</v>
      </c>
      <c r="K487" s="45" t="s">
        <v>350</v>
      </c>
      <c r="L487" s="97">
        <v>2010</v>
      </c>
      <c r="M487" s="97">
        <v>1896.23</v>
      </c>
      <c r="N487" s="97">
        <v>113.77</v>
      </c>
      <c r="O487" s="45" t="s">
        <v>1209</v>
      </c>
    </row>
    <row r="488" customHeight="1" spans="1:15">
      <c r="A488" s="45" t="s">
        <v>637</v>
      </c>
      <c r="B488" s="96">
        <v>45107</v>
      </c>
      <c r="C488" s="45" t="s">
        <v>748</v>
      </c>
      <c r="D488" s="45" t="s">
        <v>639</v>
      </c>
      <c r="E488" s="45" t="s">
        <v>647</v>
      </c>
      <c r="F488" s="45" t="s">
        <v>707</v>
      </c>
      <c r="G488" s="45" t="s">
        <v>642</v>
      </c>
      <c r="H488" s="45" t="s">
        <v>650</v>
      </c>
      <c r="I488" s="45" t="s">
        <v>429</v>
      </c>
      <c r="J488" s="45" t="s">
        <v>644</v>
      </c>
      <c r="K488" s="45" t="s">
        <v>165</v>
      </c>
      <c r="L488" s="97">
        <v>192093.15</v>
      </c>
      <c r="M488" s="97">
        <v>181219.95</v>
      </c>
      <c r="N488" s="97">
        <v>10873.2</v>
      </c>
      <c r="O488" s="45" t="s">
        <v>1210</v>
      </c>
    </row>
    <row r="489" customHeight="1" spans="1:15">
      <c r="A489" s="45" t="s">
        <v>637</v>
      </c>
      <c r="B489" s="96">
        <v>45107</v>
      </c>
      <c r="C489" s="45" t="s">
        <v>748</v>
      </c>
      <c r="D489" s="45" t="s">
        <v>639</v>
      </c>
      <c r="E489" s="45" t="s">
        <v>640</v>
      </c>
      <c r="F489" s="45" t="s">
        <v>749</v>
      </c>
      <c r="G489" s="45" t="s">
        <v>648</v>
      </c>
      <c r="H489" s="45" t="s">
        <v>650</v>
      </c>
      <c r="I489" s="45" t="s">
        <v>461</v>
      </c>
      <c r="J489" s="45" t="s">
        <v>644</v>
      </c>
      <c r="K489" s="45" t="s">
        <v>14</v>
      </c>
      <c r="L489" s="97">
        <v>-273535.2</v>
      </c>
      <c r="M489" s="97">
        <v>-258052.08</v>
      </c>
      <c r="N489" s="97">
        <v>-15483.12</v>
      </c>
      <c r="O489" s="45" t="s">
        <v>1211</v>
      </c>
    </row>
    <row r="490" customHeight="1" spans="1:15">
      <c r="A490" s="45" t="s">
        <v>637</v>
      </c>
      <c r="B490" s="96">
        <v>45107</v>
      </c>
      <c r="C490" s="45" t="s">
        <v>748</v>
      </c>
      <c r="D490" s="45" t="s">
        <v>639</v>
      </c>
      <c r="E490" s="45" t="s">
        <v>640</v>
      </c>
      <c r="F490" s="45" t="s">
        <v>749</v>
      </c>
      <c r="G490" s="45" t="s">
        <v>648</v>
      </c>
      <c r="H490" s="45" t="s">
        <v>650</v>
      </c>
      <c r="I490" s="45" t="s">
        <v>461</v>
      </c>
      <c r="J490" s="45" t="s">
        <v>644</v>
      </c>
      <c r="K490" s="45" t="s">
        <v>14</v>
      </c>
      <c r="L490" s="97">
        <v>1712</v>
      </c>
      <c r="M490" s="97">
        <v>1615.09</v>
      </c>
      <c r="N490" s="97">
        <v>96.91</v>
      </c>
      <c r="O490" s="45" t="s">
        <v>1212</v>
      </c>
    </row>
    <row r="491" customHeight="1" spans="1:15">
      <c r="A491" s="45" t="s">
        <v>637</v>
      </c>
      <c r="B491" s="96">
        <v>45107</v>
      </c>
      <c r="C491" s="45" t="s">
        <v>748</v>
      </c>
      <c r="D491" s="45" t="s">
        <v>653</v>
      </c>
      <c r="E491" s="45" t="s">
        <v>640</v>
      </c>
      <c r="F491" s="45" t="s">
        <v>641</v>
      </c>
      <c r="G491" s="45" t="s">
        <v>642</v>
      </c>
      <c r="H491" s="45" t="s">
        <v>650</v>
      </c>
      <c r="I491" s="45" t="s">
        <v>728</v>
      </c>
      <c r="J491" s="45" t="s">
        <v>644</v>
      </c>
      <c r="K491" s="45" t="s">
        <v>166</v>
      </c>
      <c r="L491" s="97">
        <v>6418.47</v>
      </c>
      <c r="M491" s="97">
        <v>6055.16</v>
      </c>
      <c r="N491" s="97">
        <v>363.31</v>
      </c>
      <c r="O491" s="45" t="s">
        <v>1213</v>
      </c>
    </row>
    <row r="492" customHeight="1" spans="1:15">
      <c r="A492" s="45" t="s">
        <v>637</v>
      </c>
      <c r="B492" s="96">
        <v>45107</v>
      </c>
      <c r="C492" s="45" t="s">
        <v>748</v>
      </c>
      <c r="D492" s="45" t="s">
        <v>639</v>
      </c>
      <c r="E492" s="45" t="s">
        <v>647</v>
      </c>
      <c r="F492" s="45" t="s">
        <v>707</v>
      </c>
      <c r="G492" s="45" t="s">
        <v>642</v>
      </c>
      <c r="H492" s="45" t="s">
        <v>650</v>
      </c>
      <c r="I492" s="45" t="s">
        <v>460</v>
      </c>
      <c r="J492" s="45" t="s">
        <v>644</v>
      </c>
      <c r="K492" s="45" t="s">
        <v>14</v>
      </c>
      <c r="L492" s="97">
        <v>2893176</v>
      </c>
      <c r="M492" s="97">
        <v>2729411.33</v>
      </c>
      <c r="N492" s="97">
        <v>163764.67</v>
      </c>
      <c r="O492" s="45" t="s">
        <v>1214</v>
      </c>
    </row>
    <row r="493" customHeight="1" spans="1:15">
      <c r="A493" s="45" t="s">
        <v>637</v>
      </c>
      <c r="B493" s="96">
        <v>45107</v>
      </c>
      <c r="C493" s="45" t="s">
        <v>748</v>
      </c>
      <c r="D493" s="45" t="s">
        <v>639</v>
      </c>
      <c r="E493" s="45" t="s">
        <v>640</v>
      </c>
      <c r="F493" s="45" t="s">
        <v>641</v>
      </c>
      <c r="G493" s="45" t="s">
        <v>642</v>
      </c>
      <c r="H493" s="45" t="s">
        <v>650</v>
      </c>
      <c r="I493" s="45" t="s">
        <v>436</v>
      </c>
      <c r="J493" s="45" t="s">
        <v>644</v>
      </c>
      <c r="K493" s="45" t="s">
        <v>350</v>
      </c>
      <c r="L493" s="97">
        <v>-124.8</v>
      </c>
      <c r="M493" s="97">
        <v>-117.74</v>
      </c>
      <c r="N493" s="97">
        <v>-7.06</v>
      </c>
      <c r="O493" s="45" t="s">
        <v>1215</v>
      </c>
    </row>
    <row r="494" customHeight="1" spans="1:15">
      <c r="A494" s="45" t="s">
        <v>637</v>
      </c>
      <c r="B494" s="96">
        <v>45107</v>
      </c>
      <c r="C494" s="45" t="s">
        <v>748</v>
      </c>
      <c r="D494" s="45" t="s">
        <v>639</v>
      </c>
      <c r="E494" s="45" t="s">
        <v>647</v>
      </c>
      <c r="F494" s="45" t="s">
        <v>707</v>
      </c>
      <c r="G494" s="45" t="s">
        <v>642</v>
      </c>
      <c r="H494" s="45" t="s">
        <v>650</v>
      </c>
      <c r="I494" s="45" t="s">
        <v>429</v>
      </c>
      <c r="J494" s="45" t="s">
        <v>644</v>
      </c>
      <c r="K494" s="45" t="s">
        <v>14</v>
      </c>
      <c r="L494" s="97">
        <v>12011893.09</v>
      </c>
      <c r="M494" s="97">
        <v>11331974.6</v>
      </c>
      <c r="N494" s="97">
        <v>679918.49</v>
      </c>
      <c r="O494" s="45" t="s">
        <v>1216</v>
      </c>
    </row>
    <row r="495" customHeight="1" spans="1:15">
      <c r="A495" s="45" t="s">
        <v>637</v>
      </c>
      <c r="B495" s="96">
        <v>45107</v>
      </c>
      <c r="C495" s="45" t="s">
        <v>748</v>
      </c>
      <c r="D495" s="45" t="s">
        <v>639</v>
      </c>
      <c r="E495" s="45" t="s">
        <v>647</v>
      </c>
      <c r="F495" s="45" t="s">
        <v>641</v>
      </c>
      <c r="G495" s="45" t="s">
        <v>642</v>
      </c>
      <c r="H495" s="45" t="s">
        <v>650</v>
      </c>
      <c r="I495" s="45" t="s">
        <v>430</v>
      </c>
      <c r="J495" s="45" t="s">
        <v>644</v>
      </c>
      <c r="K495" s="45" t="s">
        <v>14</v>
      </c>
      <c r="L495" s="97">
        <v>404556.11</v>
      </c>
      <c r="M495" s="97">
        <v>381656.7</v>
      </c>
      <c r="N495" s="97">
        <v>22899.41</v>
      </c>
      <c r="O495" s="45" t="s">
        <v>1217</v>
      </c>
    </row>
    <row r="496" customHeight="1" spans="1:15">
      <c r="A496" s="45" t="s">
        <v>637</v>
      </c>
      <c r="B496" s="96">
        <v>45107</v>
      </c>
      <c r="C496" s="45" t="s">
        <v>748</v>
      </c>
      <c r="D496" s="45" t="s">
        <v>639</v>
      </c>
      <c r="E496" s="45" t="s">
        <v>647</v>
      </c>
      <c r="F496" s="45" t="s">
        <v>707</v>
      </c>
      <c r="G496" s="45" t="s">
        <v>654</v>
      </c>
      <c r="H496" s="45" t="s">
        <v>697</v>
      </c>
      <c r="I496" s="45" t="s">
        <v>694</v>
      </c>
      <c r="J496" s="45" t="s">
        <v>656</v>
      </c>
      <c r="K496" s="45" t="s">
        <v>350</v>
      </c>
      <c r="L496" s="97">
        <v>2347.5</v>
      </c>
      <c r="M496" s="97">
        <v>2214.63</v>
      </c>
      <c r="N496" s="97">
        <v>132.87</v>
      </c>
      <c r="O496" s="45" t="s">
        <v>1218</v>
      </c>
    </row>
    <row r="497" customHeight="1" spans="1:15">
      <c r="A497" s="45" t="s">
        <v>637</v>
      </c>
      <c r="B497" s="96">
        <v>45107</v>
      </c>
      <c r="C497" s="45" t="s">
        <v>748</v>
      </c>
      <c r="D497" s="45" t="s">
        <v>639</v>
      </c>
      <c r="E497" s="45" t="s">
        <v>647</v>
      </c>
      <c r="F497" s="45" t="s">
        <v>641</v>
      </c>
      <c r="G497" s="45" t="s">
        <v>654</v>
      </c>
      <c r="H497" s="45" t="s">
        <v>650</v>
      </c>
      <c r="I497" s="45" t="s">
        <v>674</v>
      </c>
      <c r="J497" s="45" t="s">
        <v>644</v>
      </c>
      <c r="K497" s="45" t="s">
        <v>350</v>
      </c>
      <c r="L497" s="97">
        <v>45</v>
      </c>
      <c r="M497" s="97">
        <v>42.45</v>
      </c>
      <c r="N497" s="97">
        <v>2.55</v>
      </c>
      <c r="O497" s="45" t="s">
        <v>1219</v>
      </c>
    </row>
    <row r="498" customHeight="1" spans="1:15">
      <c r="A498" s="45" t="s">
        <v>637</v>
      </c>
      <c r="B498" s="96">
        <v>45107</v>
      </c>
      <c r="C498" s="45" t="s">
        <v>748</v>
      </c>
      <c r="D498" s="45" t="s">
        <v>639</v>
      </c>
      <c r="E498" s="45" t="s">
        <v>647</v>
      </c>
      <c r="F498" s="45" t="s">
        <v>749</v>
      </c>
      <c r="G498" s="45" t="s">
        <v>642</v>
      </c>
      <c r="H498" s="45" t="s">
        <v>650</v>
      </c>
      <c r="I498" s="45" t="s">
        <v>779</v>
      </c>
      <c r="J498" s="45" t="s">
        <v>644</v>
      </c>
      <c r="K498" s="45" t="s">
        <v>14</v>
      </c>
      <c r="L498" s="97">
        <v>225972.02</v>
      </c>
      <c r="M498" s="97">
        <v>213181.14</v>
      </c>
      <c r="N498" s="97">
        <v>12790.88</v>
      </c>
      <c r="O498" s="45" t="s">
        <v>1220</v>
      </c>
    </row>
    <row r="499" customHeight="1" spans="1:15">
      <c r="A499" s="45" t="s">
        <v>637</v>
      </c>
      <c r="B499" s="96">
        <v>45107</v>
      </c>
      <c r="C499" s="45" t="s">
        <v>748</v>
      </c>
      <c r="D499" s="45" t="s">
        <v>639</v>
      </c>
      <c r="E499" s="45" t="s">
        <v>647</v>
      </c>
      <c r="F499" s="45" t="s">
        <v>707</v>
      </c>
      <c r="G499" s="45" t="s">
        <v>654</v>
      </c>
      <c r="H499" s="45" t="s">
        <v>697</v>
      </c>
      <c r="I499" s="45" t="s">
        <v>782</v>
      </c>
      <c r="J499" s="45" t="s">
        <v>644</v>
      </c>
      <c r="K499" s="45" t="s">
        <v>14</v>
      </c>
      <c r="L499" s="97">
        <v>10000</v>
      </c>
      <c r="M499" s="97">
        <v>9433.96</v>
      </c>
      <c r="N499" s="97">
        <v>566.04</v>
      </c>
      <c r="O499" s="45" t="s">
        <v>1221</v>
      </c>
    </row>
    <row r="500" customHeight="1" spans="1:15">
      <c r="A500" s="45" t="s">
        <v>637</v>
      </c>
      <c r="B500" s="96">
        <v>45107</v>
      </c>
      <c r="C500" s="45" t="s">
        <v>748</v>
      </c>
      <c r="D500" s="45" t="s">
        <v>639</v>
      </c>
      <c r="E500" s="45" t="s">
        <v>647</v>
      </c>
      <c r="F500" s="45" t="s">
        <v>641</v>
      </c>
      <c r="G500" s="45" t="s">
        <v>642</v>
      </c>
      <c r="H500" s="45" t="s">
        <v>650</v>
      </c>
      <c r="I500" s="45" t="s">
        <v>436</v>
      </c>
      <c r="J500" s="45" t="s">
        <v>644</v>
      </c>
      <c r="K500" s="45" t="s">
        <v>350</v>
      </c>
      <c r="L500" s="97">
        <v>94881.1</v>
      </c>
      <c r="M500" s="97">
        <v>89510.46</v>
      </c>
      <c r="N500" s="97">
        <v>5370.64</v>
      </c>
      <c r="O500" s="45" t="s">
        <v>1222</v>
      </c>
    </row>
    <row r="501" customHeight="1" spans="1:15">
      <c r="A501" s="45" t="s">
        <v>637</v>
      </c>
      <c r="B501" s="96">
        <v>45107</v>
      </c>
      <c r="C501" s="45" t="s">
        <v>748</v>
      </c>
      <c r="D501" s="45" t="s">
        <v>639</v>
      </c>
      <c r="E501" s="45" t="s">
        <v>647</v>
      </c>
      <c r="F501" s="45" t="s">
        <v>641</v>
      </c>
      <c r="G501" s="45" t="s">
        <v>654</v>
      </c>
      <c r="H501" s="45" t="s">
        <v>650</v>
      </c>
      <c r="I501" s="45" t="s">
        <v>776</v>
      </c>
      <c r="J501" s="45" t="s">
        <v>644</v>
      </c>
      <c r="K501" s="45" t="s">
        <v>14</v>
      </c>
      <c r="L501" s="97">
        <v>315000</v>
      </c>
      <c r="M501" s="97">
        <v>297169.82</v>
      </c>
      <c r="N501" s="97">
        <v>17830.18</v>
      </c>
      <c r="O501" s="45" t="s">
        <v>1223</v>
      </c>
    </row>
    <row r="502" customHeight="1" spans="1:15">
      <c r="A502" s="45" t="s">
        <v>637</v>
      </c>
      <c r="B502" s="96">
        <v>45107</v>
      </c>
      <c r="C502" s="45" t="s">
        <v>748</v>
      </c>
      <c r="D502" s="45" t="s">
        <v>639</v>
      </c>
      <c r="E502" s="45" t="s">
        <v>647</v>
      </c>
      <c r="F502" s="45" t="s">
        <v>641</v>
      </c>
      <c r="G502" s="45" t="s">
        <v>648</v>
      </c>
      <c r="H502" s="45" t="s">
        <v>650</v>
      </c>
      <c r="I502" s="45" t="s">
        <v>447</v>
      </c>
      <c r="J502" s="45" t="s">
        <v>656</v>
      </c>
      <c r="K502" s="45" t="s">
        <v>14</v>
      </c>
      <c r="L502" s="97">
        <v>84435.88</v>
      </c>
      <c r="M502" s="97">
        <v>79656.51</v>
      </c>
      <c r="N502" s="97">
        <v>4779.37</v>
      </c>
      <c r="O502" s="45" t="s">
        <v>1224</v>
      </c>
    </row>
    <row r="503" customHeight="1" spans="1:15">
      <c r="A503" s="45" t="s">
        <v>637</v>
      </c>
      <c r="B503" s="96">
        <v>45107</v>
      </c>
      <c r="C503" s="45" t="s">
        <v>748</v>
      </c>
      <c r="D503" s="45" t="s">
        <v>639</v>
      </c>
      <c r="E503" s="45" t="s">
        <v>647</v>
      </c>
      <c r="F503" s="45" t="s">
        <v>641</v>
      </c>
      <c r="G503" s="45" t="s">
        <v>648</v>
      </c>
      <c r="H503" s="45" t="s">
        <v>643</v>
      </c>
      <c r="I503" s="45" t="s">
        <v>430</v>
      </c>
      <c r="J503" s="45" t="s">
        <v>644</v>
      </c>
      <c r="K503" s="45" t="s">
        <v>14</v>
      </c>
      <c r="L503" s="97">
        <v>1352551.93</v>
      </c>
      <c r="M503" s="97">
        <v>1275992.42</v>
      </c>
      <c r="N503" s="97">
        <v>76559.51</v>
      </c>
      <c r="O503" s="45" t="s">
        <v>1225</v>
      </c>
    </row>
    <row r="504" customHeight="1" spans="1:15">
      <c r="A504" s="45" t="s">
        <v>637</v>
      </c>
      <c r="B504" s="96">
        <v>45107</v>
      </c>
      <c r="C504" s="45" t="s">
        <v>748</v>
      </c>
      <c r="D504" s="45" t="s">
        <v>639</v>
      </c>
      <c r="E504" s="45" t="s">
        <v>647</v>
      </c>
      <c r="F504" s="45" t="s">
        <v>689</v>
      </c>
      <c r="G504" s="45" t="s">
        <v>654</v>
      </c>
      <c r="H504" s="45" t="s">
        <v>697</v>
      </c>
      <c r="I504" s="45" t="s">
        <v>672</v>
      </c>
      <c r="J504" s="45" t="s">
        <v>656</v>
      </c>
      <c r="K504" s="45" t="s">
        <v>350</v>
      </c>
      <c r="L504" s="97">
        <v>2019776</v>
      </c>
      <c r="M504" s="97">
        <v>1905449.06</v>
      </c>
      <c r="N504" s="97">
        <v>114326.94</v>
      </c>
      <c r="O504" s="45" t="s">
        <v>1226</v>
      </c>
    </row>
    <row r="505" customHeight="1" spans="1:15">
      <c r="A505" s="45" t="s">
        <v>637</v>
      </c>
      <c r="B505" s="96">
        <v>45107</v>
      </c>
      <c r="C505" s="45" t="s">
        <v>748</v>
      </c>
      <c r="D505" s="45" t="s">
        <v>639</v>
      </c>
      <c r="E505" s="45" t="s">
        <v>647</v>
      </c>
      <c r="F505" s="45" t="s">
        <v>707</v>
      </c>
      <c r="G505" s="45" t="s">
        <v>642</v>
      </c>
      <c r="H505" s="45" t="s">
        <v>650</v>
      </c>
      <c r="I505" s="45" t="s">
        <v>429</v>
      </c>
      <c r="J505" s="45" t="s">
        <v>644</v>
      </c>
      <c r="K505" s="45" t="s">
        <v>14</v>
      </c>
      <c r="L505" s="97">
        <v>1662747.83</v>
      </c>
      <c r="M505" s="97">
        <v>1568630.02</v>
      </c>
      <c r="N505" s="97">
        <v>94117.81</v>
      </c>
      <c r="O505" s="45" t="s">
        <v>1227</v>
      </c>
    </row>
    <row r="506" customHeight="1" spans="1:15">
      <c r="A506" s="45" t="s">
        <v>637</v>
      </c>
      <c r="B506" s="96">
        <v>45107</v>
      </c>
      <c r="C506" s="45" t="s">
        <v>748</v>
      </c>
      <c r="D506" s="45" t="s">
        <v>639</v>
      </c>
      <c r="E506" s="45" t="s">
        <v>647</v>
      </c>
      <c r="F506" s="45" t="s">
        <v>689</v>
      </c>
      <c r="G506" s="45" t="s">
        <v>654</v>
      </c>
      <c r="H506" s="45" t="s">
        <v>650</v>
      </c>
      <c r="I506" s="45" t="s">
        <v>664</v>
      </c>
      <c r="J506" s="45" t="s">
        <v>656</v>
      </c>
      <c r="K506" s="45" t="s">
        <v>350</v>
      </c>
      <c r="L506" s="97">
        <v>10624.88</v>
      </c>
      <c r="M506" s="97">
        <v>10023.48</v>
      </c>
      <c r="N506" s="97">
        <v>601.4</v>
      </c>
      <c r="O506" s="45" t="s">
        <v>1228</v>
      </c>
    </row>
    <row r="507" customHeight="1" spans="1:15">
      <c r="A507" s="45" t="s">
        <v>637</v>
      </c>
      <c r="B507" s="96">
        <v>45107</v>
      </c>
      <c r="C507" s="45" t="s">
        <v>748</v>
      </c>
      <c r="D507" s="45" t="s">
        <v>639</v>
      </c>
      <c r="E507" s="45" t="s">
        <v>647</v>
      </c>
      <c r="F507" s="45" t="s">
        <v>707</v>
      </c>
      <c r="G507" s="45" t="s">
        <v>642</v>
      </c>
      <c r="H507" s="45" t="s">
        <v>650</v>
      </c>
      <c r="I507" s="45" t="s">
        <v>429</v>
      </c>
      <c r="J507" s="45" t="s">
        <v>644</v>
      </c>
      <c r="K507" s="45" t="s">
        <v>14</v>
      </c>
      <c r="L507" s="97">
        <v>606.6</v>
      </c>
      <c r="M507" s="97">
        <v>572.26</v>
      </c>
      <c r="N507" s="97">
        <v>34.34</v>
      </c>
      <c r="O507" s="45" t="s">
        <v>1229</v>
      </c>
    </row>
    <row r="508" customHeight="1" spans="1:15">
      <c r="A508" s="45" t="s">
        <v>637</v>
      </c>
      <c r="B508" s="96">
        <v>45107</v>
      </c>
      <c r="C508" s="45" t="s">
        <v>748</v>
      </c>
      <c r="D508" s="45" t="s">
        <v>639</v>
      </c>
      <c r="E508" s="45" t="s">
        <v>647</v>
      </c>
      <c r="F508" s="45" t="s">
        <v>689</v>
      </c>
      <c r="G508" s="45" t="s">
        <v>654</v>
      </c>
      <c r="H508" s="45" t="s">
        <v>697</v>
      </c>
      <c r="I508" s="45" t="s">
        <v>669</v>
      </c>
      <c r="J508" s="45" t="s">
        <v>656</v>
      </c>
      <c r="K508" s="45" t="s">
        <v>350</v>
      </c>
      <c r="L508" s="97">
        <v>320100</v>
      </c>
      <c r="M508" s="97">
        <v>301981.13</v>
      </c>
      <c r="N508" s="97">
        <v>18118.87</v>
      </c>
      <c r="O508" s="45" t="s">
        <v>1230</v>
      </c>
    </row>
    <row r="509" customHeight="1" spans="1:15">
      <c r="A509" s="45" t="s">
        <v>637</v>
      </c>
      <c r="B509" s="96">
        <v>45107</v>
      </c>
      <c r="C509" s="45" t="s">
        <v>748</v>
      </c>
      <c r="D509" s="45" t="s">
        <v>639</v>
      </c>
      <c r="E509" s="45" t="s">
        <v>647</v>
      </c>
      <c r="F509" s="45" t="s">
        <v>707</v>
      </c>
      <c r="G509" s="45" t="s">
        <v>642</v>
      </c>
      <c r="H509" s="45" t="s">
        <v>650</v>
      </c>
      <c r="I509" s="45" t="s">
        <v>435</v>
      </c>
      <c r="J509" s="45" t="s">
        <v>644</v>
      </c>
      <c r="K509" s="45" t="s">
        <v>14</v>
      </c>
      <c r="L509" s="97">
        <v>4910.82</v>
      </c>
      <c r="M509" s="97">
        <v>4632.85</v>
      </c>
      <c r="N509" s="97">
        <v>277.97</v>
      </c>
      <c r="O509" s="45" t="s">
        <v>1231</v>
      </c>
    </row>
    <row r="510" customHeight="1" spans="1:15">
      <c r="A510" s="45" t="s">
        <v>637</v>
      </c>
      <c r="B510" s="96">
        <v>45107</v>
      </c>
      <c r="C510" s="45" t="s">
        <v>748</v>
      </c>
      <c r="D510" s="45" t="s">
        <v>639</v>
      </c>
      <c r="E510" s="45" t="s">
        <v>647</v>
      </c>
      <c r="F510" s="45" t="s">
        <v>707</v>
      </c>
      <c r="G510" s="45" t="s">
        <v>648</v>
      </c>
      <c r="H510" s="45" t="s">
        <v>643</v>
      </c>
      <c r="I510" s="45" t="s">
        <v>429</v>
      </c>
      <c r="J510" s="45" t="s">
        <v>644</v>
      </c>
      <c r="K510" s="45" t="s">
        <v>14</v>
      </c>
      <c r="L510" s="97">
        <v>10129818.95</v>
      </c>
      <c r="M510" s="97">
        <v>9556432.97</v>
      </c>
      <c r="N510" s="97">
        <v>573385.98</v>
      </c>
      <c r="O510" s="45" t="s">
        <v>1232</v>
      </c>
    </row>
    <row r="511" customHeight="1" spans="1:15">
      <c r="A511" s="45" t="s">
        <v>637</v>
      </c>
      <c r="B511" s="96">
        <v>45107</v>
      </c>
      <c r="C511" s="45" t="s">
        <v>748</v>
      </c>
      <c r="D511" s="45" t="s">
        <v>639</v>
      </c>
      <c r="E511" s="45" t="s">
        <v>647</v>
      </c>
      <c r="F511" s="45" t="s">
        <v>749</v>
      </c>
      <c r="G511" s="45" t="s">
        <v>648</v>
      </c>
      <c r="H511" s="45" t="s">
        <v>650</v>
      </c>
      <c r="I511" s="45" t="s">
        <v>461</v>
      </c>
      <c r="J511" s="45" t="s">
        <v>644</v>
      </c>
      <c r="K511" s="45" t="s">
        <v>14</v>
      </c>
      <c r="L511" s="97">
        <v>511119.6</v>
      </c>
      <c r="M511" s="97">
        <v>482188.31</v>
      </c>
      <c r="N511" s="97">
        <v>28931.29</v>
      </c>
      <c r="O511" s="45" t="s">
        <v>1233</v>
      </c>
    </row>
    <row r="512" customHeight="1" spans="1:15">
      <c r="A512" s="45" t="s">
        <v>637</v>
      </c>
      <c r="B512" s="96">
        <v>45107</v>
      </c>
      <c r="C512" s="45" t="s">
        <v>748</v>
      </c>
      <c r="D512" s="45" t="s">
        <v>639</v>
      </c>
      <c r="E512" s="45" t="s">
        <v>647</v>
      </c>
      <c r="F512" s="45" t="s">
        <v>641</v>
      </c>
      <c r="G512" s="45" t="s">
        <v>648</v>
      </c>
      <c r="H512" s="45" t="s">
        <v>697</v>
      </c>
      <c r="I512" s="45" t="s">
        <v>441</v>
      </c>
      <c r="J512" s="45" t="s">
        <v>644</v>
      </c>
      <c r="K512" s="45" t="s">
        <v>14</v>
      </c>
      <c r="L512" s="97">
        <v>6612860.5</v>
      </c>
      <c r="M512" s="97">
        <v>6238547.64</v>
      </c>
      <c r="N512" s="97">
        <v>374312.86</v>
      </c>
      <c r="O512" s="45" t="s">
        <v>1234</v>
      </c>
    </row>
    <row r="513" customHeight="1" spans="1:15">
      <c r="A513" s="45" t="s">
        <v>637</v>
      </c>
      <c r="B513" s="96">
        <v>45107</v>
      </c>
      <c r="C513" s="45" t="s">
        <v>748</v>
      </c>
      <c r="D513" s="45" t="s">
        <v>639</v>
      </c>
      <c r="E513" s="45" t="s">
        <v>647</v>
      </c>
      <c r="F513" s="45" t="s">
        <v>749</v>
      </c>
      <c r="G513" s="45" t="s">
        <v>648</v>
      </c>
      <c r="H513" s="45" t="s">
        <v>650</v>
      </c>
      <c r="I513" s="45" t="s">
        <v>461</v>
      </c>
      <c r="J513" s="45" t="s">
        <v>644</v>
      </c>
      <c r="K513" s="45" t="s">
        <v>14</v>
      </c>
      <c r="L513" s="97">
        <v>113852.8</v>
      </c>
      <c r="M513" s="97">
        <v>107408.32</v>
      </c>
      <c r="N513" s="97">
        <v>6444.48</v>
      </c>
      <c r="O513" s="45" t="s">
        <v>1235</v>
      </c>
    </row>
    <row r="514" customHeight="1" spans="1:15">
      <c r="A514" s="45" t="s">
        <v>637</v>
      </c>
      <c r="B514" s="96">
        <v>45107</v>
      </c>
      <c r="C514" s="45" t="s">
        <v>748</v>
      </c>
      <c r="D514" s="45" t="s">
        <v>639</v>
      </c>
      <c r="E514" s="45" t="s">
        <v>647</v>
      </c>
      <c r="F514" s="45" t="s">
        <v>707</v>
      </c>
      <c r="G514" s="45" t="s">
        <v>654</v>
      </c>
      <c r="H514" s="45" t="s">
        <v>650</v>
      </c>
      <c r="I514" s="45" t="s">
        <v>754</v>
      </c>
      <c r="J514" s="45" t="s">
        <v>644</v>
      </c>
      <c r="K514" s="45" t="s">
        <v>14</v>
      </c>
      <c r="L514" s="97">
        <v>6553206.4</v>
      </c>
      <c r="M514" s="97">
        <v>6182270.22</v>
      </c>
      <c r="N514" s="97">
        <v>370936.18</v>
      </c>
      <c r="O514" s="45" t="s">
        <v>1236</v>
      </c>
    </row>
    <row r="515" customHeight="1" spans="1:15">
      <c r="A515" s="45" t="s">
        <v>637</v>
      </c>
      <c r="B515" s="96">
        <v>45107</v>
      </c>
      <c r="C515" s="45" t="s">
        <v>748</v>
      </c>
      <c r="D515" s="45" t="s">
        <v>639</v>
      </c>
      <c r="E515" s="45" t="s">
        <v>647</v>
      </c>
      <c r="F515" s="45" t="s">
        <v>707</v>
      </c>
      <c r="G515" s="45" t="s">
        <v>648</v>
      </c>
      <c r="H515" s="45" t="s">
        <v>650</v>
      </c>
      <c r="I515" s="45" t="s">
        <v>763</v>
      </c>
      <c r="J515" s="45" t="s">
        <v>644</v>
      </c>
      <c r="K515" s="45" t="s">
        <v>165</v>
      </c>
      <c r="L515" s="97">
        <v>7079.69</v>
      </c>
      <c r="M515" s="97">
        <v>6678.95</v>
      </c>
      <c r="N515" s="97">
        <v>400.74</v>
      </c>
      <c r="O515" s="45" t="s">
        <v>1237</v>
      </c>
    </row>
    <row r="516" customHeight="1" spans="1:15">
      <c r="A516" s="45" t="s">
        <v>637</v>
      </c>
      <c r="B516" s="96">
        <v>45107</v>
      </c>
      <c r="C516" s="45" t="s">
        <v>638</v>
      </c>
      <c r="D516" s="45" t="s">
        <v>639</v>
      </c>
      <c r="E516" s="45" t="s">
        <v>647</v>
      </c>
      <c r="F516" s="45" t="s">
        <v>641</v>
      </c>
      <c r="G516" s="45" t="s">
        <v>648</v>
      </c>
      <c r="H516" s="45" t="s">
        <v>643</v>
      </c>
      <c r="I516" s="45" t="s">
        <v>430</v>
      </c>
      <c r="J516" s="45" t="s">
        <v>644</v>
      </c>
      <c r="K516" s="45" t="s">
        <v>14</v>
      </c>
      <c r="L516" s="97">
        <v>578449.42</v>
      </c>
      <c r="M516" s="97">
        <v>545707.02</v>
      </c>
      <c r="N516" s="97">
        <v>32742.4</v>
      </c>
      <c r="O516" s="45" t="s">
        <v>1238</v>
      </c>
    </row>
    <row r="517" customHeight="1" spans="1:15">
      <c r="A517" s="45" t="s">
        <v>637</v>
      </c>
      <c r="B517" s="96">
        <v>45107</v>
      </c>
      <c r="C517" s="45" t="s">
        <v>638</v>
      </c>
      <c r="D517" s="45" t="s">
        <v>639</v>
      </c>
      <c r="E517" s="45" t="s">
        <v>647</v>
      </c>
      <c r="F517" s="45" t="s">
        <v>641</v>
      </c>
      <c r="G517" s="45" t="s">
        <v>642</v>
      </c>
      <c r="H517" s="45" t="s">
        <v>650</v>
      </c>
      <c r="I517" s="45" t="s">
        <v>430</v>
      </c>
      <c r="J517" s="45" t="s">
        <v>644</v>
      </c>
      <c r="K517" s="45" t="s">
        <v>14</v>
      </c>
      <c r="L517" s="97">
        <v>1387589.82</v>
      </c>
      <c r="M517" s="97">
        <v>1309046.99</v>
      </c>
      <c r="N517" s="97">
        <v>78542.83</v>
      </c>
      <c r="O517" s="45" t="s">
        <v>1239</v>
      </c>
    </row>
    <row r="518" customHeight="1" spans="1:15">
      <c r="A518" s="45" t="s">
        <v>637</v>
      </c>
      <c r="B518" s="96">
        <v>45107</v>
      </c>
      <c r="C518" s="45" t="s">
        <v>638</v>
      </c>
      <c r="D518" s="45" t="s">
        <v>639</v>
      </c>
      <c r="E518" s="45" t="s">
        <v>640</v>
      </c>
      <c r="F518" s="45" t="s">
        <v>641</v>
      </c>
      <c r="G518" s="45" t="s">
        <v>642</v>
      </c>
      <c r="H518" s="45" t="s">
        <v>643</v>
      </c>
      <c r="I518" s="45" t="s">
        <v>430</v>
      </c>
      <c r="J518" s="45" t="s">
        <v>644</v>
      </c>
      <c r="K518" s="45" t="s">
        <v>14</v>
      </c>
      <c r="L518" s="97">
        <v>-451680.07</v>
      </c>
      <c r="M518" s="97">
        <v>-426113.27</v>
      </c>
      <c r="N518" s="97">
        <v>-25566.8</v>
      </c>
      <c r="O518" s="45" t="s">
        <v>1240</v>
      </c>
    </row>
    <row r="519" customHeight="1" spans="1:15">
      <c r="A519" s="45" t="s">
        <v>637</v>
      </c>
      <c r="B519" s="96">
        <v>45107</v>
      </c>
      <c r="C519" s="45" t="s">
        <v>638</v>
      </c>
      <c r="D519" s="45" t="s">
        <v>639</v>
      </c>
      <c r="E519" s="45" t="s">
        <v>640</v>
      </c>
      <c r="F519" s="45" t="s">
        <v>641</v>
      </c>
      <c r="G519" s="45" t="s">
        <v>648</v>
      </c>
      <c r="H519" s="45" t="s">
        <v>643</v>
      </c>
      <c r="I519" s="45" t="s">
        <v>430</v>
      </c>
      <c r="J519" s="45" t="s">
        <v>644</v>
      </c>
      <c r="K519" s="45" t="s">
        <v>14</v>
      </c>
      <c r="L519" s="97">
        <v>1453776.26</v>
      </c>
      <c r="M519" s="97">
        <v>1371487.04</v>
      </c>
      <c r="N519" s="97">
        <v>82289.22</v>
      </c>
      <c r="O519" s="45" t="s">
        <v>1241</v>
      </c>
    </row>
    <row r="520" customHeight="1" spans="1:15">
      <c r="A520" s="45" t="s">
        <v>637</v>
      </c>
      <c r="B520" s="96">
        <v>45107</v>
      </c>
      <c r="C520" s="45" t="s">
        <v>646</v>
      </c>
      <c r="D520" s="45" t="s">
        <v>639</v>
      </c>
      <c r="E520" s="45" t="s">
        <v>640</v>
      </c>
      <c r="F520" s="45" t="s">
        <v>689</v>
      </c>
      <c r="G520" s="45" t="s">
        <v>654</v>
      </c>
      <c r="H520" s="45" t="s">
        <v>697</v>
      </c>
      <c r="I520" s="45" t="s">
        <v>658</v>
      </c>
      <c r="J520" s="45" t="s">
        <v>656</v>
      </c>
      <c r="K520" s="45" t="s">
        <v>350</v>
      </c>
      <c r="L520" s="97">
        <v>-1323270</v>
      </c>
      <c r="M520" s="97">
        <v>-1248367.92</v>
      </c>
      <c r="N520" s="97">
        <v>-74902.08</v>
      </c>
      <c r="O520" s="45" t="s">
        <v>1242</v>
      </c>
    </row>
    <row r="521" customHeight="1" spans="1:15">
      <c r="A521" s="45" t="s">
        <v>637</v>
      </c>
      <c r="B521" s="96">
        <v>45107</v>
      </c>
      <c r="C521" s="45" t="s">
        <v>638</v>
      </c>
      <c r="D521" s="45" t="s">
        <v>639</v>
      </c>
      <c r="E521" s="45" t="s">
        <v>647</v>
      </c>
      <c r="F521" s="45" t="s">
        <v>641</v>
      </c>
      <c r="G521" s="45" t="s">
        <v>648</v>
      </c>
      <c r="H521" s="45" t="s">
        <v>643</v>
      </c>
      <c r="I521" s="45" t="s">
        <v>430</v>
      </c>
      <c r="J521" s="45" t="s">
        <v>644</v>
      </c>
      <c r="K521" s="45" t="s">
        <v>14</v>
      </c>
      <c r="L521" s="97">
        <v>124355.44</v>
      </c>
      <c r="M521" s="97">
        <v>117316.42</v>
      </c>
      <c r="N521" s="97">
        <v>7039.02</v>
      </c>
      <c r="O521" s="45" t="s">
        <v>1243</v>
      </c>
    </row>
    <row r="522" customHeight="1" spans="1:15">
      <c r="A522" s="45" t="s">
        <v>637</v>
      </c>
      <c r="B522" s="96">
        <v>45107</v>
      </c>
      <c r="C522" s="45" t="s">
        <v>638</v>
      </c>
      <c r="D522" s="45" t="s">
        <v>639</v>
      </c>
      <c r="E522" s="45" t="s">
        <v>647</v>
      </c>
      <c r="F522" s="45" t="s">
        <v>641</v>
      </c>
      <c r="G522" s="45" t="s">
        <v>648</v>
      </c>
      <c r="H522" s="45" t="s">
        <v>643</v>
      </c>
      <c r="I522" s="45" t="s">
        <v>430</v>
      </c>
      <c r="J522" s="45" t="s">
        <v>644</v>
      </c>
      <c r="K522" s="45" t="s">
        <v>14</v>
      </c>
      <c r="L522" s="97">
        <v>34857.8</v>
      </c>
      <c r="M522" s="97">
        <v>32884.64</v>
      </c>
      <c r="N522" s="97">
        <v>1973.16</v>
      </c>
      <c r="O522" s="45" t="s">
        <v>1244</v>
      </c>
    </row>
    <row r="523" customHeight="1" spans="1:15">
      <c r="A523" s="45" t="s">
        <v>637</v>
      </c>
      <c r="B523" s="96">
        <v>45107</v>
      </c>
      <c r="C523" s="45" t="s">
        <v>638</v>
      </c>
      <c r="D523" s="45" t="s">
        <v>639</v>
      </c>
      <c r="E523" s="45" t="s">
        <v>647</v>
      </c>
      <c r="F523" s="45" t="s">
        <v>641</v>
      </c>
      <c r="G523" s="45" t="s">
        <v>648</v>
      </c>
      <c r="H523" s="45" t="s">
        <v>697</v>
      </c>
      <c r="I523" s="45" t="s">
        <v>430</v>
      </c>
      <c r="J523" s="45" t="s">
        <v>644</v>
      </c>
      <c r="K523" s="45" t="s">
        <v>14</v>
      </c>
      <c r="L523" s="97">
        <v>7177.81</v>
      </c>
      <c r="M523" s="97">
        <v>6771.49</v>
      </c>
      <c r="N523" s="97">
        <v>406.32</v>
      </c>
      <c r="O523" s="45" t="s">
        <v>1245</v>
      </c>
    </row>
    <row r="524" customHeight="1" spans="1:15">
      <c r="A524" s="45" t="s">
        <v>637</v>
      </c>
      <c r="B524" s="96">
        <v>45107</v>
      </c>
      <c r="C524" s="45" t="s">
        <v>646</v>
      </c>
      <c r="D524" s="45" t="s">
        <v>639</v>
      </c>
      <c r="E524" s="45" t="s">
        <v>640</v>
      </c>
      <c r="F524" s="45" t="s">
        <v>689</v>
      </c>
      <c r="G524" s="45" t="s">
        <v>648</v>
      </c>
      <c r="H524" s="45" t="s">
        <v>650</v>
      </c>
      <c r="I524" s="45" t="s">
        <v>690</v>
      </c>
      <c r="J524" s="45" t="s">
        <v>656</v>
      </c>
      <c r="K524" s="45" t="s">
        <v>165</v>
      </c>
      <c r="L524" s="97">
        <v>16150</v>
      </c>
      <c r="M524" s="97">
        <v>15235.85</v>
      </c>
      <c r="N524" s="97">
        <v>914.15</v>
      </c>
      <c r="O524" s="45" t="s">
        <v>1246</v>
      </c>
    </row>
    <row r="525" customHeight="1" spans="1:15">
      <c r="A525" s="45" t="s">
        <v>637</v>
      </c>
      <c r="B525" s="96">
        <v>45107</v>
      </c>
      <c r="C525" s="45" t="s">
        <v>646</v>
      </c>
      <c r="D525" s="45" t="s">
        <v>639</v>
      </c>
      <c r="E525" s="45" t="s">
        <v>640</v>
      </c>
      <c r="F525" s="45" t="s">
        <v>641</v>
      </c>
      <c r="G525" s="45" t="s">
        <v>648</v>
      </c>
      <c r="H525" s="45" t="s">
        <v>697</v>
      </c>
      <c r="I525" s="45" t="s">
        <v>667</v>
      </c>
      <c r="J525" s="45" t="s">
        <v>656</v>
      </c>
      <c r="K525" s="45" t="s">
        <v>350</v>
      </c>
      <c r="L525" s="97">
        <v>-588</v>
      </c>
      <c r="M525" s="97">
        <v>-554.72</v>
      </c>
      <c r="N525" s="97">
        <v>-33.28</v>
      </c>
      <c r="O525" s="45" t="s">
        <v>1247</v>
      </c>
    </row>
    <row r="526" customHeight="1" spans="1:15">
      <c r="A526" s="45" t="s">
        <v>637</v>
      </c>
      <c r="B526" s="96">
        <v>45107</v>
      </c>
      <c r="C526" s="45" t="s">
        <v>646</v>
      </c>
      <c r="D526" s="45" t="s">
        <v>653</v>
      </c>
      <c r="E526" s="45" t="s">
        <v>640</v>
      </c>
      <c r="F526" s="45" t="s">
        <v>659</v>
      </c>
      <c r="G526" s="45" t="s">
        <v>648</v>
      </c>
      <c r="H526" s="45" t="s">
        <v>650</v>
      </c>
      <c r="I526" s="45" t="s">
        <v>462</v>
      </c>
      <c r="J526" s="45" t="s">
        <v>656</v>
      </c>
      <c r="K526" s="45" t="s">
        <v>166</v>
      </c>
      <c r="L526" s="97">
        <v>139825.5</v>
      </c>
      <c r="M526" s="97">
        <v>131910.85</v>
      </c>
      <c r="N526" s="97">
        <v>7914.65</v>
      </c>
      <c r="O526" s="45" t="s">
        <v>1248</v>
      </c>
    </row>
    <row r="527" customHeight="1" spans="1:15">
      <c r="A527" s="45" t="s">
        <v>637</v>
      </c>
      <c r="B527" s="96">
        <v>45107</v>
      </c>
      <c r="C527" s="45" t="s">
        <v>646</v>
      </c>
      <c r="D527" s="45" t="s">
        <v>653</v>
      </c>
      <c r="E527" s="45" t="s">
        <v>640</v>
      </c>
      <c r="F527" s="45" t="s">
        <v>659</v>
      </c>
      <c r="G527" s="45" t="s">
        <v>648</v>
      </c>
      <c r="H527" s="45" t="s">
        <v>650</v>
      </c>
      <c r="I527" s="45" t="s">
        <v>462</v>
      </c>
      <c r="J527" s="45" t="s">
        <v>656</v>
      </c>
      <c r="K527" s="45" t="s">
        <v>166</v>
      </c>
      <c r="L527" s="97">
        <v>340525.89</v>
      </c>
      <c r="M527" s="97">
        <v>321250.84</v>
      </c>
      <c r="N527" s="97">
        <v>19275.05</v>
      </c>
      <c r="O527" s="45" t="s">
        <v>1249</v>
      </c>
    </row>
    <row r="528" customHeight="1" spans="1:15">
      <c r="A528" s="45" t="s">
        <v>637</v>
      </c>
      <c r="B528" s="96">
        <v>45107</v>
      </c>
      <c r="C528" s="45" t="s">
        <v>646</v>
      </c>
      <c r="D528" s="45" t="s">
        <v>653</v>
      </c>
      <c r="E528" s="45" t="s">
        <v>640</v>
      </c>
      <c r="F528" s="45" t="s">
        <v>641</v>
      </c>
      <c r="G528" s="45" t="s">
        <v>648</v>
      </c>
      <c r="H528" s="45" t="s">
        <v>697</v>
      </c>
      <c r="I528" s="45" t="s">
        <v>462</v>
      </c>
      <c r="J528" s="45" t="s">
        <v>656</v>
      </c>
      <c r="K528" s="45" t="s">
        <v>166</v>
      </c>
      <c r="L528" s="97">
        <v>85131.47</v>
      </c>
      <c r="M528" s="97">
        <v>80312.71</v>
      </c>
      <c r="N528" s="97">
        <v>4818.76</v>
      </c>
      <c r="O528" s="45" t="s">
        <v>1250</v>
      </c>
    </row>
    <row r="529" customHeight="1" spans="1:15">
      <c r="A529" s="45" t="s">
        <v>637</v>
      </c>
      <c r="B529" s="96">
        <v>45107</v>
      </c>
      <c r="C529" s="45" t="s">
        <v>646</v>
      </c>
      <c r="D529" s="45" t="s">
        <v>639</v>
      </c>
      <c r="E529" s="45" t="s">
        <v>640</v>
      </c>
      <c r="F529" s="45" t="s">
        <v>641</v>
      </c>
      <c r="G529" s="45" t="s">
        <v>642</v>
      </c>
      <c r="H529" s="45" t="s">
        <v>643</v>
      </c>
      <c r="I529" s="45" t="s">
        <v>430</v>
      </c>
      <c r="J529" s="45" t="s">
        <v>644</v>
      </c>
      <c r="K529" s="45" t="s">
        <v>14</v>
      </c>
      <c r="L529" s="97">
        <v>-376181.56</v>
      </c>
      <c r="M529" s="97">
        <v>-354888.26</v>
      </c>
      <c r="N529" s="97">
        <v>-21293.3</v>
      </c>
      <c r="O529" s="45" t="s">
        <v>1251</v>
      </c>
    </row>
    <row r="530" customHeight="1" spans="1:15">
      <c r="A530" s="45" t="s">
        <v>637</v>
      </c>
      <c r="B530" s="96">
        <v>45107</v>
      </c>
      <c r="C530" s="45" t="s">
        <v>646</v>
      </c>
      <c r="D530" s="45" t="s">
        <v>639</v>
      </c>
      <c r="E530" s="45" t="s">
        <v>640</v>
      </c>
      <c r="F530" s="45" t="s">
        <v>641</v>
      </c>
      <c r="G530" s="45" t="s">
        <v>648</v>
      </c>
      <c r="H530" s="45" t="s">
        <v>643</v>
      </c>
      <c r="I530" s="45" t="s">
        <v>430</v>
      </c>
      <c r="J530" s="45" t="s">
        <v>644</v>
      </c>
      <c r="K530" s="45" t="s">
        <v>14</v>
      </c>
      <c r="L530" s="97">
        <v>192091.68</v>
      </c>
      <c r="M530" s="97">
        <v>181218.57</v>
      </c>
      <c r="N530" s="97">
        <v>10873.11</v>
      </c>
      <c r="O530" s="45" t="s">
        <v>1252</v>
      </c>
    </row>
    <row r="531" customHeight="1" spans="1:15">
      <c r="A531" s="45" t="s">
        <v>637</v>
      </c>
      <c r="B531" s="96">
        <v>45107</v>
      </c>
      <c r="C531" s="45" t="s">
        <v>811</v>
      </c>
      <c r="D531" s="45" t="s">
        <v>639</v>
      </c>
      <c r="E531" s="45" t="s">
        <v>647</v>
      </c>
      <c r="F531" s="45" t="s">
        <v>641</v>
      </c>
      <c r="G531" s="45" t="s">
        <v>642</v>
      </c>
      <c r="H531" s="45" t="s">
        <v>650</v>
      </c>
      <c r="I531" s="45" t="s">
        <v>430</v>
      </c>
      <c r="J531" s="45" t="s">
        <v>644</v>
      </c>
      <c r="K531" s="45" t="s">
        <v>14</v>
      </c>
      <c r="L531" s="97">
        <v>425549.46</v>
      </c>
      <c r="M531" s="97">
        <v>401461.76</v>
      </c>
      <c r="N531" s="97">
        <v>24087.7</v>
      </c>
      <c r="O531" s="45" t="s">
        <v>1253</v>
      </c>
    </row>
    <row r="532" customHeight="1" spans="1:15">
      <c r="A532" s="45" t="s">
        <v>637</v>
      </c>
      <c r="B532" s="96">
        <v>45107</v>
      </c>
      <c r="C532" s="45" t="s">
        <v>811</v>
      </c>
      <c r="D532" s="45" t="s">
        <v>1254</v>
      </c>
      <c r="E532" s="45" t="s">
        <v>647</v>
      </c>
      <c r="F532" s="45" t="s">
        <v>641</v>
      </c>
      <c r="G532" s="45" t="s">
        <v>648</v>
      </c>
      <c r="H532" s="45" t="s">
        <v>643</v>
      </c>
      <c r="I532" s="45" t="s">
        <v>430</v>
      </c>
      <c r="J532" s="45" t="s">
        <v>644</v>
      </c>
      <c r="K532" s="45" t="s">
        <v>14</v>
      </c>
      <c r="L532" s="97">
        <v>25.8</v>
      </c>
      <c r="M532" s="97">
        <v>24.34</v>
      </c>
      <c r="N532" s="97">
        <v>1.46</v>
      </c>
      <c r="O532" s="45" t="s">
        <v>1255</v>
      </c>
    </row>
    <row r="533" customHeight="1" spans="1:15">
      <c r="A533" s="45" t="s">
        <v>637</v>
      </c>
      <c r="B533" s="96">
        <v>45107</v>
      </c>
      <c r="C533" s="45" t="s">
        <v>646</v>
      </c>
      <c r="D533" s="45" t="s">
        <v>639</v>
      </c>
      <c r="E533" s="45" t="s">
        <v>647</v>
      </c>
      <c r="F533" s="45" t="s">
        <v>641</v>
      </c>
      <c r="G533" s="45" t="s">
        <v>648</v>
      </c>
      <c r="H533" s="45" t="s">
        <v>650</v>
      </c>
      <c r="I533" s="45" t="s">
        <v>667</v>
      </c>
      <c r="J533" s="45" t="s">
        <v>644</v>
      </c>
      <c r="K533" s="45" t="s">
        <v>350</v>
      </c>
      <c r="L533" s="97">
        <v>588</v>
      </c>
      <c r="M533" s="97">
        <v>554.71</v>
      </c>
      <c r="N533" s="97">
        <v>33.29</v>
      </c>
      <c r="O533" s="45" t="s">
        <v>1256</v>
      </c>
    </row>
    <row r="534" customHeight="1" spans="1:15">
      <c r="A534" s="45" t="s">
        <v>637</v>
      </c>
      <c r="B534" s="96">
        <v>45107</v>
      </c>
      <c r="C534" s="45" t="s">
        <v>646</v>
      </c>
      <c r="D534" s="45" t="s">
        <v>639</v>
      </c>
      <c r="E534" s="45" t="s">
        <v>647</v>
      </c>
      <c r="F534" s="45" t="s">
        <v>641</v>
      </c>
      <c r="G534" s="45" t="s">
        <v>648</v>
      </c>
      <c r="H534" s="45" t="s">
        <v>650</v>
      </c>
      <c r="I534" s="45" t="s">
        <v>686</v>
      </c>
      <c r="J534" s="45" t="s">
        <v>656</v>
      </c>
      <c r="K534" s="45" t="s">
        <v>14</v>
      </c>
      <c r="L534" s="97">
        <v>17752.28</v>
      </c>
      <c r="M534" s="97">
        <v>16747.45</v>
      </c>
      <c r="N534" s="97">
        <v>1004.83</v>
      </c>
      <c r="O534" s="45" t="s">
        <v>1257</v>
      </c>
    </row>
    <row r="535" customHeight="1" spans="1:15">
      <c r="A535" s="45" t="s">
        <v>637</v>
      </c>
      <c r="B535" s="96">
        <v>45107</v>
      </c>
      <c r="C535" s="45" t="s">
        <v>646</v>
      </c>
      <c r="D535" s="45" t="s">
        <v>639</v>
      </c>
      <c r="E535" s="45" t="s">
        <v>647</v>
      </c>
      <c r="F535" s="45" t="s">
        <v>689</v>
      </c>
      <c r="G535" s="45" t="s">
        <v>654</v>
      </c>
      <c r="H535" s="45" t="s">
        <v>697</v>
      </c>
      <c r="I535" s="45" t="s">
        <v>658</v>
      </c>
      <c r="J535" s="45" t="s">
        <v>656</v>
      </c>
      <c r="K535" s="45" t="s">
        <v>350</v>
      </c>
      <c r="L535" s="97">
        <v>133600</v>
      </c>
      <c r="M535" s="97">
        <v>126037.74</v>
      </c>
      <c r="N535" s="97">
        <v>7562.26</v>
      </c>
      <c r="O535" s="45" t="s">
        <v>1258</v>
      </c>
    </row>
    <row r="536" customHeight="1" spans="1:15">
      <c r="A536" s="45" t="s">
        <v>637</v>
      </c>
      <c r="B536" s="96">
        <v>45107</v>
      </c>
      <c r="C536" s="45" t="s">
        <v>646</v>
      </c>
      <c r="D536" s="45" t="s">
        <v>639</v>
      </c>
      <c r="E536" s="45" t="s">
        <v>647</v>
      </c>
      <c r="F536" s="45" t="s">
        <v>641</v>
      </c>
      <c r="G536" s="45" t="s">
        <v>642</v>
      </c>
      <c r="H536" s="45" t="s">
        <v>650</v>
      </c>
      <c r="I536" s="45" t="s">
        <v>678</v>
      </c>
      <c r="J536" s="45" t="s">
        <v>656</v>
      </c>
      <c r="K536" s="45" t="s">
        <v>350</v>
      </c>
      <c r="L536" s="97">
        <v>552</v>
      </c>
      <c r="M536" s="97">
        <v>520.72</v>
      </c>
      <c r="N536" s="97">
        <v>31.28</v>
      </c>
      <c r="O536" s="45" t="s">
        <v>1259</v>
      </c>
    </row>
    <row r="537" customHeight="1" spans="1:15">
      <c r="A537" s="45" t="s">
        <v>637</v>
      </c>
      <c r="B537" s="96">
        <v>45107</v>
      </c>
      <c r="C537" s="45" t="s">
        <v>646</v>
      </c>
      <c r="D537" s="45" t="s">
        <v>639</v>
      </c>
      <c r="E537" s="45" t="s">
        <v>647</v>
      </c>
      <c r="F537" s="45" t="s">
        <v>641</v>
      </c>
      <c r="G537" s="45" t="s">
        <v>648</v>
      </c>
      <c r="H537" s="45" t="s">
        <v>643</v>
      </c>
      <c r="I537" s="45" t="s">
        <v>430</v>
      </c>
      <c r="J537" s="45" t="s">
        <v>644</v>
      </c>
      <c r="K537" s="45" t="s">
        <v>14</v>
      </c>
      <c r="L537" s="97">
        <v>180227.23</v>
      </c>
      <c r="M537" s="97">
        <v>170025.7</v>
      </c>
      <c r="N537" s="97">
        <v>10201.53</v>
      </c>
      <c r="O537" s="45" t="s">
        <v>1260</v>
      </c>
    </row>
    <row r="538" customHeight="1" spans="1:15">
      <c r="A538" s="45" t="s">
        <v>637</v>
      </c>
      <c r="B538" s="96">
        <v>45107</v>
      </c>
      <c r="C538" s="45" t="s">
        <v>646</v>
      </c>
      <c r="D538" s="45" t="s">
        <v>639</v>
      </c>
      <c r="E538" s="45" t="s">
        <v>647</v>
      </c>
      <c r="F538" s="45" t="s">
        <v>641</v>
      </c>
      <c r="G538" s="45" t="s">
        <v>642</v>
      </c>
      <c r="H538" s="45" t="s">
        <v>650</v>
      </c>
      <c r="I538" s="45" t="s">
        <v>430</v>
      </c>
      <c r="J538" s="45" t="s">
        <v>644</v>
      </c>
      <c r="K538" s="45" t="s">
        <v>14</v>
      </c>
      <c r="L538" s="97">
        <v>1241570.18</v>
      </c>
      <c r="M538" s="97">
        <v>1171292.59</v>
      </c>
      <c r="N538" s="97">
        <v>70277.59</v>
      </c>
      <c r="O538" s="45" t="s">
        <v>1261</v>
      </c>
    </row>
    <row r="539" customHeight="1" spans="1:15">
      <c r="A539" s="45" t="s">
        <v>637</v>
      </c>
      <c r="B539" s="96">
        <v>45107</v>
      </c>
      <c r="C539" s="45" t="s">
        <v>646</v>
      </c>
      <c r="D539" s="45" t="s">
        <v>639</v>
      </c>
      <c r="E539" s="45" t="s">
        <v>647</v>
      </c>
      <c r="F539" s="45" t="s">
        <v>641</v>
      </c>
      <c r="G539" s="45" t="s">
        <v>648</v>
      </c>
      <c r="H539" s="45" t="s">
        <v>697</v>
      </c>
      <c r="I539" s="45" t="s">
        <v>430</v>
      </c>
      <c r="J539" s="45" t="s">
        <v>644</v>
      </c>
      <c r="K539" s="45" t="s">
        <v>14</v>
      </c>
      <c r="L539" s="97">
        <v>30725.03</v>
      </c>
      <c r="M539" s="97">
        <v>28985.88</v>
      </c>
      <c r="N539" s="97">
        <v>1739.15</v>
      </c>
      <c r="O539" s="45" t="s">
        <v>1262</v>
      </c>
    </row>
    <row r="540" customHeight="1" spans="1:15">
      <c r="A540" s="45" t="s">
        <v>637</v>
      </c>
      <c r="B540" s="96">
        <v>45107</v>
      </c>
      <c r="C540" s="45" t="s">
        <v>646</v>
      </c>
      <c r="D540" s="45" t="s">
        <v>639</v>
      </c>
      <c r="E540" s="45" t="s">
        <v>647</v>
      </c>
      <c r="F540" s="45" t="s">
        <v>689</v>
      </c>
      <c r="G540" s="45" t="s">
        <v>654</v>
      </c>
      <c r="H540" s="45" t="s">
        <v>697</v>
      </c>
      <c r="I540" s="45" t="s">
        <v>658</v>
      </c>
      <c r="J540" s="45" t="s">
        <v>656</v>
      </c>
      <c r="K540" s="45" t="s">
        <v>350</v>
      </c>
      <c r="L540" s="97">
        <v>858109</v>
      </c>
      <c r="M540" s="97">
        <v>809536.79</v>
      </c>
      <c r="N540" s="97">
        <v>48572.21</v>
      </c>
      <c r="O540" s="45" t="s">
        <v>1263</v>
      </c>
    </row>
    <row r="541" customHeight="1" spans="1:15">
      <c r="A541" s="45" t="s">
        <v>637</v>
      </c>
      <c r="B541" s="96">
        <v>45107</v>
      </c>
      <c r="C541" s="45" t="s">
        <v>992</v>
      </c>
      <c r="D541" s="45" t="s">
        <v>639</v>
      </c>
      <c r="E541" s="45" t="s">
        <v>647</v>
      </c>
      <c r="F541" s="45" t="s">
        <v>641</v>
      </c>
      <c r="G541" s="45" t="s">
        <v>648</v>
      </c>
      <c r="H541" s="45" t="s">
        <v>643</v>
      </c>
      <c r="I541" s="45" t="s">
        <v>430</v>
      </c>
      <c r="J541" s="45" t="s">
        <v>644</v>
      </c>
      <c r="K541" s="45" t="s">
        <v>14</v>
      </c>
      <c r="L541" s="97">
        <v>209689.31</v>
      </c>
      <c r="M541" s="97">
        <v>197820.08</v>
      </c>
      <c r="N541" s="97">
        <v>11869.23</v>
      </c>
      <c r="O541" s="45" t="s">
        <v>1264</v>
      </c>
    </row>
    <row r="542" customHeight="1" spans="1:15">
      <c r="A542" s="45" t="s">
        <v>637</v>
      </c>
      <c r="B542" s="96">
        <v>45107</v>
      </c>
      <c r="C542" s="45" t="s">
        <v>811</v>
      </c>
      <c r="D542" s="45" t="s">
        <v>726</v>
      </c>
      <c r="E542" s="45" t="s">
        <v>647</v>
      </c>
      <c r="F542" s="45" t="s">
        <v>641</v>
      </c>
      <c r="G542" s="45" t="s">
        <v>648</v>
      </c>
      <c r="H542" s="45" t="s">
        <v>643</v>
      </c>
      <c r="I542" s="45" t="s">
        <v>430</v>
      </c>
      <c r="J542" s="45" t="s">
        <v>644</v>
      </c>
      <c r="K542" s="45" t="s">
        <v>14</v>
      </c>
      <c r="L542" s="97">
        <v>303656.13</v>
      </c>
      <c r="M542" s="97">
        <v>286468.01</v>
      </c>
      <c r="N542" s="97">
        <v>17188.12</v>
      </c>
      <c r="O542" s="45" t="s">
        <v>1265</v>
      </c>
    </row>
    <row r="543" customHeight="1" spans="1:15">
      <c r="A543" s="45" t="s">
        <v>637</v>
      </c>
      <c r="B543" s="96">
        <v>45107</v>
      </c>
      <c r="C543" s="45" t="s">
        <v>811</v>
      </c>
      <c r="D543" s="45" t="s">
        <v>740</v>
      </c>
      <c r="E543" s="45" t="s">
        <v>647</v>
      </c>
      <c r="F543" s="45" t="s">
        <v>641</v>
      </c>
      <c r="G543" s="45" t="s">
        <v>648</v>
      </c>
      <c r="H543" s="45" t="s">
        <v>643</v>
      </c>
      <c r="I543" s="45" t="s">
        <v>430</v>
      </c>
      <c r="J543" s="45" t="s">
        <v>644</v>
      </c>
      <c r="K543" s="45" t="s">
        <v>14</v>
      </c>
      <c r="L543" s="97">
        <v>101941.28</v>
      </c>
      <c r="M543" s="97">
        <v>96170.99</v>
      </c>
      <c r="N543" s="97">
        <v>5770.29</v>
      </c>
      <c r="O543" s="45" t="s">
        <v>1266</v>
      </c>
    </row>
    <row r="544" customHeight="1" spans="1:15">
      <c r="A544" s="45" t="s">
        <v>637</v>
      </c>
      <c r="B544" s="96">
        <v>45107</v>
      </c>
      <c r="C544" s="45" t="s">
        <v>700</v>
      </c>
      <c r="D544" s="45" t="s">
        <v>639</v>
      </c>
      <c r="E544" s="45" t="s">
        <v>647</v>
      </c>
      <c r="F544" s="45" t="s">
        <v>641</v>
      </c>
      <c r="G544" s="45" t="s">
        <v>648</v>
      </c>
      <c r="H544" s="45" t="s">
        <v>643</v>
      </c>
      <c r="I544" s="45" t="s">
        <v>430</v>
      </c>
      <c r="J544" s="45" t="s">
        <v>644</v>
      </c>
      <c r="K544" s="45" t="s">
        <v>14</v>
      </c>
      <c r="L544" s="97">
        <v>803872.57</v>
      </c>
      <c r="M544" s="97">
        <v>758370.36</v>
      </c>
      <c r="N544" s="97">
        <v>45502.21</v>
      </c>
      <c r="O544" s="45" t="s">
        <v>1267</v>
      </c>
    </row>
    <row r="545" customHeight="1" spans="1:15">
      <c r="A545" s="45" t="s">
        <v>637</v>
      </c>
      <c r="B545" s="96">
        <v>45107</v>
      </c>
      <c r="C545" s="45" t="s">
        <v>700</v>
      </c>
      <c r="D545" s="45" t="s">
        <v>639</v>
      </c>
      <c r="E545" s="45" t="s">
        <v>647</v>
      </c>
      <c r="F545" s="45" t="s">
        <v>659</v>
      </c>
      <c r="G545" s="45" t="s">
        <v>642</v>
      </c>
      <c r="H545" s="45" t="s">
        <v>650</v>
      </c>
      <c r="I545" s="45" t="s">
        <v>442</v>
      </c>
      <c r="J545" s="45" t="s">
        <v>644</v>
      </c>
      <c r="K545" s="45" t="s">
        <v>14</v>
      </c>
      <c r="L545" s="97">
        <v>212276.84</v>
      </c>
      <c r="M545" s="97">
        <v>200261.17</v>
      </c>
      <c r="N545" s="97">
        <v>12015.67</v>
      </c>
      <c r="O545" s="45" t="s">
        <v>1268</v>
      </c>
    </row>
    <row r="546" customHeight="1" spans="1:15">
      <c r="A546" s="45" t="s">
        <v>637</v>
      </c>
      <c r="B546" s="96">
        <v>45107</v>
      </c>
      <c r="C546" s="45" t="s">
        <v>700</v>
      </c>
      <c r="D546" s="45" t="s">
        <v>639</v>
      </c>
      <c r="E546" s="45" t="s">
        <v>640</v>
      </c>
      <c r="F546" s="45" t="s">
        <v>659</v>
      </c>
      <c r="G546" s="45" t="s">
        <v>642</v>
      </c>
      <c r="H546" s="45" t="s">
        <v>650</v>
      </c>
      <c r="I546" s="45" t="s">
        <v>442</v>
      </c>
      <c r="J546" s="45" t="s">
        <v>644</v>
      </c>
      <c r="K546" s="45" t="s">
        <v>14</v>
      </c>
      <c r="L546" s="97">
        <v>22918.92</v>
      </c>
      <c r="M546" s="97">
        <v>21621.62</v>
      </c>
      <c r="N546" s="97">
        <v>1297.3</v>
      </c>
      <c r="O546" s="45" t="s">
        <v>1269</v>
      </c>
    </row>
    <row r="547" customHeight="1" spans="1:15">
      <c r="A547" s="45" t="s">
        <v>637</v>
      </c>
      <c r="B547" s="96">
        <v>45107</v>
      </c>
      <c r="C547" s="45" t="s">
        <v>700</v>
      </c>
      <c r="D547" s="45" t="s">
        <v>639</v>
      </c>
      <c r="E547" s="45" t="s">
        <v>647</v>
      </c>
      <c r="F547" s="45" t="s">
        <v>641</v>
      </c>
      <c r="G547" s="45" t="s">
        <v>648</v>
      </c>
      <c r="H547" s="45" t="s">
        <v>643</v>
      </c>
      <c r="I547" s="45" t="s">
        <v>442</v>
      </c>
      <c r="J547" s="45" t="s">
        <v>644</v>
      </c>
      <c r="K547" s="45" t="s">
        <v>14</v>
      </c>
      <c r="L547" s="97">
        <v>1097244</v>
      </c>
      <c r="M547" s="97">
        <v>1035135.83</v>
      </c>
      <c r="N547" s="97">
        <v>62108.17</v>
      </c>
      <c r="O547" s="45" t="s">
        <v>1270</v>
      </c>
    </row>
    <row r="548" customHeight="1" spans="1:15">
      <c r="A548" s="45" t="s">
        <v>637</v>
      </c>
      <c r="B548" s="96">
        <v>45107</v>
      </c>
      <c r="C548" s="45" t="s">
        <v>700</v>
      </c>
      <c r="D548" s="45" t="s">
        <v>639</v>
      </c>
      <c r="E548" s="45" t="s">
        <v>640</v>
      </c>
      <c r="F548" s="45" t="s">
        <v>641</v>
      </c>
      <c r="G548" s="45" t="s">
        <v>648</v>
      </c>
      <c r="H548" s="45" t="s">
        <v>650</v>
      </c>
      <c r="I548" s="45" t="s">
        <v>442</v>
      </c>
      <c r="J548" s="45" t="s">
        <v>644</v>
      </c>
      <c r="K548" s="45" t="s">
        <v>14</v>
      </c>
      <c r="L548" s="97">
        <v>88163.29</v>
      </c>
      <c r="M548" s="97">
        <v>83172.92</v>
      </c>
      <c r="N548" s="97">
        <v>4990.37</v>
      </c>
      <c r="O548" s="45" t="s">
        <v>1271</v>
      </c>
    </row>
    <row r="549" customHeight="1" spans="1:15">
      <c r="A549" s="45" t="s">
        <v>637</v>
      </c>
      <c r="B549" s="96">
        <v>45107</v>
      </c>
      <c r="C549" s="45" t="s">
        <v>700</v>
      </c>
      <c r="D549" s="45" t="s">
        <v>639</v>
      </c>
      <c r="E549" s="45" t="s">
        <v>647</v>
      </c>
      <c r="F549" s="45" t="s">
        <v>641</v>
      </c>
      <c r="G549" s="45" t="s">
        <v>648</v>
      </c>
      <c r="H549" s="45" t="s">
        <v>650</v>
      </c>
      <c r="I549" s="45" t="s">
        <v>460</v>
      </c>
      <c r="J549" s="45" t="s">
        <v>644</v>
      </c>
      <c r="K549" s="45" t="s">
        <v>14</v>
      </c>
      <c r="L549" s="97">
        <v>354661.24</v>
      </c>
      <c r="M549" s="97">
        <v>334586.07</v>
      </c>
      <c r="N549" s="97">
        <v>20075.17</v>
      </c>
      <c r="O549" s="45" t="s">
        <v>1272</v>
      </c>
    </row>
    <row r="550" customHeight="1" spans="1:15">
      <c r="A550" s="45" t="s">
        <v>637</v>
      </c>
      <c r="B550" s="96">
        <v>45107</v>
      </c>
      <c r="C550" s="45" t="s">
        <v>1273</v>
      </c>
      <c r="D550" s="45" t="s">
        <v>653</v>
      </c>
      <c r="E550" s="45" t="s">
        <v>640</v>
      </c>
      <c r="F550" s="45" t="s">
        <v>641</v>
      </c>
      <c r="G550" s="45" t="s">
        <v>648</v>
      </c>
      <c r="H550" s="45" t="s">
        <v>650</v>
      </c>
      <c r="I550" s="45" t="s">
        <v>429</v>
      </c>
      <c r="J550" s="45" t="s">
        <v>656</v>
      </c>
      <c r="K550" s="45" t="s">
        <v>166</v>
      </c>
      <c r="L550" s="97">
        <v>169962</v>
      </c>
      <c r="M550" s="97">
        <v>160341.51</v>
      </c>
      <c r="N550" s="97">
        <v>9620.49</v>
      </c>
      <c r="O550" s="45" t="s">
        <v>1274</v>
      </c>
    </row>
    <row r="551" customHeight="1" spans="1:15">
      <c r="A551" s="45" t="s">
        <v>637</v>
      </c>
      <c r="B551" s="96">
        <v>45107</v>
      </c>
      <c r="C551" s="45" t="s">
        <v>748</v>
      </c>
      <c r="D551" s="45" t="s">
        <v>639</v>
      </c>
      <c r="E551" s="45" t="s">
        <v>640</v>
      </c>
      <c r="F551" s="45" t="s">
        <v>641</v>
      </c>
      <c r="G551" s="45" t="s">
        <v>648</v>
      </c>
      <c r="H551" s="45" t="s">
        <v>650</v>
      </c>
      <c r="I551" s="45" t="s">
        <v>676</v>
      </c>
      <c r="J551" s="45" t="s">
        <v>644</v>
      </c>
      <c r="K551" s="45" t="s">
        <v>350</v>
      </c>
      <c r="L551" s="97">
        <v>74850.64</v>
      </c>
      <c r="M551" s="97">
        <v>70613.81</v>
      </c>
      <c r="N551" s="97">
        <v>4236.83</v>
      </c>
      <c r="O551" s="45" t="s">
        <v>1275</v>
      </c>
    </row>
    <row r="552" customHeight="1" spans="1:15">
      <c r="A552" s="37" t="s">
        <v>637</v>
      </c>
      <c r="B552" s="38">
        <v>45138</v>
      </c>
      <c r="C552" s="37" t="s">
        <v>646</v>
      </c>
      <c r="D552" s="37" t="s">
        <v>639</v>
      </c>
      <c r="E552" s="37" t="s">
        <v>640</v>
      </c>
      <c r="F552" s="37" t="s">
        <v>641</v>
      </c>
      <c r="G552" s="37" t="s">
        <v>642</v>
      </c>
      <c r="H552" s="37" t="s">
        <v>650</v>
      </c>
      <c r="I552" s="37" t="s">
        <v>678</v>
      </c>
      <c r="J552" s="37" t="s">
        <v>656</v>
      </c>
      <c r="K552" s="37" t="s">
        <v>350</v>
      </c>
      <c r="L552" s="47">
        <v>1100</v>
      </c>
      <c r="M552" s="47">
        <v>1037.74</v>
      </c>
      <c r="N552" s="47">
        <v>62.26</v>
      </c>
      <c r="O552" s="37" t="s">
        <v>1276</v>
      </c>
    </row>
    <row r="553" customHeight="1" spans="1:15">
      <c r="A553" s="37" t="s">
        <v>637</v>
      </c>
      <c r="B553" s="38">
        <v>45138</v>
      </c>
      <c r="C553" s="37" t="s">
        <v>646</v>
      </c>
      <c r="D553" s="37" t="s">
        <v>639</v>
      </c>
      <c r="E553" s="37" t="s">
        <v>640</v>
      </c>
      <c r="F553" s="37" t="s">
        <v>641</v>
      </c>
      <c r="G553" s="37" t="s">
        <v>648</v>
      </c>
      <c r="H553" s="37" t="s">
        <v>643</v>
      </c>
      <c r="I553" s="37" t="s">
        <v>430</v>
      </c>
      <c r="J553" s="37" t="s">
        <v>644</v>
      </c>
      <c r="K553" s="37" t="s">
        <v>14</v>
      </c>
      <c r="L553" s="47">
        <v>14519.62</v>
      </c>
      <c r="M553" s="47">
        <v>13697.75</v>
      </c>
      <c r="N553" s="47">
        <v>821.87</v>
      </c>
      <c r="O553" s="37" t="s">
        <v>1277</v>
      </c>
    </row>
    <row r="554" customHeight="1" spans="1:15">
      <c r="A554" s="37" t="s">
        <v>637</v>
      </c>
      <c r="B554" s="38">
        <v>45138</v>
      </c>
      <c r="C554" s="37" t="s">
        <v>646</v>
      </c>
      <c r="D554" s="37" t="s">
        <v>639</v>
      </c>
      <c r="E554" s="37" t="s">
        <v>640</v>
      </c>
      <c r="F554" s="37" t="s">
        <v>689</v>
      </c>
      <c r="G554" s="37" t="s">
        <v>648</v>
      </c>
      <c r="H554" s="37" t="s">
        <v>650</v>
      </c>
      <c r="I554" s="37" t="s">
        <v>690</v>
      </c>
      <c r="J554" s="37" t="s">
        <v>656</v>
      </c>
      <c r="K554" s="37" t="s">
        <v>165</v>
      </c>
      <c r="L554" s="47">
        <v>6745</v>
      </c>
      <c r="M554" s="47">
        <v>6363.21</v>
      </c>
      <c r="N554" s="47">
        <v>381.79</v>
      </c>
      <c r="O554" s="37" t="s">
        <v>1278</v>
      </c>
    </row>
    <row r="555" customHeight="1" spans="1:15">
      <c r="A555" s="37" t="s">
        <v>637</v>
      </c>
      <c r="B555" s="38">
        <v>45138</v>
      </c>
      <c r="C555" s="37" t="s">
        <v>646</v>
      </c>
      <c r="D555" s="37" t="s">
        <v>639</v>
      </c>
      <c r="E555" s="37" t="s">
        <v>640</v>
      </c>
      <c r="F555" s="37" t="s">
        <v>641</v>
      </c>
      <c r="G555" s="37" t="s">
        <v>642</v>
      </c>
      <c r="H555" s="37" t="s">
        <v>643</v>
      </c>
      <c r="I555" s="37" t="s">
        <v>430</v>
      </c>
      <c r="J555" s="37" t="s">
        <v>644</v>
      </c>
      <c r="K555" s="37" t="s">
        <v>14</v>
      </c>
      <c r="L555" s="47">
        <v>29813.33</v>
      </c>
      <c r="M555" s="47">
        <v>28125.78</v>
      </c>
      <c r="N555" s="47">
        <v>1687.55</v>
      </c>
      <c r="O555" s="37" t="s">
        <v>1279</v>
      </c>
    </row>
    <row r="556" customHeight="1" spans="1:15">
      <c r="A556" s="37" t="s">
        <v>637</v>
      </c>
      <c r="B556" s="38">
        <v>45138</v>
      </c>
      <c r="C556" s="37" t="s">
        <v>646</v>
      </c>
      <c r="D556" s="37" t="s">
        <v>653</v>
      </c>
      <c r="E556" s="37" t="s">
        <v>640</v>
      </c>
      <c r="F556" s="37" t="s">
        <v>641</v>
      </c>
      <c r="G556" s="37" t="s">
        <v>648</v>
      </c>
      <c r="H556" s="37" t="s">
        <v>697</v>
      </c>
      <c r="I556" s="37" t="s">
        <v>462</v>
      </c>
      <c r="J556" s="37" t="s">
        <v>656</v>
      </c>
      <c r="K556" s="37" t="s">
        <v>166</v>
      </c>
      <c r="L556" s="47">
        <v>98347.69</v>
      </c>
      <c r="M556" s="47">
        <v>92780.84</v>
      </c>
      <c r="N556" s="47">
        <v>5566.85</v>
      </c>
      <c r="O556" s="37" t="s">
        <v>1280</v>
      </c>
    </row>
    <row r="557" customHeight="1" spans="1:15">
      <c r="A557" s="37" t="s">
        <v>637</v>
      </c>
      <c r="B557" s="38">
        <v>45138</v>
      </c>
      <c r="C557" s="37" t="s">
        <v>646</v>
      </c>
      <c r="D557" s="37" t="s">
        <v>653</v>
      </c>
      <c r="E557" s="37" t="s">
        <v>640</v>
      </c>
      <c r="F557" s="37" t="s">
        <v>659</v>
      </c>
      <c r="G557" s="37" t="s">
        <v>648</v>
      </c>
      <c r="H557" s="37" t="s">
        <v>650</v>
      </c>
      <c r="I557" s="37" t="s">
        <v>462</v>
      </c>
      <c r="J557" s="37" t="s">
        <v>656</v>
      </c>
      <c r="K557" s="37" t="s">
        <v>166</v>
      </c>
      <c r="L557" s="47">
        <v>142545.54</v>
      </c>
      <c r="M557" s="47">
        <v>134476.92</v>
      </c>
      <c r="N557" s="47">
        <v>8068.62</v>
      </c>
      <c r="O557" s="37" t="s">
        <v>1281</v>
      </c>
    </row>
    <row r="558" customHeight="1" spans="1:15">
      <c r="A558" s="37" t="s">
        <v>637</v>
      </c>
      <c r="B558" s="38">
        <v>45138</v>
      </c>
      <c r="C558" s="37" t="s">
        <v>646</v>
      </c>
      <c r="D558" s="37" t="s">
        <v>653</v>
      </c>
      <c r="E558" s="37" t="s">
        <v>640</v>
      </c>
      <c r="F558" s="37" t="s">
        <v>659</v>
      </c>
      <c r="G558" s="37" t="s">
        <v>648</v>
      </c>
      <c r="H558" s="37" t="s">
        <v>650</v>
      </c>
      <c r="I558" s="37" t="s">
        <v>462</v>
      </c>
      <c r="J558" s="37" t="s">
        <v>656</v>
      </c>
      <c r="K558" s="37" t="s">
        <v>166</v>
      </c>
      <c r="L558" s="47">
        <v>393390.75</v>
      </c>
      <c r="M558" s="47">
        <v>371123.35</v>
      </c>
      <c r="N558" s="47">
        <v>22267.4</v>
      </c>
      <c r="O558" s="37" t="s">
        <v>1282</v>
      </c>
    </row>
    <row r="559" customHeight="1" spans="1:15">
      <c r="A559" s="37" t="s">
        <v>637</v>
      </c>
      <c r="B559" s="38">
        <v>45138</v>
      </c>
      <c r="C559" s="37" t="s">
        <v>646</v>
      </c>
      <c r="D559" s="37" t="s">
        <v>639</v>
      </c>
      <c r="E559" s="37" t="s">
        <v>647</v>
      </c>
      <c r="F559" s="37" t="s">
        <v>641</v>
      </c>
      <c r="G559" s="37" t="s">
        <v>642</v>
      </c>
      <c r="H559" s="37" t="s">
        <v>650</v>
      </c>
      <c r="I559" s="37" t="s">
        <v>678</v>
      </c>
      <c r="J559" s="37" t="s">
        <v>656</v>
      </c>
      <c r="K559" s="37" t="s">
        <v>350</v>
      </c>
      <c r="L559" s="47">
        <v>1116</v>
      </c>
      <c r="M559" s="47">
        <v>1052.8</v>
      </c>
      <c r="N559" s="47">
        <v>63.2</v>
      </c>
      <c r="O559" s="37" t="s">
        <v>1283</v>
      </c>
    </row>
    <row r="560" customHeight="1" spans="1:15">
      <c r="A560" s="37" t="s">
        <v>637</v>
      </c>
      <c r="B560" s="38">
        <v>45138</v>
      </c>
      <c r="C560" s="37" t="s">
        <v>811</v>
      </c>
      <c r="D560" s="37" t="s">
        <v>1284</v>
      </c>
      <c r="E560" s="37" t="s">
        <v>647</v>
      </c>
      <c r="F560" s="37" t="s">
        <v>641</v>
      </c>
      <c r="G560" s="37" t="s">
        <v>648</v>
      </c>
      <c r="H560" s="37" t="s">
        <v>643</v>
      </c>
      <c r="I560" s="37" t="s">
        <v>430</v>
      </c>
      <c r="J560" s="37" t="s">
        <v>644</v>
      </c>
      <c r="K560" s="37" t="s">
        <v>14</v>
      </c>
      <c r="L560" s="47">
        <v>60.07</v>
      </c>
      <c r="M560" s="47">
        <v>56.66</v>
      </c>
      <c r="N560" s="47">
        <v>3.41</v>
      </c>
      <c r="O560" s="37" t="s">
        <v>1285</v>
      </c>
    </row>
    <row r="561" customHeight="1" spans="1:15">
      <c r="A561" s="37" t="s">
        <v>637</v>
      </c>
      <c r="B561" s="38">
        <v>45138</v>
      </c>
      <c r="C561" s="37" t="s">
        <v>646</v>
      </c>
      <c r="D561" s="37" t="s">
        <v>639</v>
      </c>
      <c r="E561" s="37" t="s">
        <v>647</v>
      </c>
      <c r="F561" s="37" t="s">
        <v>641</v>
      </c>
      <c r="G561" s="37" t="s">
        <v>654</v>
      </c>
      <c r="H561" s="37" t="s">
        <v>643</v>
      </c>
      <c r="I561" s="37" t="s">
        <v>661</v>
      </c>
      <c r="J561" s="37" t="s">
        <v>656</v>
      </c>
      <c r="K561" s="37" t="s">
        <v>350</v>
      </c>
      <c r="L561" s="47">
        <v>306</v>
      </c>
      <c r="M561" s="47">
        <v>288.68</v>
      </c>
      <c r="N561" s="47">
        <v>17.32</v>
      </c>
      <c r="O561" s="37" t="s">
        <v>1286</v>
      </c>
    </row>
    <row r="562" customHeight="1" spans="1:15">
      <c r="A562" s="37" t="s">
        <v>637</v>
      </c>
      <c r="B562" s="38">
        <v>45138</v>
      </c>
      <c r="C562" s="37" t="s">
        <v>646</v>
      </c>
      <c r="D562" s="37" t="s">
        <v>639</v>
      </c>
      <c r="E562" s="37" t="s">
        <v>647</v>
      </c>
      <c r="F562" s="37" t="s">
        <v>689</v>
      </c>
      <c r="G562" s="37" t="s">
        <v>654</v>
      </c>
      <c r="H562" s="37" t="s">
        <v>697</v>
      </c>
      <c r="I562" s="37" t="s">
        <v>658</v>
      </c>
      <c r="J562" s="37" t="s">
        <v>656</v>
      </c>
      <c r="K562" s="37" t="s">
        <v>350</v>
      </c>
      <c r="L562" s="47">
        <v>60000</v>
      </c>
      <c r="M562" s="47">
        <v>56603.76</v>
      </c>
      <c r="N562" s="47">
        <v>3396.24</v>
      </c>
      <c r="O562" s="37" t="s">
        <v>1287</v>
      </c>
    </row>
    <row r="563" customHeight="1" spans="1:15">
      <c r="A563" s="37" t="s">
        <v>637</v>
      </c>
      <c r="B563" s="38">
        <v>45138</v>
      </c>
      <c r="C563" s="37" t="s">
        <v>646</v>
      </c>
      <c r="D563" s="37" t="s">
        <v>639</v>
      </c>
      <c r="E563" s="37" t="s">
        <v>640</v>
      </c>
      <c r="F563" s="37" t="s">
        <v>641</v>
      </c>
      <c r="G563" s="37" t="s">
        <v>648</v>
      </c>
      <c r="H563" s="37" t="s">
        <v>650</v>
      </c>
      <c r="I563" s="37" t="s">
        <v>686</v>
      </c>
      <c r="J563" s="37" t="s">
        <v>656</v>
      </c>
      <c r="K563" s="37" t="s">
        <v>14</v>
      </c>
      <c r="L563" s="47">
        <v>-4996.95</v>
      </c>
      <c r="M563" s="47">
        <v>-4714.1</v>
      </c>
      <c r="N563" s="47">
        <v>-282.85</v>
      </c>
      <c r="O563" s="37" t="s">
        <v>1288</v>
      </c>
    </row>
    <row r="564" customHeight="1" spans="1:15">
      <c r="A564" s="37" t="s">
        <v>637</v>
      </c>
      <c r="B564" s="38">
        <v>45138</v>
      </c>
      <c r="C564" s="37" t="s">
        <v>811</v>
      </c>
      <c r="D564" s="37" t="s">
        <v>639</v>
      </c>
      <c r="E564" s="37" t="s">
        <v>647</v>
      </c>
      <c r="F564" s="37" t="s">
        <v>641</v>
      </c>
      <c r="G564" s="37" t="s">
        <v>642</v>
      </c>
      <c r="H564" s="37" t="s">
        <v>650</v>
      </c>
      <c r="I564" s="37" t="s">
        <v>430</v>
      </c>
      <c r="J564" s="37" t="s">
        <v>644</v>
      </c>
      <c r="K564" s="37" t="s">
        <v>14</v>
      </c>
      <c r="L564" s="47">
        <v>35476.82</v>
      </c>
      <c r="M564" s="47">
        <v>33468.7</v>
      </c>
      <c r="N564" s="47">
        <v>2008.12</v>
      </c>
      <c r="O564" s="37" t="s">
        <v>1289</v>
      </c>
    </row>
    <row r="565" customHeight="1" spans="1:15">
      <c r="A565" s="37" t="s">
        <v>637</v>
      </c>
      <c r="B565" s="38">
        <v>45138</v>
      </c>
      <c r="C565" s="37" t="s">
        <v>646</v>
      </c>
      <c r="D565" s="37" t="s">
        <v>639</v>
      </c>
      <c r="E565" s="37" t="s">
        <v>647</v>
      </c>
      <c r="F565" s="37" t="s">
        <v>641</v>
      </c>
      <c r="G565" s="37" t="s">
        <v>648</v>
      </c>
      <c r="H565" s="37" t="s">
        <v>650</v>
      </c>
      <c r="I565" s="37" t="s">
        <v>686</v>
      </c>
      <c r="J565" s="37" t="s">
        <v>656</v>
      </c>
      <c r="K565" s="37" t="s">
        <v>14</v>
      </c>
      <c r="L565" s="47">
        <v>4996.95</v>
      </c>
      <c r="M565" s="47">
        <v>4714.1</v>
      </c>
      <c r="N565" s="47">
        <v>282.85</v>
      </c>
      <c r="O565" s="37" t="s">
        <v>1290</v>
      </c>
    </row>
    <row r="566" customHeight="1" spans="1:15">
      <c r="A566" s="37" t="s">
        <v>637</v>
      </c>
      <c r="B566" s="38">
        <v>45138</v>
      </c>
      <c r="C566" s="37" t="s">
        <v>646</v>
      </c>
      <c r="D566" s="37" t="s">
        <v>639</v>
      </c>
      <c r="E566" s="37" t="s">
        <v>647</v>
      </c>
      <c r="F566" s="37" t="s">
        <v>641</v>
      </c>
      <c r="G566" s="37" t="s">
        <v>642</v>
      </c>
      <c r="H566" s="37" t="s">
        <v>650</v>
      </c>
      <c r="I566" s="37" t="s">
        <v>430</v>
      </c>
      <c r="J566" s="37" t="s">
        <v>644</v>
      </c>
      <c r="K566" s="37" t="s">
        <v>14</v>
      </c>
      <c r="L566" s="47">
        <v>2441008.31</v>
      </c>
      <c r="M566" s="47">
        <v>2302838.03</v>
      </c>
      <c r="N566" s="47">
        <v>138170.28</v>
      </c>
      <c r="O566" s="37" t="s">
        <v>1291</v>
      </c>
    </row>
    <row r="567" customHeight="1" spans="1:15">
      <c r="A567" s="37" t="s">
        <v>637</v>
      </c>
      <c r="B567" s="38">
        <v>45138</v>
      </c>
      <c r="C567" s="37" t="s">
        <v>992</v>
      </c>
      <c r="D567" s="37" t="s">
        <v>639</v>
      </c>
      <c r="E567" s="37" t="s">
        <v>647</v>
      </c>
      <c r="F567" s="37" t="s">
        <v>641</v>
      </c>
      <c r="G567" s="37" t="s">
        <v>648</v>
      </c>
      <c r="H567" s="37" t="s">
        <v>643</v>
      </c>
      <c r="I567" s="37" t="s">
        <v>430</v>
      </c>
      <c r="J567" s="37" t="s">
        <v>644</v>
      </c>
      <c r="K567" s="37" t="s">
        <v>14</v>
      </c>
      <c r="L567" s="47">
        <v>289973.6</v>
      </c>
      <c r="M567" s="47">
        <v>273560.01</v>
      </c>
      <c r="N567" s="47">
        <v>16413.59</v>
      </c>
      <c r="O567" s="37" t="s">
        <v>1292</v>
      </c>
    </row>
    <row r="568" customHeight="1" spans="1:15">
      <c r="A568" s="37" t="s">
        <v>637</v>
      </c>
      <c r="B568" s="38">
        <v>45138</v>
      </c>
      <c r="C568" s="37" t="s">
        <v>646</v>
      </c>
      <c r="D568" s="37" t="s">
        <v>639</v>
      </c>
      <c r="E568" s="37" t="s">
        <v>647</v>
      </c>
      <c r="F568" s="37" t="s">
        <v>641</v>
      </c>
      <c r="G568" s="37" t="s">
        <v>648</v>
      </c>
      <c r="H568" s="37" t="s">
        <v>643</v>
      </c>
      <c r="I568" s="37" t="s">
        <v>430</v>
      </c>
      <c r="J568" s="37" t="s">
        <v>644</v>
      </c>
      <c r="K568" s="37" t="s">
        <v>14</v>
      </c>
      <c r="L568" s="47">
        <v>208840.08</v>
      </c>
      <c r="M568" s="47">
        <v>197018.95</v>
      </c>
      <c r="N568" s="47">
        <v>11821.13</v>
      </c>
      <c r="O568" s="37" t="s">
        <v>1293</v>
      </c>
    </row>
    <row r="569" customHeight="1" spans="1:15">
      <c r="A569" s="37" t="s">
        <v>637</v>
      </c>
      <c r="B569" s="38">
        <v>45138</v>
      </c>
      <c r="C569" s="37" t="s">
        <v>811</v>
      </c>
      <c r="D569" s="37" t="s">
        <v>726</v>
      </c>
      <c r="E569" s="37" t="s">
        <v>647</v>
      </c>
      <c r="F569" s="37" t="s">
        <v>641</v>
      </c>
      <c r="G569" s="37" t="s">
        <v>648</v>
      </c>
      <c r="H569" s="37" t="s">
        <v>643</v>
      </c>
      <c r="I569" s="37" t="s">
        <v>430</v>
      </c>
      <c r="J569" s="37" t="s">
        <v>644</v>
      </c>
      <c r="K569" s="37" t="s">
        <v>14</v>
      </c>
      <c r="L569" s="47">
        <v>646895.74</v>
      </c>
      <c r="M569" s="47">
        <v>610278.97</v>
      </c>
      <c r="N569" s="47">
        <v>36616.77</v>
      </c>
      <c r="O569" s="37" t="s">
        <v>1294</v>
      </c>
    </row>
    <row r="570" customHeight="1" spans="1:15">
      <c r="A570" s="37" t="s">
        <v>637</v>
      </c>
      <c r="B570" s="38">
        <v>45138</v>
      </c>
      <c r="C570" s="37" t="s">
        <v>646</v>
      </c>
      <c r="D570" s="37" t="s">
        <v>639</v>
      </c>
      <c r="E570" s="37" t="s">
        <v>647</v>
      </c>
      <c r="F570" s="37" t="s">
        <v>641</v>
      </c>
      <c r="G570" s="37" t="s">
        <v>648</v>
      </c>
      <c r="H570" s="37" t="s">
        <v>697</v>
      </c>
      <c r="I570" s="37" t="s">
        <v>430</v>
      </c>
      <c r="J570" s="37" t="s">
        <v>644</v>
      </c>
      <c r="K570" s="37" t="s">
        <v>14</v>
      </c>
      <c r="L570" s="47">
        <v>7963.46</v>
      </c>
      <c r="M570" s="47">
        <v>7512.7</v>
      </c>
      <c r="N570" s="47">
        <v>450.76</v>
      </c>
      <c r="O570" s="37" t="s">
        <v>1295</v>
      </c>
    </row>
    <row r="571" customHeight="1" spans="1:15">
      <c r="A571" s="37" t="s">
        <v>637</v>
      </c>
      <c r="B571" s="38">
        <v>45138</v>
      </c>
      <c r="C571" s="37" t="s">
        <v>811</v>
      </c>
      <c r="D571" s="37" t="s">
        <v>1296</v>
      </c>
      <c r="E571" s="37" t="s">
        <v>647</v>
      </c>
      <c r="F571" s="37" t="s">
        <v>641</v>
      </c>
      <c r="G571" s="37" t="s">
        <v>648</v>
      </c>
      <c r="H571" s="37" t="s">
        <v>643</v>
      </c>
      <c r="I571" s="37" t="s">
        <v>430</v>
      </c>
      <c r="J571" s="37" t="s">
        <v>644</v>
      </c>
      <c r="K571" s="37" t="s">
        <v>14</v>
      </c>
      <c r="L571" s="47">
        <v>338147.98</v>
      </c>
      <c r="M571" s="47">
        <v>319007.51</v>
      </c>
      <c r="N571" s="47">
        <v>19140.47</v>
      </c>
      <c r="O571" s="37" t="s">
        <v>1297</v>
      </c>
    </row>
    <row r="572" customHeight="1" spans="1:15">
      <c r="A572" s="37" t="s">
        <v>637</v>
      </c>
      <c r="B572" s="38">
        <v>45138</v>
      </c>
      <c r="C572" s="37" t="s">
        <v>700</v>
      </c>
      <c r="D572" s="37" t="s">
        <v>639</v>
      </c>
      <c r="E572" s="37" t="s">
        <v>640</v>
      </c>
      <c r="F572" s="37" t="s">
        <v>641</v>
      </c>
      <c r="G572" s="37" t="s">
        <v>648</v>
      </c>
      <c r="H572" s="37" t="s">
        <v>643</v>
      </c>
      <c r="I572" s="37" t="s">
        <v>430</v>
      </c>
      <c r="J572" s="37" t="s">
        <v>644</v>
      </c>
      <c r="K572" s="37" t="s">
        <v>14</v>
      </c>
      <c r="L572" s="47">
        <v>-98949.17</v>
      </c>
      <c r="M572" s="47">
        <v>-93348.27</v>
      </c>
      <c r="N572" s="47">
        <v>-5600.9</v>
      </c>
      <c r="O572" s="37" t="s">
        <v>1298</v>
      </c>
    </row>
    <row r="573" customHeight="1" spans="1:15">
      <c r="A573" s="37" t="s">
        <v>637</v>
      </c>
      <c r="B573" s="38">
        <v>45138</v>
      </c>
      <c r="C573" s="37" t="s">
        <v>700</v>
      </c>
      <c r="D573" s="37" t="s">
        <v>639</v>
      </c>
      <c r="E573" s="37" t="s">
        <v>640</v>
      </c>
      <c r="F573" s="37" t="s">
        <v>659</v>
      </c>
      <c r="G573" s="37" t="s">
        <v>648</v>
      </c>
      <c r="H573" s="37" t="s">
        <v>643</v>
      </c>
      <c r="I573" s="37" t="s">
        <v>430</v>
      </c>
      <c r="J573" s="37" t="s">
        <v>644</v>
      </c>
      <c r="K573" s="37" t="s">
        <v>14</v>
      </c>
      <c r="L573" s="47">
        <v>412246</v>
      </c>
      <c r="M573" s="47">
        <v>388911.32</v>
      </c>
      <c r="N573" s="47">
        <v>23334.68</v>
      </c>
      <c r="O573" s="37" t="s">
        <v>1299</v>
      </c>
    </row>
    <row r="574" customHeight="1" spans="1:15">
      <c r="A574" s="37" t="s">
        <v>637</v>
      </c>
      <c r="B574" s="38">
        <v>45138</v>
      </c>
      <c r="C574" s="37" t="s">
        <v>700</v>
      </c>
      <c r="D574" s="37" t="s">
        <v>639</v>
      </c>
      <c r="E574" s="37" t="s">
        <v>640</v>
      </c>
      <c r="F574" s="37" t="s">
        <v>641</v>
      </c>
      <c r="G574" s="37" t="s">
        <v>648</v>
      </c>
      <c r="H574" s="37" t="s">
        <v>650</v>
      </c>
      <c r="I574" s="37" t="s">
        <v>779</v>
      </c>
      <c r="J574" s="37" t="s">
        <v>644</v>
      </c>
      <c r="K574" s="37" t="s">
        <v>14</v>
      </c>
      <c r="L574" s="47">
        <v>5822.63</v>
      </c>
      <c r="M574" s="47">
        <v>5493.05</v>
      </c>
      <c r="N574" s="47">
        <v>329.58</v>
      </c>
      <c r="O574" s="37" t="s">
        <v>1300</v>
      </c>
    </row>
    <row r="575" customHeight="1" spans="1:15">
      <c r="A575" s="37" t="s">
        <v>637</v>
      </c>
      <c r="B575" s="38">
        <v>45138</v>
      </c>
      <c r="C575" s="37" t="s">
        <v>700</v>
      </c>
      <c r="D575" s="37" t="s">
        <v>639</v>
      </c>
      <c r="E575" s="37" t="s">
        <v>640</v>
      </c>
      <c r="F575" s="37" t="s">
        <v>659</v>
      </c>
      <c r="G575" s="37" t="s">
        <v>642</v>
      </c>
      <c r="H575" s="37" t="s">
        <v>650</v>
      </c>
      <c r="I575" s="37" t="s">
        <v>442</v>
      </c>
      <c r="J575" s="37" t="s">
        <v>644</v>
      </c>
      <c r="K575" s="37" t="s">
        <v>14</v>
      </c>
      <c r="L575" s="47">
        <v>-744277.58</v>
      </c>
      <c r="M575" s="47">
        <v>-702148.66</v>
      </c>
      <c r="N575" s="47">
        <v>-42128.92</v>
      </c>
      <c r="O575" s="37" t="s">
        <v>1301</v>
      </c>
    </row>
    <row r="576" customHeight="1" spans="1:15">
      <c r="A576" s="37" t="s">
        <v>637</v>
      </c>
      <c r="B576" s="38">
        <v>45138</v>
      </c>
      <c r="C576" s="37" t="s">
        <v>700</v>
      </c>
      <c r="D576" s="37" t="s">
        <v>639</v>
      </c>
      <c r="E576" s="37" t="s">
        <v>640</v>
      </c>
      <c r="F576" s="37" t="s">
        <v>641</v>
      </c>
      <c r="G576" s="37" t="s">
        <v>648</v>
      </c>
      <c r="H576" s="37" t="s">
        <v>650</v>
      </c>
      <c r="I576" s="37" t="s">
        <v>442</v>
      </c>
      <c r="J576" s="37" t="s">
        <v>644</v>
      </c>
      <c r="K576" s="37" t="s">
        <v>14</v>
      </c>
      <c r="L576" s="47">
        <v>709724.18</v>
      </c>
      <c r="M576" s="47">
        <v>669551.11</v>
      </c>
      <c r="N576" s="47">
        <v>40173.07</v>
      </c>
      <c r="O576" s="37" t="s">
        <v>1302</v>
      </c>
    </row>
    <row r="577" customHeight="1" spans="1:15">
      <c r="A577" s="37" t="s">
        <v>637</v>
      </c>
      <c r="B577" s="38">
        <v>45138</v>
      </c>
      <c r="C577" s="37" t="s">
        <v>700</v>
      </c>
      <c r="D577" s="37" t="s">
        <v>639</v>
      </c>
      <c r="E577" s="37" t="s">
        <v>640</v>
      </c>
      <c r="F577" s="37" t="s">
        <v>641</v>
      </c>
      <c r="G577" s="37" t="s">
        <v>648</v>
      </c>
      <c r="H577" s="37" t="s">
        <v>650</v>
      </c>
      <c r="I577" s="37" t="s">
        <v>442</v>
      </c>
      <c r="J577" s="37" t="s">
        <v>644</v>
      </c>
      <c r="K577" s="37" t="s">
        <v>14</v>
      </c>
      <c r="L577" s="47">
        <v>89526.24</v>
      </c>
      <c r="M577" s="47">
        <v>84458.72</v>
      </c>
      <c r="N577" s="47">
        <v>5067.52</v>
      </c>
      <c r="O577" s="37" t="s">
        <v>1303</v>
      </c>
    </row>
    <row r="578" customHeight="1" spans="1:15">
      <c r="A578" s="37" t="s">
        <v>637</v>
      </c>
      <c r="B578" s="38">
        <v>45138</v>
      </c>
      <c r="C578" s="37" t="s">
        <v>710</v>
      </c>
      <c r="D578" s="37" t="s">
        <v>639</v>
      </c>
      <c r="E578" s="37" t="s">
        <v>647</v>
      </c>
      <c r="F578" s="37" t="s">
        <v>707</v>
      </c>
      <c r="G578" s="37" t="s">
        <v>648</v>
      </c>
      <c r="H578" s="37" t="s">
        <v>650</v>
      </c>
      <c r="I578" s="37" t="s">
        <v>723</v>
      </c>
      <c r="J578" s="37" t="s">
        <v>644</v>
      </c>
      <c r="K578" s="37" t="s">
        <v>165</v>
      </c>
      <c r="L578" s="47">
        <v>1616153</v>
      </c>
      <c r="M578" s="47">
        <v>1524672.64</v>
      </c>
      <c r="N578" s="47">
        <v>91480.36</v>
      </c>
      <c r="O578" s="37" t="s">
        <v>1304</v>
      </c>
    </row>
    <row r="579" customHeight="1" spans="1:15">
      <c r="A579" s="37" t="s">
        <v>637</v>
      </c>
      <c r="B579" s="38">
        <v>45138</v>
      </c>
      <c r="C579" s="37" t="s">
        <v>700</v>
      </c>
      <c r="D579" s="37" t="s">
        <v>639</v>
      </c>
      <c r="E579" s="37" t="s">
        <v>647</v>
      </c>
      <c r="F579" s="37" t="s">
        <v>641</v>
      </c>
      <c r="G579" s="37" t="s">
        <v>648</v>
      </c>
      <c r="H579" s="37" t="s">
        <v>643</v>
      </c>
      <c r="I579" s="37" t="s">
        <v>430</v>
      </c>
      <c r="J579" s="37" t="s">
        <v>644</v>
      </c>
      <c r="K579" s="37" t="s">
        <v>14</v>
      </c>
      <c r="L579" s="47">
        <v>633006.88</v>
      </c>
      <c r="M579" s="47">
        <v>597176.32</v>
      </c>
      <c r="N579" s="47">
        <v>35830.56</v>
      </c>
      <c r="O579" s="37" t="s">
        <v>1305</v>
      </c>
    </row>
    <row r="580" customHeight="1" spans="1:15">
      <c r="A580" s="37" t="s">
        <v>637</v>
      </c>
      <c r="B580" s="38">
        <v>45138</v>
      </c>
      <c r="C580" s="37" t="s">
        <v>700</v>
      </c>
      <c r="D580" s="37" t="s">
        <v>639</v>
      </c>
      <c r="E580" s="37" t="s">
        <v>647</v>
      </c>
      <c r="F580" s="37" t="s">
        <v>659</v>
      </c>
      <c r="G580" s="37" t="s">
        <v>642</v>
      </c>
      <c r="H580" s="37" t="s">
        <v>650</v>
      </c>
      <c r="I580" s="37" t="s">
        <v>442</v>
      </c>
      <c r="J580" s="37" t="s">
        <v>644</v>
      </c>
      <c r="K580" s="37" t="s">
        <v>14</v>
      </c>
      <c r="L580" s="47">
        <v>396641.28</v>
      </c>
      <c r="M580" s="47">
        <v>374189.9</v>
      </c>
      <c r="N580" s="47">
        <v>22451.38</v>
      </c>
      <c r="O580" s="37" t="s">
        <v>1306</v>
      </c>
    </row>
    <row r="581" customHeight="1" spans="1:15">
      <c r="A581" s="37" t="s">
        <v>637</v>
      </c>
      <c r="B581" s="38">
        <v>45138</v>
      </c>
      <c r="C581" s="37" t="s">
        <v>700</v>
      </c>
      <c r="D581" s="37" t="s">
        <v>639</v>
      </c>
      <c r="E581" s="37" t="s">
        <v>647</v>
      </c>
      <c r="F581" s="37" t="s">
        <v>641</v>
      </c>
      <c r="G581" s="37" t="s">
        <v>648</v>
      </c>
      <c r="H581" s="37" t="s">
        <v>643</v>
      </c>
      <c r="I581" s="37" t="s">
        <v>442</v>
      </c>
      <c r="J581" s="37" t="s">
        <v>644</v>
      </c>
      <c r="K581" s="37" t="s">
        <v>14</v>
      </c>
      <c r="L581" s="47">
        <v>725134.39</v>
      </c>
      <c r="M581" s="47">
        <v>684089.05</v>
      </c>
      <c r="N581" s="47">
        <v>41045.34</v>
      </c>
      <c r="O581" s="37" t="s">
        <v>1307</v>
      </c>
    </row>
    <row r="582" customHeight="1" spans="1:15">
      <c r="A582" s="37" t="s">
        <v>637</v>
      </c>
      <c r="B582" s="38">
        <v>45138</v>
      </c>
      <c r="C582" s="37" t="s">
        <v>715</v>
      </c>
      <c r="D582" s="37" t="s">
        <v>653</v>
      </c>
      <c r="E582" s="37" t="s">
        <v>647</v>
      </c>
      <c r="F582" s="37" t="s">
        <v>659</v>
      </c>
      <c r="G582" s="37" t="s">
        <v>648</v>
      </c>
      <c r="H582" s="37" t="s">
        <v>650</v>
      </c>
      <c r="I582" s="37" t="s">
        <v>716</v>
      </c>
      <c r="J582" s="37" t="s">
        <v>656</v>
      </c>
      <c r="K582" s="37" t="s">
        <v>166</v>
      </c>
      <c r="L582" s="47">
        <v>332.91</v>
      </c>
      <c r="M582" s="47">
        <v>314.01</v>
      </c>
      <c r="N582" s="47">
        <v>18.9</v>
      </c>
      <c r="O582" s="37" t="s">
        <v>1308</v>
      </c>
    </row>
    <row r="583" customHeight="1" spans="1:15">
      <c r="A583" s="37" t="s">
        <v>637</v>
      </c>
      <c r="B583" s="38">
        <v>45138</v>
      </c>
      <c r="C583" s="37" t="s">
        <v>700</v>
      </c>
      <c r="D583" s="37" t="s">
        <v>639</v>
      </c>
      <c r="E583" s="37" t="s">
        <v>647</v>
      </c>
      <c r="F583" s="37" t="s">
        <v>641</v>
      </c>
      <c r="G583" s="37" t="s">
        <v>648</v>
      </c>
      <c r="H583" s="37" t="s">
        <v>650</v>
      </c>
      <c r="I583" s="37" t="s">
        <v>460</v>
      </c>
      <c r="J583" s="37" t="s">
        <v>644</v>
      </c>
      <c r="K583" s="37" t="s">
        <v>14</v>
      </c>
      <c r="L583" s="47">
        <v>516833.89</v>
      </c>
      <c r="M583" s="47">
        <v>487579.14</v>
      </c>
      <c r="N583" s="47">
        <v>29254.75</v>
      </c>
      <c r="O583" s="37" t="s">
        <v>1309</v>
      </c>
    </row>
    <row r="584" customHeight="1" spans="1:15">
      <c r="A584" s="37" t="s">
        <v>637</v>
      </c>
      <c r="B584" s="38">
        <v>45138</v>
      </c>
      <c r="C584" s="37" t="s">
        <v>710</v>
      </c>
      <c r="D584" s="37" t="s">
        <v>639</v>
      </c>
      <c r="E584" s="37" t="s">
        <v>640</v>
      </c>
      <c r="F584" s="37" t="s">
        <v>707</v>
      </c>
      <c r="G584" s="37" t="s">
        <v>648</v>
      </c>
      <c r="H584" s="37" t="s">
        <v>650</v>
      </c>
      <c r="I584" s="37" t="s">
        <v>723</v>
      </c>
      <c r="J584" s="37" t="s">
        <v>644</v>
      </c>
      <c r="K584" s="37" t="s">
        <v>165</v>
      </c>
      <c r="L584" s="47">
        <v>-77823</v>
      </c>
      <c r="M584" s="47">
        <v>-73417.92</v>
      </c>
      <c r="N584" s="47">
        <v>-4405.08</v>
      </c>
      <c r="O584" s="37" t="s">
        <v>1310</v>
      </c>
    </row>
    <row r="585" customHeight="1" spans="1:15">
      <c r="A585" s="37" t="s">
        <v>637</v>
      </c>
      <c r="B585" s="38">
        <v>45138</v>
      </c>
      <c r="C585" s="37" t="s">
        <v>811</v>
      </c>
      <c r="D585" s="37" t="s">
        <v>639</v>
      </c>
      <c r="E585" s="37" t="s">
        <v>640</v>
      </c>
      <c r="F585" s="37" t="s">
        <v>641</v>
      </c>
      <c r="G585" s="37" t="s">
        <v>642</v>
      </c>
      <c r="H585" s="37" t="s">
        <v>643</v>
      </c>
      <c r="I585" s="37" t="s">
        <v>430</v>
      </c>
      <c r="J585" s="37" t="s">
        <v>656</v>
      </c>
      <c r="K585" s="37" t="s">
        <v>14</v>
      </c>
      <c r="L585" s="47">
        <v>95644.04</v>
      </c>
      <c r="M585" s="47">
        <v>90230.23</v>
      </c>
      <c r="N585" s="47">
        <v>5413.81</v>
      </c>
      <c r="O585" s="37" t="s">
        <v>1311</v>
      </c>
    </row>
    <row r="586" customHeight="1" spans="1:15">
      <c r="A586" s="37" t="s">
        <v>637</v>
      </c>
      <c r="B586" s="38">
        <v>45138</v>
      </c>
      <c r="C586" s="37" t="s">
        <v>730</v>
      </c>
      <c r="D586" s="37" t="s">
        <v>653</v>
      </c>
      <c r="E586" s="37" t="s">
        <v>640</v>
      </c>
      <c r="F586" s="37" t="s">
        <v>659</v>
      </c>
      <c r="G586" s="37" t="s">
        <v>654</v>
      </c>
      <c r="H586" s="37" t="s">
        <v>650</v>
      </c>
      <c r="I586" s="37" t="s">
        <v>719</v>
      </c>
      <c r="J586" s="37" t="s">
        <v>656</v>
      </c>
      <c r="K586" s="37" t="s">
        <v>166</v>
      </c>
      <c r="L586" s="47">
        <v>1482.3</v>
      </c>
      <c r="M586" s="47">
        <v>1398.4</v>
      </c>
      <c r="N586" s="47">
        <v>83.9</v>
      </c>
      <c r="O586" s="37" t="s">
        <v>1312</v>
      </c>
    </row>
    <row r="587" customHeight="1" spans="1:15">
      <c r="A587" s="37" t="s">
        <v>637</v>
      </c>
      <c r="B587" s="38">
        <v>45138</v>
      </c>
      <c r="C587" s="37" t="s">
        <v>811</v>
      </c>
      <c r="D587" s="37" t="s">
        <v>639</v>
      </c>
      <c r="E587" s="37" t="s">
        <v>640</v>
      </c>
      <c r="F587" s="37" t="s">
        <v>641</v>
      </c>
      <c r="G587" s="37" t="s">
        <v>642</v>
      </c>
      <c r="H587" s="37" t="s">
        <v>643</v>
      </c>
      <c r="I587" s="37" t="s">
        <v>430</v>
      </c>
      <c r="J587" s="37" t="s">
        <v>656</v>
      </c>
      <c r="K587" s="37" t="s">
        <v>14</v>
      </c>
      <c r="L587" s="47">
        <v>162880.2</v>
      </c>
      <c r="M587" s="47">
        <v>153660.57</v>
      </c>
      <c r="N587" s="47">
        <v>9219.63</v>
      </c>
      <c r="O587" s="37" t="s">
        <v>1313</v>
      </c>
    </row>
    <row r="588" customHeight="1" spans="1:15">
      <c r="A588" s="37" t="s">
        <v>637</v>
      </c>
      <c r="B588" s="38">
        <v>45138</v>
      </c>
      <c r="C588" s="37" t="s">
        <v>811</v>
      </c>
      <c r="D588" s="37" t="s">
        <v>639</v>
      </c>
      <c r="E588" s="37" t="s">
        <v>640</v>
      </c>
      <c r="F588" s="37" t="s">
        <v>641</v>
      </c>
      <c r="G588" s="37" t="s">
        <v>648</v>
      </c>
      <c r="H588" s="37" t="s">
        <v>643</v>
      </c>
      <c r="I588" s="37" t="s">
        <v>430</v>
      </c>
      <c r="J588" s="37" t="s">
        <v>656</v>
      </c>
      <c r="K588" s="37" t="s">
        <v>14</v>
      </c>
      <c r="L588" s="47">
        <v>-3677.74</v>
      </c>
      <c r="M588" s="47">
        <v>-3469.57</v>
      </c>
      <c r="N588" s="47">
        <v>-208.17</v>
      </c>
      <c r="O588" s="37" t="s">
        <v>1314</v>
      </c>
    </row>
    <row r="589" customHeight="1" spans="1:15">
      <c r="A589" s="37" t="s">
        <v>637</v>
      </c>
      <c r="B589" s="38">
        <v>45138</v>
      </c>
      <c r="C589" s="37" t="s">
        <v>811</v>
      </c>
      <c r="D589" s="37" t="s">
        <v>639</v>
      </c>
      <c r="E589" s="37" t="s">
        <v>640</v>
      </c>
      <c r="F589" s="37" t="s">
        <v>641</v>
      </c>
      <c r="G589" s="37" t="s">
        <v>648</v>
      </c>
      <c r="H589" s="37" t="s">
        <v>643</v>
      </c>
      <c r="I589" s="37" t="s">
        <v>430</v>
      </c>
      <c r="J589" s="37" t="s">
        <v>656</v>
      </c>
      <c r="K589" s="37" t="s">
        <v>14</v>
      </c>
      <c r="L589" s="47">
        <v>-111885.47</v>
      </c>
      <c r="M589" s="47">
        <v>-105552.33</v>
      </c>
      <c r="N589" s="47">
        <v>-6333.14</v>
      </c>
      <c r="O589" s="37" t="s">
        <v>1315</v>
      </c>
    </row>
    <row r="590" customHeight="1" spans="1:15">
      <c r="A590" s="37" t="s">
        <v>637</v>
      </c>
      <c r="B590" s="38">
        <v>45138</v>
      </c>
      <c r="C590" s="37" t="s">
        <v>748</v>
      </c>
      <c r="D590" s="37" t="s">
        <v>639</v>
      </c>
      <c r="E590" s="37" t="s">
        <v>640</v>
      </c>
      <c r="F590" s="37" t="s">
        <v>707</v>
      </c>
      <c r="G590" s="37" t="s">
        <v>648</v>
      </c>
      <c r="H590" s="37" t="s">
        <v>650</v>
      </c>
      <c r="I590" s="37" t="s">
        <v>769</v>
      </c>
      <c r="J590" s="37" t="s">
        <v>644</v>
      </c>
      <c r="K590" s="37" t="s">
        <v>14</v>
      </c>
      <c r="L590" s="47">
        <v>163881</v>
      </c>
      <c r="M590" s="47">
        <v>154604.72</v>
      </c>
      <c r="N590" s="47">
        <v>9276.28</v>
      </c>
      <c r="O590" s="37" t="s">
        <v>1316</v>
      </c>
    </row>
    <row r="591" customHeight="1" spans="1:15">
      <c r="A591" s="37" t="s">
        <v>637</v>
      </c>
      <c r="B591" s="38">
        <v>45138</v>
      </c>
      <c r="C591" s="37" t="s">
        <v>748</v>
      </c>
      <c r="D591" s="37" t="s">
        <v>639</v>
      </c>
      <c r="E591" s="37" t="s">
        <v>640</v>
      </c>
      <c r="F591" s="37" t="s">
        <v>707</v>
      </c>
      <c r="G591" s="37" t="s">
        <v>642</v>
      </c>
      <c r="H591" s="37" t="s">
        <v>650</v>
      </c>
      <c r="I591" s="37" t="s">
        <v>676</v>
      </c>
      <c r="J591" s="37" t="s">
        <v>644</v>
      </c>
      <c r="K591" s="37" t="s">
        <v>350</v>
      </c>
      <c r="L591" s="47">
        <v>-373327.58</v>
      </c>
      <c r="M591" s="47">
        <v>-352195.83</v>
      </c>
      <c r="N591" s="47">
        <v>-21131.75</v>
      </c>
      <c r="O591" s="37" t="s">
        <v>1317</v>
      </c>
    </row>
    <row r="592" customHeight="1" spans="1:15">
      <c r="A592" s="37" t="s">
        <v>637</v>
      </c>
      <c r="B592" s="38">
        <v>45138</v>
      </c>
      <c r="C592" s="37" t="s">
        <v>748</v>
      </c>
      <c r="D592" s="37" t="s">
        <v>639</v>
      </c>
      <c r="E592" s="37" t="s">
        <v>640</v>
      </c>
      <c r="F592" s="37" t="s">
        <v>707</v>
      </c>
      <c r="G592" s="37" t="s">
        <v>648</v>
      </c>
      <c r="H592" s="37" t="s">
        <v>650</v>
      </c>
      <c r="I592" s="37" t="s">
        <v>769</v>
      </c>
      <c r="J592" s="37" t="s">
        <v>644</v>
      </c>
      <c r="K592" s="37" t="s">
        <v>14</v>
      </c>
      <c r="L592" s="47">
        <v>-13034.25</v>
      </c>
      <c r="M592" s="47">
        <v>-12296.46</v>
      </c>
      <c r="N592" s="47">
        <v>-737.79</v>
      </c>
      <c r="O592" s="37" t="s">
        <v>1318</v>
      </c>
    </row>
    <row r="593" customHeight="1" spans="1:15">
      <c r="A593" s="37" t="s">
        <v>637</v>
      </c>
      <c r="B593" s="38">
        <v>45138</v>
      </c>
      <c r="C593" s="37" t="s">
        <v>748</v>
      </c>
      <c r="D593" s="37" t="s">
        <v>639</v>
      </c>
      <c r="E593" s="37" t="s">
        <v>640</v>
      </c>
      <c r="F593" s="37" t="s">
        <v>641</v>
      </c>
      <c r="G593" s="37" t="s">
        <v>642</v>
      </c>
      <c r="H593" s="37" t="s">
        <v>650</v>
      </c>
      <c r="I593" s="37" t="s">
        <v>676</v>
      </c>
      <c r="J593" s="37" t="s">
        <v>644</v>
      </c>
      <c r="K593" s="37" t="s">
        <v>350</v>
      </c>
      <c r="L593" s="47">
        <v>373327.58</v>
      </c>
      <c r="M593" s="47">
        <v>352195.83</v>
      </c>
      <c r="N593" s="47">
        <v>21131.75</v>
      </c>
      <c r="O593" s="37" t="s">
        <v>1319</v>
      </c>
    </row>
    <row r="594" customHeight="1" spans="1:15">
      <c r="A594" s="37" t="s">
        <v>637</v>
      </c>
      <c r="B594" s="38">
        <v>45138</v>
      </c>
      <c r="C594" s="37" t="s">
        <v>748</v>
      </c>
      <c r="D594" s="37" t="s">
        <v>639</v>
      </c>
      <c r="E594" s="37" t="s">
        <v>640</v>
      </c>
      <c r="F594" s="37" t="s">
        <v>641</v>
      </c>
      <c r="G594" s="37" t="s">
        <v>648</v>
      </c>
      <c r="H594" s="37" t="s">
        <v>643</v>
      </c>
      <c r="I594" s="37" t="s">
        <v>430</v>
      </c>
      <c r="J594" s="37" t="s">
        <v>644</v>
      </c>
      <c r="K594" s="37" t="s">
        <v>14</v>
      </c>
      <c r="L594" s="47">
        <v>187501.11</v>
      </c>
      <c r="M594" s="47">
        <v>176887.84</v>
      </c>
      <c r="N594" s="47">
        <v>10613.27</v>
      </c>
      <c r="O594" s="37" t="s">
        <v>1320</v>
      </c>
    </row>
    <row r="595" customHeight="1" spans="1:15">
      <c r="A595" s="37" t="s">
        <v>637</v>
      </c>
      <c r="B595" s="38">
        <v>45138</v>
      </c>
      <c r="C595" s="37" t="s">
        <v>748</v>
      </c>
      <c r="D595" s="37" t="s">
        <v>639</v>
      </c>
      <c r="E595" s="37" t="s">
        <v>640</v>
      </c>
      <c r="F595" s="37" t="s">
        <v>707</v>
      </c>
      <c r="G595" s="37" t="s">
        <v>648</v>
      </c>
      <c r="H595" s="37" t="s">
        <v>650</v>
      </c>
      <c r="I595" s="37" t="s">
        <v>754</v>
      </c>
      <c r="J595" s="37" t="s">
        <v>644</v>
      </c>
      <c r="K595" s="37" t="s">
        <v>14</v>
      </c>
      <c r="L595" s="47">
        <v>-3994.42</v>
      </c>
      <c r="M595" s="47">
        <v>-3768.32</v>
      </c>
      <c r="N595" s="47">
        <v>-226.1</v>
      </c>
      <c r="O595" s="37" t="s">
        <v>1321</v>
      </c>
    </row>
    <row r="596" customHeight="1" spans="1:15">
      <c r="A596" s="37" t="s">
        <v>637</v>
      </c>
      <c r="B596" s="38">
        <v>45138</v>
      </c>
      <c r="C596" s="37" t="s">
        <v>748</v>
      </c>
      <c r="D596" s="37" t="s">
        <v>639</v>
      </c>
      <c r="E596" s="37" t="s">
        <v>640</v>
      </c>
      <c r="F596" s="37" t="s">
        <v>641</v>
      </c>
      <c r="G596" s="37" t="s">
        <v>642</v>
      </c>
      <c r="H596" s="37" t="s">
        <v>697</v>
      </c>
      <c r="I596" s="37" t="s">
        <v>430</v>
      </c>
      <c r="J596" s="37" t="s">
        <v>644</v>
      </c>
      <c r="K596" s="37" t="s">
        <v>14</v>
      </c>
      <c r="L596" s="47">
        <v>3308.4</v>
      </c>
      <c r="M596" s="47">
        <v>3121.13</v>
      </c>
      <c r="N596" s="47">
        <v>187.27</v>
      </c>
      <c r="O596" s="37" t="s">
        <v>1322</v>
      </c>
    </row>
    <row r="597" customHeight="1" spans="1:15">
      <c r="A597" s="37" t="s">
        <v>637</v>
      </c>
      <c r="B597" s="38">
        <v>45138</v>
      </c>
      <c r="C597" s="37" t="s">
        <v>748</v>
      </c>
      <c r="D597" s="37" t="s">
        <v>639</v>
      </c>
      <c r="E597" s="37" t="s">
        <v>640</v>
      </c>
      <c r="F597" s="37" t="s">
        <v>641</v>
      </c>
      <c r="G597" s="37" t="s">
        <v>642</v>
      </c>
      <c r="H597" s="37" t="s">
        <v>643</v>
      </c>
      <c r="I597" s="37" t="s">
        <v>430</v>
      </c>
      <c r="J597" s="37" t="s">
        <v>644</v>
      </c>
      <c r="K597" s="37" t="s">
        <v>14</v>
      </c>
      <c r="L597" s="47">
        <v>-87980.11</v>
      </c>
      <c r="M597" s="47">
        <v>-83000.1</v>
      </c>
      <c r="N597" s="47">
        <v>-4980.01</v>
      </c>
      <c r="O597" s="37" t="s">
        <v>1323</v>
      </c>
    </row>
    <row r="598" customHeight="1" spans="1:15">
      <c r="A598" s="37" t="s">
        <v>637</v>
      </c>
      <c r="B598" s="38">
        <v>45138</v>
      </c>
      <c r="C598" s="37" t="s">
        <v>748</v>
      </c>
      <c r="D598" s="37" t="s">
        <v>639</v>
      </c>
      <c r="E598" s="37" t="s">
        <v>640</v>
      </c>
      <c r="F598" s="37" t="s">
        <v>641</v>
      </c>
      <c r="G598" s="37" t="s">
        <v>648</v>
      </c>
      <c r="H598" s="37" t="s">
        <v>643</v>
      </c>
      <c r="I598" s="37" t="s">
        <v>430</v>
      </c>
      <c r="J598" s="37" t="s">
        <v>644</v>
      </c>
      <c r="K598" s="37" t="s">
        <v>14</v>
      </c>
      <c r="L598" s="47">
        <v>-115204.91</v>
      </c>
      <c r="M598" s="47">
        <v>-108683.88</v>
      </c>
      <c r="N598" s="47">
        <v>-6521.03</v>
      </c>
      <c r="O598" s="37" t="s">
        <v>1324</v>
      </c>
    </row>
    <row r="599" customHeight="1" spans="1:15">
      <c r="A599" s="37" t="s">
        <v>637</v>
      </c>
      <c r="B599" s="38">
        <v>45138</v>
      </c>
      <c r="C599" s="37" t="s">
        <v>748</v>
      </c>
      <c r="D599" s="37" t="s">
        <v>682</v>
      </c>
      <c r="E599" s="37" t="s">
        <v>640</v>
      </c>
      <c r="F599" s="37" t="s">
        <v>641</v>
      </c>
      <c r="G599" s="37" t="s">
        <v>642</v>
      </c>
      <c r="H599" s="37" t="s">
        <v>650</v>
      </c>
      <c r="I599" s="37" t="s">
        <v>742</v>
      </c>
      <c r="J599" s="37" t="s">
        <v>656</v>
      </c>
      <c r="K599" s="37" t="s">
        <v>13</v>
      </c>
      <c r="L599" s="47">
        <v>10768.46</v>
      </c>
      <c r="M599" s="47">
        <v>10158.92</v>
      </c>
      <c r="N599" s="47">
        <v>609.54</v>
      </c>
      <c r="O599" s="37" t="s">
        <v>1325</v>
      </c>
    </row>
    <row r="600" customHeight="1" spans="1:15">
      <c r="A600" s="37" t="s">
        <v>637</v>
      </c>
      <c r="B600" s="38">
        <v>45138</v>
      </c>
      <c r="C600" s="37" t="s">
        <v>748</v>
      </c>
      <c r="D600" s="37" t="s">
        <v>653</v>
      </c>
      <c r="E600" s="37" t="s">
        <v>640</v>
      </c>
      <c r="F600" s="37" t="s">
        <v>659</v>
      </c>
      <c r="G600" s="37" t="s">
        <v>642</v>
      </c>
      <c r="H600" s="37" t="s">
        <v>650</v>
      </c>
      <c r="I600" s="37" t="s">
        <v>728</v>
      </c>
      <c r="J600" s="37" t="s">
        <v>656</v>
      </c>
      <c r="K600" s="37" t="s">
        <v>166</v>
      </c>
      <c r="L600" s="47">
        <v>17777.02</v>
      </c>
      <c r="M600" s="47">
        <v>16770.77</v>
      </c>
      <c r="N600" s="47">
        <v>1006.25</v>
      </c>
      <c r="O600" s="37" t="s">
        <v>1326</v>
      </c>
    </row>
    <row r="601" customHeight="1" spans="1:15">
      <c r="A601" s="37" t="s">
        <v>637</v>
      </c>
      <c r="B601" s="38">
        <v>45138</v>
      </c>
      <c r="C601" s="37" t="s">
        <v>748</v>
      </c>
      <c r="D601" s="37" t="s">
        <v>653</v>
      </c>
      <c r="E601" s="37" t="s">
        <v>640</v>
      </c>
      <c r="F601" s="37" t="s">
        <v>659</v>
      </c>
      <c r="G601" s="37" t="s">
        <v>648</v>
      </c>
      <c r="H601" s="37" t="s">
        <v>650</v>
      </c>
      <c r="I601" s="37" t="s">
        <v>728</v>
      </c>
      <c r="J601" s="37" t="s">
        <v>656</v>
      </c>
      <c r="K601" s="37" t="s">
        <v>166</v>
      </c>
      <c r="L601" s="47">
        <v>1522.64</v>
      </c>
      <c r="M601" s="47">
        <v>1436.45</v>
      </c>
      <c r="N601" s="47">
        <v>86.19</v>
      </c>
      <c r="O601" s="37" t="s">
        <v>1327</v>
      </c>
    </row>
    <row r="602" customHeight="1" spans="1:15">
      <c r="A602" s="37" t="s">
        <v>637</v>
      </c>
      <c r="B602" s="38">
        <v>45138</v>
      </c>
      <c r="C602" s="37" t="s">
        <v>748</v>
      </c>
      <c r="D602" s="37" t="s">
        <v>653</v>
      </c>
      <c r="E602" s="37" t="s">
        <v>640</v>
      </c>
      <c r="F602" s="37" t="s">
        <v>659</v>
      </c>
      <c r="G602" s="37" t="s">
        <v>642</v>
      </c>
      <c r="H602" s="37" t="s">
        <v>650</v>
      </c>
      <c r="I602" s="37" t="s">
        <v>429</v>
      </c>
      <c r="J602" s="37" t="s">
        <v>656</v>
      </c>
      <c r="K602" s="37" t="s">
        <v>166</v>
      </c>
      <c r="L602" s="47">
        <v>8045.38</v>
      </c>
      <c r="M602" s="47">
        <v>7589.98</v>
      </c>
      <c r="N602" s="47">
        <v>455.4</v>
      </c>
      <c r="O602" s="37" t="s">
        <v>1328</v>
      </c>
    </row>
    <row r="603" customHeight="1" spans="1:15">
      <c r="A603" s="37" t="s">
        <v>637</v>
      </c>
      <c r="B603" s="38">
        <v>45138</v>
      </c>
      <c r="C603" s="37" t="s">
        <v>748</v>
      </c>
      <c r="D603" s="37" t="s">
        <v>653</v>
      </c>
      <c r="E603" s="37" t="s">
        <v>640</v>
      </c>
      <c r="F603" s="37" t="s">
        <v>659</v>
      </c>
      <c r="G603" s="37" t="s">
        <v>648</v>
      </c>
      <c r="H603" s="37" t="s">
        <v>650</v>
      </c>
      <c r="I603" s="37" t="s">
        <v>429</v>
      </c>
      <c r="J603" s="37" t="s">
        <v>656</v>
      </c>
      <c r="K603" s="37" t="s">
        <v>166</v>
      </c>
      <c r="L603" s="47">
        <v>828.28</v>
      </c>
      <c r="M603" s="47">
        <v>781.4</v>
      </c>
      <c r="N603" s="47">
        <v>46.88</v>
      </c>
      <c r="O603" s="37" t="s">
        <v>1329</v>
      </c>
    </row>
    <row r="604" customHeight="1" spans="1:15">
      <c r="A604" s="37" t="s">
        <v>637</v>
      </c>
      <c r="B604" s="38">
        <v>45138</v>
      </c>
      <c r="C604" s="37" t="s">
        <v>748</v>
      </c>
      <c r="D604" s="37" t="s">
        <v>682</v>
      </c>
      <c r="E604" s="37" t="s">
        <v>640</v>
      </c>
      <c r="F604" s="37" t="s">
        <v>641</v>
      </c>
      <c r="G604" s="37" t="s">
        <v>642</v>
      </c>
      <c r="H604" s="37" t="s">
        <v>650</v>
      </c>
      <c r="I604" s="37" t="s">
        <v>747</v>
      </c>
      <c r="J604" s="37" t="s">
        <v>656</v>
      </c>
      <c r="K604" s="37" t="s">
        <v>13</v>
      </c>
      <c r="L604" s="47">
        <v>13944.99</v>
      </c>
      <c r="M604" s="47">
        <v>13155.65</v>
      </c>
      <c r="N604" s="47">
        <v>789.34</v>
      </c>
      <c r="O604" s="37" t="s">
        <v>1330</v>
      </c>
    </row>
    <row r="605" customHeight="1" spans="1:15">
      <c r="A605" s="37" t="s">
        <v>637</v>
      </c>
      <c r="B605" s="38">
        <v>45138</v>
      </c>
      <c r="C605" s="37" t="s">
        <v>748</v>
      </c>
      <c r="D605" s="37" t="s">
        <v>639</v>
      </c>
      <c r="E605" s="37" t="s">
        <v>640</v>
      </c>
      <c r="F605" s="37" t="s">
        <v>707</v>
      </c>
      <c r="G605" s="37" t="s">
        <v>642</v>
      </c>
      <c r="H605" s="37" t="s">
        <v>650</v>
      </c>
      <c r="I605" s="37" t="s">
        <v>460</v>
      </c>
      <c r="J605" s="37" t="s">
        <v>644</v>
      </c>
      <c r="K605" s="37" t="s">
        <v>14</v>
      </c>
      <c r="L605" s="47">
        <v>158.39</v>
      </c>
      <c r="M605" s="47">
        <v>149.42</v>
      </c>
      <c r="N605" s="47">
        <v>8.97</v>
      </c>
      <c r="O605" s="37" t="s">
        <v>1331</v>
      </c>
    </row>
    <row r="606" customHeight="1" spans="1:15">
      <c r="A606" s="37" t="s">
        <v>637</v>
      </c>
      <c r="B606" s="38">
        <v>45138</v>
      </c>
      <c r="C606" s="37" t="s">
        <v>748</v>
      </c>
      <c r="D606" s="37" t="s">
        <v>639</v>
      </c>
      <c r="E606" s="37" t="s">
        <v>640</v>
      </c>
      <c r="F606" s="37" t="s">
        <v>641</v>
      </c>
      <c r="G606" s="37" t="s">
        <v>648</v>
      </c>
      <c r="H606" s="37" t="s">
        <v>697</v>
      </c>
      <c r="I606" s="37" t="s">
        <v>444</v>
      </c>
      <c r="J606" s="37" t="s">
        <v>644</v>
      </c>
      <c r="K606" s="37" t="s">
        <v>14</v>
      </c>
      <c r="L606" s="47">
        <v>13714.95</v>
      </c>
      <c r="M606" s="47">
        <v>12938.63</v>
      </c>
      <c r="N606" s="47">
        <v>776.32</v>
      </c>
      <c r="O606" s="37" t="s">
        <v>1332</v>
      </c>
    </row>
    <row r="607" customHeight="1" spans="1:15">
      <c r="A607" s="37" t="s">
        <v>637</v>
      </c>
      <c r="B607" s="38">
        <v>45138</v>
      </c>
      <c r="C607" s="37" t="s">
        <v>748</v>
      </c>
      <c r="D607" s="37" t="s">
        <v>639</v>
      </c>
      <c r="E607" s="37" t="s">
        <v>640</v>
      </c>
      <c r="F607" s="37" t="s">
        <v>707</v>
      </c>
      <c r="G607" s="37" t="s">
        <v>642</v>
      </c>
      <c r="H607" s="37" t="s">
        <v>650</v>
      </c>
      <c r="I607" s="37" t="s">
        <v>429</v>
      </c>
      <c r="J607" s="37" t="s">
        <v>644</v>
      </c>
      <c r="K607" s="37" t="s">
        <v>165</v>
      </c>
      <c r="L607" s="47">
        <v>253.2</v>
      </c>
      <c r="M607" s="47">
        <v>238.87</v>
      </c>
      <c r="N607" s="47">
        <v>14.33</v>
      </c>
      <c r="O607" s="37" t="s">
        <v>1333</v>
      </c>
    </row>
    <row r="608" customHeight="1" spans="1:15">
      <c r="A608" s="37" t="s">
        <v>637</v>
      </c>
      <c r="B608" s="38">
        <v>45138</v>
      </c>
      <c r="C608" s="37" t="s">
        <v>748</v>
      </c>
      <c r="D608" s="37" t="s">
        <v>653</v>
      </c>
      <c r="E608" s="37" t="s">
        <v>640</v>
      </c>
      <c r="F608" s="37" t="s">
        <v>659</v>
      </c>
      <c r="G608" s="37" t="s">
        <v>648</v>
      </c>
      <c r="H608" s="37" t="s">
        <v>650</v>
      </c>
      <c r="I608" s="37" t="s">
        <v>728</v>
      </c>
      <c r="J608" s="37" t="s">
        <v>656</v>
      </c>
      <c r="K608" s="37" t="s">
        <v>166</v>
      </c>
      <c r="L608" s="47">
        <v>1300.64</v>
      </c>
      <c r="M608" s="47">
        <v>1227.02</v>
      </c>
      <c r="N608" s="47">
        <v>73.62</v>
      </c>
      <c r="O608" s="37" t="s">
        <v>1334</v>
      </c>
    </row>
    <row r="609" customHeight="1" spans="1:15">
      <c r="A609" s="37" t="s">
        <v>637</v>
      </c>
      <c r="B609" s="38">
        <v>45138</v>
      </c>
      <c r="C609" s="37" t="s">
        <v>748</v>
      </c>
      <c r="D609" s="37" t="s">
        <v>639</v>
      </c>
      <c r="E609" s="37" t="s">
        <v>640</v>
      </c>
      <c r="F609" s="37" t="s">
        <v>707</v>
      </c>
      <c r="G609" s="37" t="s">
        <v>648</v>
      </c>
      <c r="H609" s="37" t="s">
        <v>650</v>
      </c>
      <c r="I609" s="37" t="s">
        <v>754</v>
      </c>
      <c r="J609" s="37" t="s">
        <v>644</v>
      </c>
      <c r="K609" s="37" t="s">
        <v>14</v>
      </c>
      <c r="L609" s="47">
        <v>-659738.2</v>
      </c>
      <c r="M609" s="47">
        <v>-622394.53</v>
      </c>
      <c r="N609" s="47">
        <v>-37343.67</v>
      </c>
      <c r="O609" s="37" t="s">
        <v>1335</v>
      </c>
    </row>
    <row r="610" customHeight="1" spans="1:15">
      <c r="A610" s="37" t="s">
        <v>637</v>
      </c>
      <c r="B610" s="38">
        <v>45138</v>
      </c>
      <c r="C610" s="37" t="s">
        <v>748</v>
      </c>
      <c r="D610" s="37" t="s">
        <v>639</v>
      </c>
      <c r="E610" s="37" t="s">
        <v>640</v>
      </c>
      <c r="F610" s="37" t="s">
        <v>707</v>
      </c>
      <c r="G610" s="37" t="s">
        <v>642</v>
      </c>
      <c r="H610" s="37" t="s">
        <v>643</v>
      </c>
      <c r="I610" s="37" t="s">
        <v>429</v>
      </c>
      <c r="J610" s="37" t="s">
        <v>644</v>
      </c>
      <c r="K610" s="37" t="s">
        <v>14</v>
      </c>
      <c r="L610" s="47">
        <v>-173305.87</v>
      </c>
      <c r="M610" s="47">
        <v>-163496.1</v>
      </c>
      <c r="N610" s="47">
        <v>-9809.77</v>
      </c>
      <c r="O610" s="37" t="s">
        <v>1336</v>
      </c>
    </row>
    <row r="611" customHeight="1" spans="1:15">
      <c r="A611" s="37" t="s">
        <v>637</v>
      </c>
      <c r="B611" s="38">
        <v>45138</v>
      </c>
      <c r="C611" s="37" t="s">
        <v>748</v>
      </c>
      <c r="D611" s="37" t="s">
        <v>639</v>
      </c>
      <c r="E611" s="37" t="s">
        <v>640</v>
      </c>
      <c r="F611" s="37" t="s">
        <v>707</v>
      </c>
      <c r="G611" s="37" t="s">
        <v>642</v>
      </c>
      <c r="H611" s="37" t="s">
        <v>643</v>
      </c>
      <c r="I611" s="37" t="s">
        <v>429</v>
      </c>
      <c r="J611" s="37" t="s">
        <v>644</v>
      </c>
      <c r="K611" s="37" t="s">
        <v>14</v>
      </c>
      <c r="L611" s="47">
        <v>880446.63</v>
      </c>
      <c r="M611" s="47">
        <v>830610.03</v>
      </c>
      <c r="N611" s="47">
        <v>49836.6</v>
      </c>
      <c r="O611" s="37" t="s">
        <v>1337</v>
      </c>
    </row>
    <row r="612" customHeight="1" spans="1:15">
      <c r="A612" s="37" t="s">
        <v>637</v>
      </c>
      <c r="B612" s="38">
        <v>45138</v>
      </c>
      <c r="C612" s="37" t="s">
        <v>748</v>
      </c>
      <c r="D612" s="37" t="s">
        <v>653</v>
      </c>
      <c r="E612" s="37" t="s">
        <v>640</v>
      </c>
      <c r="F612" s="37" t="s">
        <v>641</v>
      </c>
      <c r="G612" s="37" t="s">
        <v>642</v>
      </c>
      <c r="H612" s="37" t="s">
        <v>650</v>
      </c>
      <c r="I612" s="37" t="s">
        <v>728</v>
      </c>
      <c r="J612" s="37" t="s">
        <v>644</v>
      </c>
      <c r="K612" s="37" t="s">
        <v>166</v>
      </c>
      <c r="L612" s="47">
        <v>77.84</v>
      </c>
      <c r="M612" s="47">
        <v>73.43</v>
      </c>
      <c r="N612" s="47">
        <v>4.41</v>
      </c>
      <c r="O612" s="37" t="s">
        <v>1338</v>
      </c>
    </row>
    <row r="613" customHeight="1" spans="1:15">
      <c r="A613" s="37" t="s">
        <v>637</v>
      </c>
      <c r="B613" s="38">
        <v>45138</v>
      </c>
      <c r="C613" s="37" t="s">
        <v>748</v>
      </c>
      <c r="D613" s="37" t="s">
        <v>639</v>
      </c>
      <c r="E613" s="37" t="s">
        <v>640</v>
      </c>
      <c r="F613" s="37" t="s">
        <v>707</v>
      </c>
      <c r="G613" s="37" t="s">
        <v>642</v>
      </c>
      <c r="H613" s="37" t="s">
        <v>643</v>
      </c>
      <c r="I613" s="37" t="s">
        <v>429</v>
      </c>
      <c r="J613" s="37" t="s">
        <v>644</v>
      </c>
      <c r="K613" s="37" t="s">
        <v>14</v>
      </c>
      <c r="L613" s="47">
        <v>-3.38</v>
      </c>
      <c r="M613" s="47">
        <v>-3.19</v>
      </c>
      <c r="N613" s="47">
        <v>-0.19</v>
      </c>
      <c r="O613" s="37" t="s">
        <v>1339</v>
      </c>
    </row>
    <row r="614" customHeight="1" spans="1:15">
      <c r="A614" s="37" t="s">
        <v>637</v>
      </c>
      <c r="B614" s="38">
        <v>45138</v>
      </c>
      <c r="C614" s="37" t="s">
        <v>748</v>
      </c>
      <c r="D614" s="37" t="s">
        <v>639</v>
      </c>
      <c r="E614" s="37" t="s">
        <v>640</v>
      </c>
      <c r="F614" s="37" t="s">
        <v>641</v>
      </c>
      <c r="G614" s="37" t="s">
        <v>648</v>
      </c>
      <c r="H614" s="37" t="s">
        <v>650</v>
      </c>
      <c r="I614" s="37" t="s">
        <v>447</v>
      </c>
      <c r="J614" s="37" t="s">
        <v>656</v>
      </c>
      <c r="K614" s="37" t="s">
        <v>14</v>
      </c>
      <c r="L614" s="47">
        <v>0.72</v>
      </c>
      <c r="M614" s="47">
        <v>0.68</v>
      </c>
      <c r="N614" s="47">
        <v>0.04</v>
      </c>
      <c r="O614" s="37" t="s">
        <v>1340</v>
      </c>
    </row>
    <row r="615" customHeight="1" spans="1:15">
      <c r="A615" s="37" t="s">
        <v>637</v>
      </c>
      <c r="B615" s="38">
        <v>45138</v>
      </c>
      <c r="C615" s="37" t="s">
        <v>748</v>
      </c>
      <c r="D615" s="37" t="s">
        <v>639</v>
      </c>
      <c r="E615" s="37" t="s">
        <v>640</v>
      </c>
      <c r="F615" s="37" t="s">
        <v>707</v>
      </c>
      <c r="G615" s="37" t="s">
        <v>654</v>
      </c>
      <c r="H615" s="37" t="s">
        <v>643</v>
      </c>
      <c r="I615" s="37" t="s">
        <v>429</v>
      </c>
      <c r="J615" s="37" t="s">
        <v>644</v>
      </c>
      <c r="K615" s="37" t="s">
        <v>14</v>
      </c>
      <c r="L615" s="47">
        <v>560428.5</v>
      </c>
      <c r="M615" s="47">
        <v>528706.13</v>
      </c>
      <c r="N615" s="47">
        <v>31722.37</v>
      </c>
      <c r="O615" s="37" t="s">
        <v>1341</v>
      </c>
    </row>
    <row r="616" customHeight="1" spans="1:15">
      <c r="A616" s="37" t="s">
        <v>637</v>
      </c>
      <c r="B616" s="38">
        <v>45138</v>
      </c>
      <c r="C616" s="37" t="s">
        <v>748</v>
      </c>
      <c r="D616" s="37" t="s">
        <v>639</v>
      </c>
      <c r="E616" s="37" t="s">
        <v>640</v>
      </c>
      <c r="F616" s="37" t="s">
        <v>641</v>
      </c>
      <c r="G616" s="37" t="s">
        <v>642</v>
      </c>
      <c r="H616" s="37" t="s">
        <v>643</v>
      </c>
      <c r="I616" s="37" t="s">
        <v>430</v>
      </c>
      <c r="J616" s="37" t="s">
        <v>644</v>
      </c>
      <c r="K616" s="37" t="s">
        <v>14</v>
      </c>
      <c r="L616" s="47">
        <v>15483.41</v>
      </c>
      <c r="M616" s="47">
        <v>14606.99</v>
      </c>
      <c r="N616" s="47">
        <v>876.42</v>
      </c>
      <c r="O616" s="37" t="s">
        <v>1342</v>
      </c>
    </row>
    <row r="617" customHeight="1" spans="1:15">
      <c r="A617" s="37" t="s">
        <v>637</v>
      </c>
      <c r="B617" s="38">
        <v>45138</v>
      </c>
      <c r="C617" s="37" t="s">
        <v>748</v>
      </c>
      <c r="D617" s="37" t="s">
        <v>639</v>
      </c>
      <c r="E617" s="37" t="s">
        <v>640</v>
      </c>
      <c r="F617" s="37" t="s">
        <v>641</v>
      </c>
      <c r="G617" s="37" t="s">
        <v>648</v>
      </c>
      <c r="H617" s="37" t="s">
        <v>643</v>
      </c>
      <c r="I617" s="37" t="s">
        <v>430</v>
      </c>
      <c r="J617" s="37" t="s">
        <v>644</v>
      </c>
      <c r="K617" s="37" t="s">
        <v>14</v>
      </c>
      <c r="L617" s="47">
        <v>-224793.08</v>
      </c>
      <c r="M617" s="47">
        <v>-212068.94</v>
      </c>
      <c r="N617" s="47">
        <v>-12724.14</v>
      </c>
      <c r="O617" s="37" t="s">
        <v>1343</v>
      </c>
    </row>
    <row r="618" customHeight="1" spans="1:15">
      <c r="A618" s="37" t="s">
        <v>637</v>
      </c>
      <c r="B618" s="38">
        <v>45138</v>
      </c>
      <c r="C618" s="37" t="s">
        <v>748</v>
      </c>
      <c r="D618" s="37" t="s">
        <v>653</v>
      </c>
      <c r="E618" s="37" t="s">
        <v>640</v>
      </c>
      <c r="F618" s="37" t="s">
        <v>659</v>
      </c>
      <c r="G618" s="37" t="s">
        <v>642</v>
      </c>
      <c r="H618" s="37" t="s">
        <v>650</v>
      </c>
      <c r="I618" s="37" t="s">
        <v>728</v>
      </c>
      <c r="J618" s="37" t="s">
        <v>656</v>
      </c>
      <c r="K618" s="37" t="s">
        <v>166</v>
      </c>
      <c r="L618" s="47">
        <v>-940.42</v>
      </c>
      <c r="M618" s="47">
        <v>-887.19</v>
      </c>
      <c r="N618" s="47">
        <v>-53.23</v>
      </c>
      <c r="O618" s="37" t="s">
        <v>1344</v>
      </c>
    </row>
    <row r="619" customHeight="1" spans="1:15">
      <c r="A619" s="37" t="s">
        <v>637</v>
      </c>
      <c r="B619" s="38">
        <v>45138</v>
      </c>
      <c r="C619" s="37" t="s">
        <v>748</v>
      </c>
      <c r="D619" s="37" t="s">
        <v>639</v>
      </c>
      <c r="E619" s="37" t="s">
        <v>640</v>
      </c>
      <c r="F619" s="37" t="s">
        <v>707</v>
      </c>
      <c r="G619" s="37" t="s">
        <v>648</v>
      </c>
      <c r="H619" s="37" t="s">
        <v>643</v>
      </c>
      <c r="I619" s="37" t="s">
        <v>429</v>
      </c>
      <c r="J619" s="37" t="s">
        <v>644</v>
      </c>
      <c r="K619" s="37" t="s">
        <v>14</v>
      </c>
      <c r="L619" s="47">
        <v>-417604.45</v>
      </c>
      <c r="M619" s="47">
        <v>-393966.46</v>
      </c>
      <c r="N619" s="47">
        <v>-23637.99</v>
      </c>
      <c r="O619" s="37" t="s">
        <v>1345</v>
      </c>
    </row>
    <row r="620" customHeight="1" spans="1:15">
      <c r="A620" s="37" t="s">
        <v>637</v>
      </c>
      <c r="B620" s="38">
        <v>45138</v>
      </c>
      <c r="C620" s="37" t="s">
        <v>748</v>
      </c>
      <c r="D620" s="37" t="s">
        <v>639</v>
      </c>
      <c r="E620" s="37" t="s">
        <v>640</v>
      </c>
      <c r="F620" s="37" t="s">
        <v>641</v>
      </c>
      <c r="G620" s="37" t="s">
        <v>642</v>
      </c>
      <c r="H620" s="37" t="s">
        <v>650</v>
      </c>
      <c r="I620" s="37" t="s">
        <v>436</v>
      </c>
      <c r="J620" s="37" t="s">
        <v>644</v>
      </c>
      <c r="K620" s="37" t="s">
        <v>350</v>
      </c>
      <c r="L620" s="47">
        <v>9182</v>
      </c>
      <c r="M620" s="47">
        <v>8662.26</v>
      </c>
      <c r="N620" s="47">
        <v>519.74</v>
      </c>
      <c r="O620" s="37" t="s">
        <v>1346</v>
      </c>
    </row>
    <row r="621" customHeight="1" spans="1:15">
      <c r="A621" s="37" t="s">
        <v>637</v>
      </c>
      <c r="B621" s="38">
        <v>45138</v>
      </c>
      <c r="C621" s="37" t="s">
        <v>748</v>
      </c>
      <c r="D621" s="37" t="s">
        <v>653</v>
      </c>
      <c r="E621" s="37" t="s">
        <v>640</v>
      </c>
      <c r="F621" s="37" t="s">
        <v>659</v>
      </c>
      <c r="G621" s="37" t="s">
        <v>642</v>
      </c>
      <c r="H621" s="37" t="s">
        <v>650</v>
      </c>
      <c r="I621" s="37" t="s">
        <v>728</v>
      </c>
      <c r="J621" s="37" t="s">
        <v>656</v>
      </c>
      <c r="K621" s="37" t="s">
        <v>166</v>
      </c>
      <c r="L621" s="47">
        <v>-1531.66</v>
      </c>
      <c r="M621" s="47">
        <v>-1444.96</v>
      </c>
      <c r="N621" s="47">
        <v>-86.7</v>
      </c>
      <c r="O621" s="37" t="s">
        <v>1347</v>
      </c>
    </row>
    <row r="622" customHeight="1" spans="1:15">
      <c r="A622" s="37" t="s">
        <v>637</v>
      </c>
      <c r="B622" s="38">
        <v>45138</v>
      </c>
      <c r="C622" s="37" t="s">
        <v>748</v>
      </c>
      <c r="D622" s="37" t="s">
        <v>639</v>
      </c>
      <c r="E622" s="37" t="s">
        <v>640</v>
      </c>
      <c r="F622" s="37" t="s">
        <v>641</v>
      </c>
      <c r="G622" s="37" t="s">
        <v>648</v>
      </c>
      <c r="H622" s="37" t="s">
        <v>643</v>
      </c>
      <c r="I622" s="37" t="s">
        <v>441</v>
      </c>
      <c r="J622" s="37" t="s">
        <v>644</v>
      </c>
      <c r="K622" s="37" t="s">
        <v>14</v>
      </c>
      <c r="L622" s="47">
        <v>750343</v>
      </c>
      <c r="M622" s="47">
        <v>707870.75</v>
      </c>
      <c r="N622" s="47">
        <v>42472.25</v>
      </c>
      <c r="O622" s="37" t="s">
        <v>1348</v>
      </c>
    </row>
    <row r="623" customHeight="1" spans="1:15">
      <c r="A623" s="37" t="s">
        <v>637</v>
      </c>
      <c r="B623" s="38">
        <v>45138</v>
      </c>
      <c r="C623" s="37" t="s">
        <v>748</v>
      </c>
      <c r="D623" s="37" t="s">
        <v>653</v>
      </c>
      <c r="E623" s="37" t="s">
        <v>640</v>
      </c>
      <c r="F623" s="37" t="s">
        <v>659</v>
      </c>
      <c r="G623" s="37" t="s">
        <v>642</v>
      </c>
      <c r="H623" s="37" t="s">
        <v>650</v>
      </c>
      <c r="I623" s="37" t="s">
        <v>429</v>
      </c>
      <c r="J623" s="37" t="s">
        <v>656</v>
      </c>
      <c r="K623" s="37" t="s">
        <v>166</v>
      </c>
      <c r="L623" s="47">
        <v>-19.12</v>
      </c>
      <c r="M623" s="47">
        <v>-18.04</v>
      </c>
      <c r="N623" s="47">
        <v>-1.08</v>
      </c>
      <c r="O623" s="37" t="s">
        <v>1349</v>
      </c>
    </row>
    <row r="624" customHeight="1" spans="1:15">
      <c r="A624" s="37" t="s">
        <v>637</v>
      </c>
      <c r="B624" s="38">
        <v>45138</v>
      </c>
      <c r="C624" s="37" t="s">
        <v>748</v>
      </c>
      <c r="D624" s="37" t="s">
        <v>639</v>
      </c>
      <c r="E624" s="37" t="s">
        <v>647</v>
      </c>
      <c r="F624" s="37" t="s">
        <v>707</v>
      </c>
      <c r="G624" s="37" t="s">
        <v>642</v>
      </c>
      <c r="H624" s="37" t="s">
        <v>650</v>
      </c>
      <c r="I624" s="37" t="s">
        <v>429</v>
      </c>
      <c r="J624" s="37" t="s">
        <v>644</v>
      </c>
      <c r="K624" s="37" t="s">
        <v>14</v>
      </c>
      <c r="L624" s="47">
        <v>178930.27</v>
      </c>
      <c r="M624" s="47">
        <v>168802.16</v>
      </c>
      <c r="N624" s="47">
        <v>10128.11</v>
      </c>
      <c r="O624" s="37" t="s">
        <v>1350</v>
      </c>
    </row>
    <row r="625" customHeight="1" spans="1:15">
      <c r="A625" s="37" t="s">
        <v>637</v>
      </c>
      <c r="B625" s="38">
        <v>45138</v>
      </c>
      <c r="C625" s="37" t="s">
        <v>748</v>
      </c>
      <c r="D625" s="37" t="s">
        <v>682</v>
      </c>
      <c r="E625" s="37" t="s">
        <v>647</v>
      </c>
      <c r="F625" s="37" t="s">
        <v>641</v>
      </c>
      <c r="G625" s="37" t="s">
        <v>648</v>
      </c>
      <c r="H625" s="37" t="s">
        <v>650</v>
      </c>
      <c r="I625" s="37" t="s">
        <v>711</v>
      </c>
      <c r="J625" s="37" t="s">
        <v>656</v>
      </c>
      <c r="K625" s="37" t="s">
        <v>13</v>
      </c>
      <c r="L625" s="47">
        <v>1998</v>
      </c>
      <c r="M625" s="47">
        <v>1884.91</v>
      </c>
      <c r="N625" s="47">
        <v>113.09</v>
      </c>
      <c r="O625" s="37" t="s">
        <v>1351</v>
      </c>
    </row>
    <row r="626" customHeight="1" spans="1:15">
      <c r="A626" s="37" t="s">
        <v>637</v>
      </c>
      <c r="B626" s="38">
        <v>45138</v>
      </c>
      <c r="C626" s="37" t="s">
        <v>748</v>
      </c>
      <c r="D626" s="37" t="s">
        <v>653</v>
      </c>
      <c r="E626" s="37" t="s">
        <v>640</v>
      </c>
      <c r="F626" s="37" t="s">
        <v>659</v>
      </c>
      <c r="G626" s="37" t="s">
        <v>642</v>
      </c>
      <c r="H626" s="37" t="s">
        <v>650</v>
      </c>
      <c r="I626" s="37" t="s">
        <v>429</v>
      </c>
      <c r="J626" s="37" t="s">
        <v>656</v>
      </c>
      <c r="K626" s="37" t="s">
        <v>166</v>
      </c>
      <c r="L626" s="47">
        <v>159.77</v>
      </c>
      <c r="M626" s="47">
        <v>150.73</v>
      </c>
      <c r="N626" s="47">
        <v>9.04</v>
      </c>
      <c r="O626" s="37" t="s">
        <v>1352</v>
      </c>
    </row>
    <row r="627" customHeight="1" spans="1:15">
      <c r="A627" s="37" t="s">
        <v>637</v>
      </c>
      <c r="B627" s="38">
        <v>45138</v>
      </c>
      <c r="C627" s="37" t="s">
        <v>748</v>
      </c>
      <c r="D627" s="37" t="s">
        <v>639</v>
      </c>
      <c r="E627" s="37" t="s">
        <v>647</v>
      </c>
      <c r="F627" s="37" t="s">
        <v>641</v>
      </c>
      <c r="G627" s="37" t="s">
        <v>654</v>
      </c>
      <c r="H627" s="37" t="s">
        <v>650</v>
      </c>
      <c r="I627" s="37" t="s">
        <v>776</v>
      </c>
      <c r="J627" s="37" t="s">
        <v>644</v>
      </c>
      <c r="K627" s="37" t="s">
        <v>14</v>
      </c>
      <c r="L627" s="47">
        <v>329000</v>
      </c>
      <c r="M627" s="47">
        <v>310377.36</v>
      </c>
      <c r="N627" s="47">
        <v>18622.64</v>
      </c>
      <c r="O627" s="37" t="s">
        <v>1353</v>
      </c>
    </row>
    <row r="628" customHeight="1" spans="1:15">
      <c r="A628" s="37" t="s">
        <v>637</v>
      </c>
      <c r="B628" s="38">
        <v>45138</v>
      </c>
      <c r="C628" s="37" t="s">
        <v>748</v>
      </c>
      <c r="D628" s="37" t="s">
        <v>639</v>
      </c>
      <c r="E628" s="37" t="s">
        <v>647</v>
      </c>
      <c r="F628" s="37" t="s">
        <v>641</v>
      </c>
      <c r="G628" s="37" t="s">
        <v>642</v>
      </c>
      <c r="H628" s="37" t="s">
        <v>650</v>
      </c>
      <c r="I628" s="37" t="s">
        <v>436</v>
      </c>
      <c r="J628" s="37" t="s">
        <v>644</v>
      </c>
      <c r="K628" s="37" t="s">
        <v>350</v>
      </c>
      <c r="L628" s="47">
        <v>137150.6</v>
      </c>
      <c r="M628" s="47">
        <v>129387.36</v>
      </c>
      <c r="N628" s="47">
        <v>7763.24</v>
      </c>
      <c r="O628" s="37" t="s">
        <v>1354</v>
      </c>
    </row>
    <row r="629" customHeight="1" spans="1:15">
      <c r="A629" s="37" t="s">
        <v>637</v>
      </c>
      <c r="B629" s="38">
        <v>45138</v>
      </c>
      <c r="C629" s="37" t="s">
        <v>748</v>
      </c>
      <c r="D629" s="37" t="s">
        <v>639</v>
      </c>
      <c r="E629" s="37" t="s">
        <v>647</v>
      </c>
      <c r="F629" s="37" t="s">
        <v>749</v>
      </c>
      <c r="G629" s="37" t="s">
        <v>642</v>
      </c>
      <c r="H629" s="37" t="s">
        <v>650</v>
      </c>
      <c r="I629" s="37" t="s">
        <v>779</v>
      </c>
      <c r="J629" s="37" t="s">
        <v>644</v>
      </c>
      <c r="K629" s="37" t="s">
        <v>14</v>
      </c>
      <c r="L629" s="47">
        <v>172667.9</v>
      </c>
      <c r="M629" s="47">
        <v>162894.26</v>
      </c>
      <c r="N629" s="47">
        <v>9773.64</v>
      </c>
      <c r="O629" s="37" t="s">
        <v>1355</v>
      </c>
    </row>
    <row r="630" customHeight="1" spans="1:15">
      <c r="A630" s="37" t="s">
        <v>637</v>
      </c>
      <c r="B630" s="38">
        <v>45138</v>
      </c>
      <c r="C630" s="37" t="s">
        <v>748</v>
      </c>
      <c r="D630" s="37" t="s">
        <v>639</v>
      </c>
      <c r="E630" s="37" t="s">
        <v>647</v>
      </c>
      <c r="F630" s="37" t="s">
        <v>641</v>
      </c>
      <c r="G630" s="37" t="s">
        <v>642</v>
      </c>
      <c r="H630" s="37" t="s">
        <v>650</v>
      </c>
      <c r="I630" s="37" t="s">
        <v>430</v>
      </c>
      <c r="J630" s="37" t="s">
        <v>644</v>
      </c>
      <c r="K630" s="37" t="s">
        <v>14</v>
      </c>
      <c r="L630" s="47">
        <v>2637.36</v>
      </c>
      <c r="M630" s="47">
        <v>2488.06</v>
      </c>
      <c r="N630" s="47">
        <v>149.3</v>
      </c>
      <c r="O630" s="37" t="s">
        <v>1356</v>
      </c>
    </row>
    <row r="631" customHeight="1" spans="1:15">
      <c r="A631" s="37" t="s">
        <v>637</v>
      </c>
      <c r="B631" s="38">
        <v>45138</v>
      </c>
      <c r="C631" s="37" t="s">
        <v>748</v>
      </c>
      <c r="D631" s="37" t="s">
        <v>639</v>
      </c>
      <c r="E631" s="37" t="s">
        <v>647</v>
      </c>
      <c r="F631" s="37" t="s">
        <v>707</v>
      </c>
      <c r="G631" s="37" t="s">
        <v>654</v>
      </c>
      <c r="H631" s="37" t="s">
        <v>650</v>
      </c>
      <c r="I631" s="37" t="s">
        <v>754</v>
      </c>
      <c r="J631" s="37" t="s">
        <v>644</v>
      </c>
      <c r="K631" s="37" t="s">
        <v>14</v>
      </c>
      <c r="L631" s="47">
        <v>3950381.4</v>
      </c>
      <c r="M631" s="47">
        <v>3726774.9</v>
      </c>
      <c r="N631" s="47">
        <v>223606.5</v>
      </c>
      <c r="O631" s="37" t="s">
        <v>1357</v>
      </c>
    </row>
    <row r="632" customHeight="1" spans="1:15">
      <c r="A632" s="37" t="s">
        <v>637</v>
      </c>
      <c r="B632" s="38">
        <v>45138</v>
      </c>
      <c r="C632" s="37" t="s">
        <v>748</v>
      </c>
      <c r="D632" s="37" t="s">
        <v>639</v>
      </c>
      <c r="E632" s="37" t="s">
        <v>647</v>
      </c>
      <c r="F632" s="37" t="s">
        <v>689</v>
      </c>
      <c r="G632" s="37" t="s">
        <v>654</v>
      </c>
      <c r="H632" s="37" t="s">
        <v>650</v>
      </c>
      <c r="I632" s="37" t="s">
        <v>664</v>
      </c>
      <c r="J632" s="37" t="s">
        <v>656</v>
      </c>
      <c r="K632" s="37" t="s">
        <v>350</v>
      </c>
      <c r="L632" s="47">
        <v>8160</v>
      </c>
      <c r="M632" s="47">
        <v>7698.09</v>
      </c>
      <c r="N632" s="47">
        <v>461.91</v>
      </c>
      <c r="O632" s="37" t="s">
        <v>1358</v>
      </c>
    </row>
    <row r="633" customHeight="1" spans="1:15">
      <c r="A633" s="37" t="s">
        <v>637</v>
      </c>
      <c r="B633" s="38">
        <v>45138</v>
      </c>
      <c r="C633" s="37" t="s">
        <v>748</v>
      </c>
      <c r="D633" s="37" t="s">
        <v>639</v>
      </c>
      <c r="E633" s="37" t="s">
        <v>647</v>
      </c>
      <c r="F633" s="37" t="s">
        <v>707</v>
      </c>
      <c r="G633" s="37" t="s">
        <v>642</v>
      </c>
      <c r="H633" s="37" t="s">
        <v>650</v>
      </c>
      <c r="I633" s="37" t="s">
        <v>429</v>
      </c>
      <c r="J633" s="37" t="s">
        <v>644</v>
      </c>
      <c r="K633" s="37" t="s">
        <v>14</v>
      </c>
      <c r="L633" s="47">
        <v>253.2</v>
      </c>
      <c r="M633" s="47">
        <v>238.87</v>
      </c>
      <c r="N633" s="47">
        <v>14.33</v>
      </c>
      <c r="O633" s="37" t="s">
        <v>1359</v>
      </c>
    </row>
    <row r="634" customHeight="1" spans="1:15">
      <c r="A634" s="37" t="s">
        <v>637</v>
      </c>
      <c r="B634" s="38">
        <v>45138</v>
      </c>
      <c r="C634" s="37" t="s">
        <v>748</v>
      </c>
      <c r="D634" s="37" t="s">
        <v>639</v>
      </c>
      <c r="E634" s="37" t="s">
        <v>647</v>
      </c>
      <c r="F634" s="37" t="s">
        <v>689</v>
      </c>
      <c r="G634" s="37" t="s">
        <v>654</v>
      </c>
      <c r="H634" s="37" t="s">
        <v>697</v>
      </c>
      <c r="I634" s="37" t="s">
        <v>669</v>
      </c>
      <c r="J634" s="37" t="s">
        <v>656</v>
      </c>
      <c r="K634" s="37" t="s">
        <v>350</v>
      </c>
      <c r="L634" s="47">
        <v>424700</v>
      </c>
      <c r="M634" s="47">
        <v>400660.4</v>
      </c>
      <c r="N634" s="47">
        <v>24039.6</v>
      </c>
      <c r="O634" s="37" t="s">
        <v>1360</v>
      </c>
    </row>
    <row r="635" customHeight="1" spans="1:15">
      <c r="A635" s="37" t="s">
        <v>637</v>
      </c>
      <c r="B635" s="38">
        <v>45138</v>
      </c>
      <c r="C635" s="37" t="s">
        <v>748</v>
      </c>
      <c r="D635" s="37" t="s">
        <v>639</v>
      </c>
      <c r="E635" s="37" t="s">
        <v>647</v>
      </c>
      <c r="F635" s="37" t="s">
        <v>707</v>
      </c>
      <c r="G635" s="37" t="s">
        <v>642</v>
      </c>
      <c r="H635" s="37" t="s">
        <v>650</v>
      </c>
      <c r="I635" s="37" t="s">
        <v>429</v>
      </c>
      <c r="J635" s="37" t="s">
        <v>644</v>
      </c>
      <c r="K635" s="37" t="s">
        <v>165</v>
      </c>
      <c r="L635" s="47">
        <v>256.5</v>
      </c>
      <c r="M635" s="47">
        <v>241.98</v>
      </c>
      <c r="N635" s="47">
        <v>14.52</v>
      </c>
      <c r="O635" s="37" t="s">
        <v>1361</v>
      </c>
    </row>
    <row r="636" customHeight="1" spans="1:15">
      <c r="A636" s="37" t="s">
        <v>637</v>
      </c>
      <c r="B636" s="38">
        <v>45138</v>
      </c>
      <c r="C636" s="37" t="s">
        <v>748</v>
      </c>
      <c r="D636" s="37" t="s">
        <v>639</v>
      </c>
      <c r="E636" s="37" t="s">
        <v>647</v>
      </c>
      <c r="F636" s="37" t="s">
        <v>707</v>
      </c>
      <c r="G636" s="37" t="s">
        <v>654</v>
      </c>
      <c r="H636" s="37" t="s">
        <v>697</v>
      </c>
      <c r="I636" s="37" t="s">
        <v>694</v>
      </c>
      <c r="J636" s="37" t="s">
        <v>656</v>
      </c>
      <c r="K636" s="37" t="s">
        <v>350</v>
      </c>
      <c r="L636" s="47">
        <v>487</v>
      </c>
      <c r="M636" s="47">
        <v>459.43</v>
      </c>
      <c r="N636" s="47">
        <v>27.57</v>
      </c>
      <c r="O636" s="37" t="s">
        <v>1362</v>
      </c>
    </row>
    <row r="637" customHeight="1" spans="1:15">
      <c r="A637" s="37" t="s">
        <v>637</v>
      </c>
      <c r="B637" s="38">
        <v>45138</v>
      </c>
      <c r="C637" s="37" t="s">
        <v>748</v>
      </c>
      <c r="D637" s="37" t="s">
        <v>639</v>
      </c>
      <c r="E637" s="37" t="s">
        <v>647</v>
      </c>
      <c r="F637" s="37" t="s">
        <v>641</v>
      </c>
      <c r="G637" s="37" t="s">
        <v>642</v>
      </c>
      <c r="H637" s="37" t="s">
        <v>650</v>
      </c>
      <c r="I637" s="37" t="s">
        <v>441</v>
      </c>
      <c r="J637" s="37" t="s">
        <v>644</v>
      </c>
      <c r="K637" s="37" t="s">
        <v>14</v>
      </c>
      <c r="L637" s="47">
        <v>26875.2</v>
      </c>
      <c r="M637" s="47">
        <v>25353.96</v>
      </c>
      <c r="N637" s="47">
        <v>1521.24</v>
      </c>
      <c r="O637" s="37" t="s">
        <v>1363</v>
      </c>
    </row>
    <row r="638" customHeight="1" spans="1:15">
      <c r="A638" s="37" t="s">
        <v>637</v>
      </c>
      <c r="B638" s="38">
        <v>45138</v>
      </c>
      <c r="C638" s="37" t="s">
        <v>748</v>
      </c>
      <c r="D638" s="37" t="s">
        <v>639</v>
      </c>
      <c r="E638" s="37" t="s">
        <v>647</v>
      </c>
      <c r="F638" s="37" t="s">
        <v>689</v>
      </c>
      <c r="G638" s="37" t="s">
        <v>654</v>
      </c>
      <c r="H638" s="37" t="s">
        <v>697</v>
      </c>
      <c r="I638" s="37" t="s">
        <v>672</v>
      </c>
      <c r="J638" s="37" t="s">
        <v>656</v>
      </c>
      <c r="K638" s="37" t="s">
        <v>350</v>
      </c>
      <c r="L638" s="47">
        <v>1566210</v>
      </c>
      <c r="M638" s="47">
        <v>1477556.59</v>
      </c>
      <c r="N638" s="47">
        <v>88653.41</v>
      </c>
      <c r="O638" s="37" t="s">
        <v>1364</v>
      </c>
    </row>
    <row r="639" customHeight="1" spans="1:15">
      <c r="A639" s="37" t="s">
        <v>637</v>
      </c>
      <c r="B639" s="38">
        <v>45138</v>
      </c>
      <c r="C639" s="37" t="s">
        <v>748</v>
      </c>
      <c r="D639" s="37" t="s">
        <v>639</v>
      </c>
      <c r="E639" s="37" t="s">
        <v>647</v>
      </c>
      <c r="F639" s="37" t="s">
        <v>749</v>
      </c>
      <c r="G639" s="37" t="s">
        <v>648</v>
      </c>
      <c r="H639" s="37" t="s">
        <v>650</v>
      </c>
      <c r="I639" s="37" t="s">
        <v>461</v>
      </c>
      <c r="J639" s="37" t="s">
        <v>644</v>
      </c>
      <c r="K639" s="37" t="s">
        <v>14</v>
      </c>
      <c r="L639" s="47">
        <v>99352.8</v>
      </c>
      <c r="M639" s="47">
        <v>93729.07</v>
      </c>
      <c r="N639" s="47">
        <v>5623.73</v>
      </c>
      <c r="O639" s="37" t="s">
        <v>1365</v>
      </c>
    </row>
    <row r="640" customHeight="1" spans="1:15">
      <c r="A640" s="37" t="s">
        <v>637</v>
      </c>
      <c r="B640" s="38">
        <v>45138</v>
      </c>
      <c r="C640" s="37" t="s">
        <v>748</v>
      </c>
      <c r="D640" s="37" t="s">
        <v>639</v>
      </c>
      <c r="E640" s="37" t="s">
        <v>647</v>
      </c>
      <c r="F640" s="37" t="s">
        <v>641</v>
      </c>
      <c r="G640" s="37" t="s">
        <v>648</v>
      </c>
      <c r="H640" s="37" t="s">
        <v>643</v>
      </c>
      <c r="I640" s="37" t="s">
        <v>430</v>
      </c>
      <c r="J640" s="37" t="s">
        <v>644</v>
      </c>
      <c r="K640" s="37" t="s">
        <v>14</v>
      </c>
      <c r="L640" s="47">
        <v>2534241.47</v>
      </c>
      <c r="M640" s="47">
        <v>2390793.81</v>
      </c>
      <c r="N640" s="47">
        <v>143447.66</v>
      </c>
      <c r="O640" s="37" t="s">
        <v>1366</v>
      </c>
    </row>
    <row r="641" customHeight="1" spans="1:15">
      <c r="A641" s="37" t="s">
        <v>637</v>
      </c>
      <c r="B641" s="38">
        <v>45138</v>
      </c>
      <c r="C641" s="37" t="s">
        <v>748</v>
      </c>
      <c r="D641" s="37" t="s">
        <v>639</v>
      </c>
      <c r="E641" s="37" t="s">
        <v>647</v>
      </c>
      <c r="F641" s="37" t="s">
        <v>707</v>
      </c>
      <c r="G641" s="37" t="s">
        <v>648</v>
      </c>
      <c r="H641" s="37" t="s">
        <v>650</v>
      </c>
      <c r="I641" s="37" t="s">
        <v>763</v>
      </c>
      <c r="J641" s="37" t="s">
        <v>644</v>
      </c>
      <c r="K641" s="37" t="s">
        <v>165</v>
      </c>
      <c r="L641" s="47">
        <v>5857.44</v>
      </c>
      <c r="M641" s="47">
        <v>5525.9</v>
      </c>
      <c r="N641" s="47">
        <v>331.54</v>
      </c>
      <c r="O641" s="37" t="s">
        <v>1367</v>
      </c>
    </row>
    <row r="642" customHeight="1" spans="1:15">
      <c r="A642" s="37" t="s">
        <v>637</v>
      </c>
      <c r="B642" s="38">
        <v>45138</v>
      </c>
      <c r="C642" s="37" t="s">
        <v>748</v>
      </c>
      <c r="D642" s="37" t="s">
        <v>639</v>
      </c>
      <c r="E642" s="37" t="s">
        <v>647</v>
      </c>
      <c r="F642" s="37" t="s">
        <v>641</v>
      </c>
      <c r="G642" s="37" t="s">
        <v>648</v>
      </c>
      <c r="H642" s="37" t="s">
        <v>650</v>
      </c>
      <c r="I642" s="37" t="s">
        <v>447</v>
      </c>
      <c r="J642" s="37" t="s">
        <v>656</v>
      </c>
      <c r="K642" s="37" t="s">
        <v>14</v>
      </c>
      <c r="L642" s="47">
        <v>88441.26</v>
      </c>
      <c r="M642" s="47">
        <v>83435.15</v>
      </c>
      <c r="N642" s="47">
        <v>5006.11</v>
      </c>
      <c r="O642" s="37" t="s">
        <v>1368</v>
      </c>
    </row>
    <row r="643" customHeight="1" spans="1:15">
      <c r="A643" s="37" t="s">
        <v>637</v>
      </c>
      <c r="B643" s="38">
        <v>45138</v>
      </c>
      <c r="C643" s="37" t="s">
        <v>748</v>
      </c>
      <c r="D643" s="37" t="s">
        <v>639</v>
      </c>
      <c r="E643" s="37" t="s">
        <v>647</v>
      </c>
      <c r="F643" s="37" t="s">
        <v>707</v>
      </c>
      <c r="G643" s="37" t="s">
        <v>648</v>
      </c>
      <c r="H643" s="37" t="s">
        <v>643</v>
      </c>
      <c r="I643" s="37" t="s">
        <v>429</v>
      </c>
      <c r="J643" s="37" t="s">
        <v>644</v>
      </c>
      <c r="K643" s="37" t="s">
        <v>14</v>
      </c>
      <c r="L643" s="47">
        <v>2120239.24</v>
      </c>
      <c r="M643" s="47">
        <v>2000225.75</v>
      </c>
      <c r="N643" s="47">
        <v>120013.49</v>
      </c>
      <c r="O643" s="37" t="s">
        <v>1369</v>
      </c>
    </row>
    <row r="644" customHeight="1" spans="1:15">
      <c r="A644" s="37" t="s">
        <v>637</v>
      </c>
      <c r="B644" s="38">
        <v>45138</v>
      </c>
      <c r="C644" s="37" t="s">
        <v>748</v>
      </c>
      <c r="D644" s="37" t="s">
        <v>639</v>
      </c>
      <c r="E644" s="37" t="s">
        <v>647</v>
      </c>
      <c r="F644" s="37" t="s">
        <v>749</v>
      </c>
      <c r="G644" s="37" t="s">
        <v>648</v>
      </c>
      <c r="H644" s="37" t="s">
        <v>650</v>
      </c>
      <c r="I644" s="37" t="s">
        <v>461</v>
      </c>
      <c r="J644" s="37" t="s">
        <v>644</v>
      </c>
      <c r="K644" s="37" t="s">
        <v>14</v>
      </c>
      <c r="L644" s="47">
        <v>174399.3</v>
      </c>
      <c r="M644" s="47">
        <v>164527.64</v>
      </c>
      <c r="N644" s="47">
        <v>9871.66</v>
      </c>
      <c r="O644" s="37" t="s">
        <v>1370</v>
      </c>
    </row>
    <row r="645" customHeight="1" spans="1:15">
      <c r="A645" s="37" t="s">
        <v>637</v>
      </c>
      <c r="B645" s="38">
        <v>45138</v>
      </c>
      <c r="C645" s="37" t="s">
        <v>748</v>
      </c>
      <c r="D645" s="37" t="s">
        <v>639</v>
      </c>
      <c r="E645" s="37" t="s">
        <v>647</v>
      </c>
      <c r="F645" s="37" t="s">
        <v>641</v>
      </c>
      <c r="G645" s="37" t="s">
        <v>648</v>
      </c>
      <c r="H645" s="37" t="s">
        <v>697</v>
      </c>
      <c r="I645" s="37" t="s">
        <v>441</v>
      </c>
      <c r="J645" s="37" t="s">
        <v>644</v>
      </c>
      <c r="K645" s="37" t="s">
        <v>14</v>
      </c>
      <c r="L645" s="47">
        <v>10076349</v>
      </c>
      <c r="M645" s="47">
        <v>9505989.6</v>
      </c>
      <c r="N645" s="47">
        <v>570359.4</v>
      </c>
      <c r="O645" s="37" t="s">
        <v>1371</v>
      </c>
    </row>
    <row r="646" customHeight="1" spans="1:15">
      <c r="A646" s="37" t="s">
        <v>637</v>
      </c>
      <c r="B646" s="38">
        <v>45138</v>
      </c>
      <c r="C646" s="37" t="s">
        <v>638</v>
      </c>
      <c r="D646" s="37" t="s">
        <v>639</v>
      </c>
      <c r="E646" s="37" t="s">
        <v>640</v>
      </c>
      <c r="F646" s="37" t="s">
        <v>641</v>
      </c>
      <c r="G646" s="37" t="s">
        <v>648</v>
      </c>
      <c r="H646" s="37" t="s">
        <v>643</v>
      </c>
      <c r="I646" s="37" t="s">
        <v>430</v>
      </c>
      <c r="J646" s="37" t="s">
        <v>644</v>
      </c>
      <c r="K646" s="37" t="s">
        <v>14</v>
      </c>
      <c r="L646" s="47">
        <v>38134.62</v>
      </c>
      <c r="M646" s="47">
        <v>35976.06</v>
      </c>
      <c r="N646" s="47">
        <v>2158.56</v>
      </c>
      <c r="O646" s="37" t="s">
        <v>1372</v>
      </c>
    </row>
    <row r="647" customHeight="1" spans="1:15">
      <c r="A647" s="37" t="s">
        <v>637</v>
      </c>
      <c r="B647" s="38">
        <v>45138</v>
      </c>
      <c r="C647" s="37" t="s">
        <v>638</v>
      </c>
      <c r="D647" s="37" t="s">
        <v>639</v>
      </c>
      <c r="E647" s="37" t="s">
        <v>640</v>
      </c>
      <c r="F647" s="37" t="s">
        <v>641</v>
      </c>
      <c r="G647" s="37" t="s">
        <v>642</v>
      </c>
      <c r="H647" s="37" t="s">
        <v>643</v>
      </c>
      <c r="I647" s="37" t="s">
        <v>430</v>
      </c>
      <c r="J647" s="37" t="s">
        <v>644</v>
      </c>
      <c r="K647" s="37" t="s">
        <v>14</v>
      </c>
      <c r="L647" s="47">
        <v>187706.49</v>
      </c>
      <c r="M647" s="47">
        <v>177081.59</v>
      </c>
      <c r="N647" s="47">
        <v>10624.9</v>
      </c>
      <c r="O647" s="37" t="s">
        <v>1373</v>
      </c>
    </row>
    <row r="648" customHeight="1" spans="1:15">
      <c r="A648" s="37" t="s">
        <v>637</v>
      </c>
      <c r="B648" s="38">
        <v>45138</v>
      </c>
      <c r="C648" s="37" t="s">
        <v>638</v>
      </c>
      <c r="D648" s="37" t="s">
        <v>639</v>
      </c>
      <c r="E648" s="37" t="s">
        <v>647</v>
      </c>
      <c r="F648" s="37" t="s">
        <v>641</v>
      </c>
      <c r="G648" s="37" t="s">
        <v>648</v>
      </c>
      <c r="H648" s="37" t="s">
        <v>643</v>
      </c>
      <c r="I648" s="37" t="s">
        <v>430</v>
      </c>
      <c r="J648" s="37" t="s">
        <v>644</v>
      </c>
      <c r="K648" s="37" t="s">
        <v>14</v>
      </c>
      <c r="L648" s="47">
        <v>37726.4</v>
      </c>
      <c r="M648" s="47">
        <v>35590.96</v>
      </c>
      <c r="N648" s="47">
        <v>2135.44</v>
      </c>
      <c r="O648" s="37" t="s">
        <v>1374</v>
      </c>
    </row>
    <row r="649" customHeight="1" spans="1:15">
      <c r="A649" s="37" t="s">
        <v>637</v>
      </c>
      <c r="B649" s="38">
        <v>45138</v>
      </c>
      <c r="C649" s="37" t="s">
        <v>638</v>
      </c>
      <c r="D649" s="37" t="s">
        <v>639</v>
      </c>
      <c r="E649" s="37" t="s">
        <v>647</v>
      </c>
      <c r="F649" s="37" t="s">
        <v>641</v>
      </c>
      <c r="G649" s="37" t="s">
        <v>642</v>
      </c>
      <c r="H649" s="37" t="s">
        <v>650</v>
      </c>
      <c r="I649" s="37" t="s">
        <v>430</v>
      </c>
      <c r="J649" s="37" t="s">
        <v>644</v>
      </c>
      <c r="K649" s="37" t="s">
        <v>14</v>
      </c>
      <c r="L649" s="47">
        <v>1074598.6</v>
      </c>
      <c r="M649" s="47">
        <v>1013772.22</v>
      </c>
      <c r="N649" s="47">
        <v>60826.38</v>
      </c>
      <c r="O649" s="37" t="s">
        <v>1375</v>
      </c>
    </row>
    <row r="650" customHeight="1" spans="1:15">
      <c r="A650" s="37" t="s">
        <v>637</v>
      </c>
      <c r="B650" s="38">
        <v>45138</v>
      </c>
      <c r="C650" s="37" t="s">
        <v>638</v>
      </c>
      <c r="D650" s="37" t="s">
        <v>639</v>
      </c>
      <c r="E650" s="37" t="s">
        <v>640</v>
      </c>
      <c r="F650" s="37" t="s">
        <v>641</v>
      </c>
      <c r="G650" s="37" t="s">
        <v>642</v>
      </c>
      <c r="H650" s="37" t="s">
        <v>643</v>
      </c>
      <c r="I650" s="37" t="s">
        <v>430</v>
      </c>
      <c r="J650" s="37" t="s">
        <v>644</v>
      </c>
      <c r="K650" s="37" t="s">
        <v>14</v>
      </c>
      <c r="L650" s="47">
        <v>-727943.39</v>
      </c>
      <c r="M650" s="47">
        <v>-686739.05</v>
      </c>
      <c r="N650" s="47">
        <v>-41204.34</v>
      </c>
      <c r="O650" s="37" t="s">
        <v>1376</v>
      </c>
    </row>
    <row r="651" customHeight="1" spans="1:15">
      <c r="A651" s="37" t="s">
        <v>637</v>
      </c>
      <c r="B651" s="38">
        <v>45138</v>
      </c>
      <c r="C651" s="37" t="s">
        <v>638</v>
      </c>
      <c r="D651" s="37" t="s">
        <v>639</v>
      </c>
      <c r="E651" s="37" t="s">
        <v>647</v>
      </c>
      <c r="F651" s="37" t="s">
        <v>641</v>
      </c>
      <c r="G651" s="37" t="s">
        <v>648</v>
      </c>
      <c r="H651" s="37" t="s">
        <v>643</v>
      </c>
      <c r="I651" s="37" t="s">
        <v>430</v>
      </c>
      <c r="J651" s="37" t="s">
        <v>644</v>
      </c>
      <c r="K651" s="37" t="s">
        <v>14</v>
      </c>
      <c r="L651" s="47">
        <v>1672563.96</v>
      </c>
      <c r="M651" s="47">
        <v>1577890.55</v>
      </c>
      <c r="N651" s="47">
        <v>94673.41</v>
      </c>
      <c r="O651" s="37" t="s">
        <v>1377</v>
      </c>
    </row>
    <row r="652" customHeight="1" spans="1:15">
      <c r="A652" s="37" t="s">
        <v>637</v>
      </c>
      <c r="B652" s="38">
        <v>45138</v>
      </c>
      <c r="C652" s="37" t="s">
        <v>638</v>
      </c>
      <c r="D652" s="37" t="s">
        <v>639</v>
      </c>
      <c r="E652" s="37" t="s">
        <v>640</v>
      </c>
      <c r="F652" s="37" t="s">
        <v>641</v>
      </c>
      <c r="G652" s="37" t="s">
        <v>648</v>
      </c>
      <c r="H652" s="37" t="s">
        <v>643</v>
      </c>
      <c r="I652" s="37" t="s">
        <v>430</v>
      </c>
      <c r="J652" s="37" t="s">
        <v>644</v>
      </c>
      <c r="K652" s="37" t="s">
        <v>14</v>
      </c>
      <c r="L652" s="47">
        <v>254447.72</v>
      </c>
      <c r="M652" s="47">
        <v>240045.02</v>
      </c>
      <c r="N652" s="47">
        <v>14402.7</v>
      </c>
      <c r="O652" s="37" t="s">
        <v>1378</v>
      </c>
    </row>
    <row r="653" customHeight="1" spans="1:15">
      <c r="A653" s="37" t="s">
        <v>637</v>
      </c>
      <c r="B653" s="38">
        <v>45138</v>
      </c>
      <c r="C653" s="37" t="s">
        <v>638</v>
      </c>
      <c r="D653" s="37" t="s">
        <v>639</v>
      </c>
      <c r="E653" s="37" t="s">
        <v>647</v>
      </c>
      <c r="F653" s="37" t="s">
        <v>641</v>
      </c>
      <c r="G653" s="37" t="s">
        <v>648</v>
      </c>
      <c r="H653" s="37" t="s">
        <v>643</v>
      </c>
      <c r="I653" s="37" t="s">
        <v>430</v>
      </c>
      <c r="J653" s="37" t="s">
        <v>644</v>
      </c>
      <c r="K653" s="37" t="s">
        <v>14</v>
      </c>
      <c r="L653" s="47">
        <v>216977.83</v>
      </c>
      <c r="M653" s="47">
        <v>204696.04</v>
      </c>
      <c r="N653" s="47">
        <v>12281.79</v>
      </c>
      <c r="O653" s="37" t="s">
        <v>1379</v>
      </c>
    </row>
    <row r="654" customHeight="1" spans="1:15">
      <c r="A654" s="37" t="s">
        <v>637</v>
      </c>
      <c r="B654" s="38">
        <v>45138</v>
      </c>
      <c r="C654" s="37" t="s">
        <v>638</v>
      </c>
      <c r="D654" s="37" t="s">
        <v>639</v>
      </c>
      <c r="E654" s="37" t="s">
        <v>647</v>
      </c>
      <c r="F654" s="37" t="s">
        <v>641</v>
      </c>
      <c r="G654" s="37" t="s">
        <v>648</v>
      </c>
      <c r="H654" s="37" t="s">
        <v>697</v>
      </c>
      <c r="I654" s="37" t="s">
        <v>430</v>
      </c>
      <c r="J654" s="37" t="s">
        <v>644</v>
      </c>
      <c r="K654" s="37" t="s">
        <v>14</v>
      </c>
      <c r="L654" s="47">
        <v>40481.2</v>
      </c>
      <c r="M654" s="47">
        <v>38189.81</v>
      </c>
      <c r="N654" s="47">
        <v>2291.39</v>
      </c>
      <c r="O654" s="37" t="s">
        <v>1380</v>
      </c>
    </row>
    <row r="655" customHeight="1" spans="1:15">
      <c r="A655" s="37" t="s">
        <v>637</v>
      </c>
      <c r="B655" s="38">
        <v>45138</v>
      </c>
      <c r="C655" s="37" t="s">
        <v>646</v>
      </c>
      <c r="D655" s="37" t="s">
        <v>639</v>
      </c>
      <c r="E655" s="37" t="s">
        <v>640</v>
      </c>
      <c r="F655" s="37" t="s">
        <v>641</v>
      </c>
      <c r="G655" s="37" t="s">
        <v>648</v>
      </c>
      <c r="H655" s="37" t="s">
        <v>643</v>
      </c>
      <c r="I655" s="37" t="s">
        <v>430</v>
      </c>
      <c r="J655" s="37" t="s">
        <v>644</v>
      </c>
      <c r="K655" s="37" t="s">
        <v>14</v>
      </c>
      <c r="L655" s="47">
        <v>181709.18</v>
      </c>
      <c r="M655" s="47">
        <v>171423.75</v>
      </c>
      <c r="N655" s="47">
        <v>10285.43</v>
      </c>
      <c r="O655" s="37" t="s">
        <v>1381</v>
      </c>
    </row>
    <row r="656" customHeight="1" spans="1:15">
      <c r="A656" s="37" t="s">
        <v>637</v>
      </c>
      <c r="B656" s="38">
        <v>45138</v>
      </c>
      <c r="C656" s="37" t="s">
        <v>1382</v>
      </c>
      <c r="D656" s="37" t="s">
        <v>639</v>
      </c>
      <c r="E656" s="37" t="s">
        <v>640</v>
      </c>
      <c r="F656" s="37" t="s">
        <v>689</v>
      </c>
      <c r="G656" s="37" t="s">
        <v>654</v>
      </c>
      <c r="H656" s="37" t="s">
        <v>697</v>
      </c>
      <c r="I656" s="37" t="s">
        <v>665</v>
      </c>
      <c r="J656" s="37" t="s">
        <v>656</v>
      </c>
      <c r="K656" s="37" t="s">
        <v>350</v>
      </c>
      <c r="L656" s="47">
        <v>4162.5</v>
      </c>
      <c r="M656" s="47">
        <v>3926.89</v>
      </c>
      <c r="N656" s="47">
        <v>235.61</v>
      </c>
      <c r="O656" s="37" t="s">
        <v>1383</v>
      </c>
    </row>
    <row r="657" customHeight="1" spans="1:15">
      <c r="A657" s="37" t="s">
        <v>637</v>
      </c>
      <c r="B657" s="38">
        <v>45138</v>
      </c>
      <c r="C657" s="37" t="s">
        <v>646</v>
      </c>
      <c r="D657" s="37" t="s">
        <v>639</v>
      </c>
      <c r="E657" s="37" t="s">
        <v>640</v>
      </c>
      <c r="F657" s="37" t="s">
        <v>641</v>
      </c>
      <c r="G657" s="37" t="s">
        <v>642</v>
      </c>
      <c r="H657" s="37" t="s">
        <v>643</v>
      </c>
      <c r="I657" s="37" t="s">
        <v>430</v>
      </c>
      <c r="J657" s="37" t="s">
        <v>644</v>
      </c>
      <c r="K657" s="37" t="s">
        <v>14</v>
      </c>
      <c r="L657" s="47">
        <v>-1268.61</v>
      </c>
      <c r="M657" s="47">
        <v>-1196.8</v>
      </c>
      <c r="N657" s="47">
        <v>-71.81</v>
      </c>
      <c r="O657" s="37" t="s">
        <v>1384</v>
      </c>
    </row>
    <row r="658" customHeight="1" spans="1:15">
      <c r="A658" s="37" t="s">
        <v>637</v>
      </c>
      <c r="B658" s="38">
        <v>45138</v>
      </c>
      <c r="C658" s="37" t="s">
        <v>1273</v>
      </c>
      <c r="D658" s="37" t="s">
        <v>653</v>
      </c>
      <c r="E658" s="37" t="s">
        <v>640</v>
      </c>
      <c r="F658" s="37" t="s">
        <v>641</v>
      </c>
      <c r="G658" s="37" t="s">
        <v>648</v>
      </c>
      <c r="H658" s="37" t="s">
        <v>650</v>
      </c>
      <c r="I658" s="37" t="s">
        <v>429</v>
      </c>
      <c r="J658" s="37" t="s">
        <v>656</v>
      </c>
      <c r="K658" s="37" t="s">
        <v>166</v>
      </c>
      <c r="L658" s="47">
        <v>767.28</v>
      </c>
      <c r="M658" s="47">
        <v>723.85</v>
      </c>
      <c r="N658" s="47">
        <v>43.43</v>
      </c>
      <c r="O658" s="37" t="s">
        <v>1385</v>
      </c>
    </row>
    <row r="659" customHeight="1" spans="1:15">
      <c r="A659" s="37" t="s">
        <v>637</v>
      </c>
      <c r="B659" s="38">
        <v>45138</v>
      </c>
      <c r="C659" s="37" t="s">
        <v>748</v>
      </c>
      <c r="D659" s="37" t="s">
        <v>653</v>
      </c>
      <c r="E659" s="37" t="s">
        <v>640</v>
      </c>
      <c r="F659" s="37" t="s">
        <v>659</v>
      </c>
      <c r="G659" s="37" t="s">
        <v>642</v>
      </c>
      <c r="H659" s="37" t="s">
        <v>650</v>
      </c>
      <c r="I659" s="37" t="s">
        <v>728</v>
      </c>
      <c r="J659" s="37" t="s">
        <v>656</v>
      </c>
      <c r="K659" s="37" t="s">
        <v>166</v>
      </c>
      <c r="L659" s="47">
        <v>41665.43</v>
      </c>
      <c r="M659" s="47">
        <v>39307.01</v>
      </c>
      <c r="N659" s="47">
        <v>2358.42</v>
      </c>
      <c r="O659" s="37" t="s">
        <v>1386</v>
      </c>
    </row>
    <row r="660" customHeight="1" spans="1:15">
      <c r="A660" s="37" t="s">
        <v>637</v>
      </c>
      <c r="B660" s="38">
        <v>45138</v>
      </c>
      <c r="C660" s="37" t="s">
        <v>748</v>
      </c>
      <c r="D660" s="37" t="s">
        <v>653</v>
      </c>
      <c r="E660" s="37" t="s">
        <v>640</v>
      </c>
      <c r="F660" s="37" t="s">
        <v>659</v>
      </c>
      <c r="G660" s="37" t="s">
        <v>642</v>
      </c>
      <c r="H660" s="37" t="s">
        <v>650</v>
      </c>
      <c r="I660" s="37" t="s">
        <v>429</v>
      </c>
      <c r="J660" s="37" t="s">
        <v>656</v>
      </c>
      <c r="K660" s="37" t="s">
        <v>166</v>
      </c>
      <c r="L660" s="47">
        <v>8169.42</v>
      </c>
      <c r="M660" s="47">
        <v>7707</v>
      </c>
      <c r="N660" s="47">
        <v>462.42</v>
      </c>
      <c r="O660" s="37" t="s">
        <v>1387</v>
      </c>
    </row>
    <row r="661" customHeight="1" spans="1:15">
      <c r="A661" s="37" t="s">
        <v>637</v>
      </c>
      <c r="B661" s="38">
        <v>45138</v>
      </c>
      <c r="C661" s="37" t="s">
        <v>748</v>
      </c>
      <c r="D661" s="37" t="s">
        <v>639</v>
      </c>
      <c r="E661" s="37" t="s">
        <v>640</v>
      </c>
      <c r="F661" s="37" t="s">
        <v>689</v>
      </c>
      <c r="G661" s="37" t="s">
        <v>642</v>
      </c>
      <c r="H661" s="37" t="s">
        <v>643</v>
      </c>
      <c r="I661" s="37" t="s">
        <v>696</v>
      </c>
      <c r="J661" s="37" t="s">
        <v>656</v>
      </c>
      <c r="K661" s="37" t="s">
        <v>350</v>
      </c>
      <c r="L661" s="47">
        <v>240928</v>
      </c>
      <c r="M661" s="47">
        <v>227290.57</v>
      </c>
      <c r="N661" s="47">
        <v>13637.43</v>
      </c>
      <c r="O661" s="37" t="s">
        <v>1388</v>
      </c>
    </row>
    <row r="662" customHeight="1" spans="1:15">
      <c r="A662" s="37" t="s">
        <v>637</v>
      </c>
      <c r="B662" s="38">
        <v>45169</v>
      </c>
      <c r="C662" s="37" t="s">
        <v>992</v>
      </c>
      <c r="D662" s="37" t="s">
        <v>639</v>
      </c>
      <c r="E662" s="37" t="s">
        <v>640</v>
      </c>
      <c r="F662" s="37" t="s">
        <v>641</v>
      </c>
      <c r="G662" s="37" t="s">
        <v>648</v>
      </c>
      <c r="H662" s="37" t="s">
        <v>643</v>
      </c>
      <c r="I662" s="37" t="s">
        <v>430</v>
      </c>
      <c r="J662" s="37" t="s">
        <v>644</v>
      </c>
      <c r="K662" s="37" t="s">
        <v>14</v>
      </c>
      <c r="L662" s="47">
        <v>195051.95</v>
      </c>
      <c r="M662" s="47">
        <v>184011.27</v>
      </c>
      <c r="N662" s="47">
        <v>11040.68</v>
      </c>
      <c r="O662" s="37" t="s">
        <v>1389</v>
      </c>
    </row>
    <row r="663" customHeight="1" spans="1:15">
      <c r="A663" s="37" t="s">
        <v>637</v>
      </c>
      <c r="B663" s="38">
        <v>45169</v>
      </c>
      <c r="C663" s="37" t="s">
        <v>638</v>
      </c>
      <c r="D663" s="37" t="s">
        <v>639</v>
      </c>
      <c r="E663" s="37" t="s">
        <v>647</v>
      </c>
      <c r="F663" s="37" t="s">
        <v>641</v>
      </c>
      <c r="G663" s="37" t="s">
        <v>648</v>
      </c>
      <c r="H663" s="37" t="s">
        <v>643</v>
      </c>
      <c r="I663" s="37" t="s">
        <v>430</v>
      </c>
      <c r="J663" s="37" t="s">
        <v>644</v>
      </c>
      <c r="K663" s="37" t="s">
        <v>14</v>
      </c>
      <c r="L663" s="47">
        <v>140042.08</v>
      </c>
      <c r="M663" s="47">
        <v>132115.15</v>
      </c>
      <c r="N663" s="47">
        <v>7926.93</v>
      </c>
      <c r="O663" s="37" t="s">
        <v>1390</v>
      </c>
    </row>
    <row r="664" customHeight="1" spans="1:15">
      <c r="A664" s="37" t="s">
        <v>637</v>
      </c>
      <c r="B664" s="38">
        <v>45169</v>
      </c>
      <c r="C664" s="37" t="s">
        <v>638</v>
      </c>
      <c r="D664" s="37" t="s">
        <v>639</v>
      </c>
      <c r="E664" s="37" t="s">
        <v>647</v>
      </c>
      <c r="F664" s="37" t="s">
        <v>641</v>
      </c>
      <c r="G664" s="37" t="s">
        <v>648</v>
      </c>
      <c r="H664" s="37" t="s">
        <v>697</v>
      </c>
      <c r="I664" s="37" t="s">
        <v>430</v>
      </c>
      <c r="J664" s="37" t="s">
        <v>644</v>
      </c>
      <c r="K664" s="37" t="s">
        <v>14</v>
      </c>
      <c r="L664" s="47">
        <v>18471.12</v>
      </c>
      <c r="M664" s="47">
        <v>17425.58</v>
      </c>
      <c r="N664" s="47">
        <v>1045.54</v>
      </c>
      <c r="O664" s="37" t="s">
        <v>1391</v>
      </c>
    </row>
    <row r="665" customHeight="1" spans="1:15">
      <c r="A665" s="37" t="s">
        <v>637</v>
      </c>
      <c r="B665" s="38">
        <v>45169</v>
      </c>
      <c r="C665" s="37" t="s">
        <v>638</v>
      </c>
      <c r="D665" s="37" t="s">
        <v>639</v>
      </c>
      <c r="E665" s="37" t="s">
        <v>647</v>
      </c>
      <c r="F665" s="37" t="s">
        <v>641</v>
      </c>
      <c r="G665" s="37" t="s">
        <v>642</v>
      </c>
      <c r="H665" s="37" t="s">
        <v>650</v>
      </c>
      <c r="I665" s="37" t="s">
        <v>430</v>
      </c>
      <c r="J665" s="37" t="s">
        <v>644</v>
      </c>
      <c r="K665" s="37" t="s">
        <v>14</v>
      </c>
      <c r="L665" s="47">
        <v>2379781.79</v>
      </c>
      <c r="M665" s="47">
        <v>2245077.16</v>
      </c>
      <c r="N665" s="47">
        <v>134704.63</v>
      </c>
      <c r="O665" s="37" t="s">
        <v>1392</v>
      </c>
    </row>
    <row r="666" customHeight="1" spans="1:15">
      <c r="A666" s="37" t="s">
        <v>637</v>
      </c>
      <c r="B666" s="38">
        <v>45169</v>
      </c>
      <c r="C666" s="37" t="s">
        <v>638</v>
      </c>
      <c r="D666" s="37" t="s">
        <v>639</v>
      </c>
      <c r="E666" s="37" t="s">
        <v>647</v>
      </c>
      <c r="F666" s="37" t="s">
        <v>641</v>
      </c>
      <c r="G666" s="37" t="s">
        <v>648</v>
      </c>
      <c r="H666" s="37" t="s">
        <v>643</v>
      </c>
      <c r="I666" s="37" t="s">
        <v>430</v>
      </c>
      <c r="J666" s="37" t="s">
        <v>644</v>
      </c>
      <c r="K666" s="37" t="s">
        <v>14</v>
      </c>
      <c r="L666" s="47">
        <v>9732.8</v>
      </c>
      <c r="M666" s="47">
        <v>9181.88</v>
      </c>
      <c r="N666" s="47">
        <v>550.92</v>
      </c>
      <c r="O666" s="37" t="s">
        <v>1393</v>
      </c>
    </row>
    <row r="667" customHeight="1" spans="1:15">
      <c r="A667" s="37" t="s">
        <v>637</v>
      </c>
      <c r="B667" s="38">
        <v>45169</v>
      </c>
      <c r="C667" s="37" t="s">
        <v>638</v>
      </c>
      <c r="D667" s="37" t="s">
        <v>639</v>
      </c>
      <c r="E667" s="37" t="s">
        <v>647</v>
      </c>
      <c r="F667" s="37" t="s">
        <v>641</v>
      </c>
      <c r="G667" s="37" t="s">
        <v>648</v>
      </c>
      <c r="H667" s="37" t="s">
        <v>643</v>
      </c>
      <c r="I667" s="37" t="s">
        <v>430</v>
      </c>
      <c r="J667" s="37" t="s">
        <v>644</v>
      </c>
      <c r="K667" s="37" t="s">
        <v>14</v>
      </c>
      <c r="L667" s="47">
        <v>1371491.34</v>
      </c>
      <c r="M667" s="47">
        <v>1293859.74</v>
      </c>
      <c r="N667" s="47">
        <v>77631.6</v>
      </c>
      <c r="O667" s="37" t="s">
        <v>1394</v>
      </c>
    </row>
    <row r="668" customHeight="1" spans="1:15">
      <c r="A668" s="37" t="s">
        <v>637</v>
      </c>
      <c r="B668" s="38">
        <v>45169</v>
      </c>
      <c r="C668" s="37" t="s">
        <v>646</v>
      </c>
      <c r="D668" s="37" t="s">
        <v>653</v>
      </c>
      <c r="E668" s="37" t="s">
        <v>640</v>
      </c>
      <c r="F668" s="37" t="s">
        <v>641</v>
      </c>
      <c r="G668" s="37" t="s">
        <v>642</v>
      </c>
      <c r="H668" s="37" t="s">
        <v>650</v>
      </c>
      <c r="I668" s="37" t="s">
        <v>462</v>
      </c>
      <c r="J668" s="37" t="s">
        <v>656</v>
      </c>
      <c r="K668" s="37" t="s">
        <v>166</v>
      </c>
      <c r="L668" s="47">
        <v>2598000</v>
      </c>
      <c r="M668" s="47">
        <v>2450943.4</v>
      </c>
      <c r="N668" s="47">
        <v>147056.6</v>
      </c>
      <c r="O668" s="37" t="s">
        <v>1395</v>
      </c>
    </row>
    <row r="669" customHeight="1" spans="1:15">
      <c r="A669" s="37" t="s">
        <v>637</v>
      </c>
      <c r="B669" s="38">
        <v>45169</v>
      </c>
      <c r="C669" s="37" t="s">
        <v>646</v>
      </c>
      <c r="D669" s="37" t="s">
        <v>639</v>
      </c>
      <c r="E669" s="37" t="s">
        <v>640</v>
      </c>
      <c r="F669" s="37" t="s">
        <v>641</v>
      </c>
      <c r="G669" s="37" t="s">
        <v>648</v>
      </c>
      <c r="H669" s="37" t="s">
        <v>650</v>
      </c>
      <c r="I669" s="37" t="s">
        <v>686</v>
      </c>
      <c r="J669" s="37" t="s">
        <v>644</v>
      </c>
      <c r="K669" s="37" t="s">
        <v>14</v>
      </c>
      <c r="L669" s="47">
        <v>-7189.35</v>
      </c>
      <c r="M669" s="47">
        <v>-6782.41</v>
      </c>
      <c r="N669" s="47">
        <v>-406.94</v>
      </c>
      <c r="O669" s="37" t="s">
        <v>1396</v>
      </c>
    </row>
    <row r="670" customHeight="1" spans="1:15">
      <c r="A670" s="37" t="s">
        <v>637</v>
      </c>
      <c r="B670" s="38">
        <v>45169</v>
      </c>
      <c r="C670" s="37" t="s">
        <v>646</v>
      </c>
      <c r="D670" s="37" t="s">
        <v>639</v>
      </c>
      <c r="E670" s="37" t="s">
        <v>647</v>
      </c>
      <c r="F670" s="37" t="s">
        <v>689</v>
      </c>
      <c r="G670" s="37" t="s">
        <v>654</v>
      </c>
      <c r="H670" s="37" t="s">
        <v>697</v>
      </c>
      <c r="I670" s="37" t="s">
        <v>658</v>
      </c>
      <c r="J670" s="37" t="s">
        <v>656</v>
      </c>
      <c r="K670" s="37" t="s">
        <v>350</v>
      </c>
      <c r="L670" s="47">
        <v>348800</v>
      </c>
      <c r="M670" s="47">
        <v>329056.61</v>
      </c>
      <c r="N670" s="47">
        <v>19743.39</v>
      </c>
      <c r="O670" s="37" t="s">
        <v>1397</v>
      </c>
    </row>
    <row r="671" customHeight="1" spans="1:15">
      <c r="A671" s="37" t="s">
        <v>637</v>
      </c>
      <c r="B671" s="38">
        <v>45169</v>
      </c>
      <c r="C671" s="37" t="s">
        <v>646</v>
      </c>
      <c r="D671" s="37" t="s">
        <v>639</v>
      </c>
      <c r="E671" s="37" t="s">
        <v>647</v>
      </c>
      <c r="F671" s="37" t="s">
        <v>641</v>
      </c>
      <c r="G671" s="37" t="s">
        <v>654</v>
      </c>
      <c r="H671" s="37" t="s">
        <v>643</v>
      </c>
      <c r="I671" s="37" t="s">
        <v>661</v>
      </c>
      <c r="J671" s="37" t="s">
        <v>656</v>
      </c>
      <c r="K671" s="37" t="s">
        <v>350</v>
      </c>
      <c r="L671" s="47">
        <v>337.5</v>
      </c>
      <c r="M671" s="47">
        <v>318.4</v>
      </c>
      <c r="N671" s="47">
        <v>19.1</v>
      </c>
      <c r="O671" s="37" t="s">
        <v>1398</v>
      </c>
    </row>
    <row r="672" customHeight="1" spans="1:15">
      <c r="A672" s="37" t="s">
        <v>637</v>
      </c>
      <c r="B672" s="38">
        <v>45169</v>
      </c>
      <c r="C672" s="37" t="s">
        <v>646</v>
      </c>
      <c r="D672" s="37" t="s">
        <v>639</v>
      </c>
      <c r="E672" s="37" t="s">
        <v>647</v>
      </c>
      <c r="F672" s="37" t="s">
        <v>641</v>
      </c>
      <c r="G672" s="37" t="s">
        <v>642</v>
      </c>
      <c r="H672" s="37" t="s">
        <v>650</v>
      </c>
      <c r="I672" s="37" t="s">
        <v>678</v>
      </c>
      <c r="J672" s="37" t="s">
        <v>656</v>
      </c>
      <c r="K672" s="37" t="s">
        <v>350</v>
      </c>
      <c r="L672" s="47">
        <v>84</v>
      </c>
      <c r="M672" s="47">
        <v>79.24</v>
      </c>
      <c r="N672" s="47">
        <v>4.76</v>
      </c>
      <c r="O672" s="37" t="s">
        <v>1399</v>
      </c>
    </row>
    <row r="673" customHeight="1" spans="1:15">
      <c r="A673" s="37" t="s">
        <v>637</v>
      </c>
      <c r="B673" s="38">
        <v>45169</v>
      </c>
      <c r="C673" s="37" t="s">
        <v>646</v>
      </c>
      <c r="D673" s="37" t="s">
        <v>639</v>
      </c>
      <c r="E673" s="37" t="s">
        <v>640</v>
      </c>
      <c r="F673" s="37" t="s">
        <v>689</v>
      </c>
      <c r="G673" s="37" t="s">
        <v>648</v>
      </c>
      <c r="H673" s="37" t="s">
        <v>650</v>
      </c>
      <c r="I673" s="37" t="s">
        <v>690</v>
      </c>
      <c r="J673" s="37" t="s">
        <v>656</v>
      </c>
      <c r="K673" s="37" t="s">
        <v>165</v>
      </c>
      <c r="L673" s="47">
        <v>3230</v>
      </c>
      <c r="M673" s="47">
        <v>3047.17</v>
      </c>
      <c r="N673" s="47">
        <v>182.83</v>
      </c>
      <c r="O673" s="37" t="s">
        <v>1400</v>
      </c>
    </row>
    <row r="674" customHeight="1" spans="1:15">
      <c r="A674" s="37" t="s">
        <v>637</v>
      </c>
      <c r="B674" s="38">
        <v>45169</v>
      </c>
      <c r="C674" s="37" t="s">
        <v>811</v>
      </c>
      <c r="D674" s="37" t="s">
        <v>639</v>
      </c>
      <c r="E674" s="37" t="s">
        <v>647</v>
      </c>
      <c r="F674" s="37" t="s">
        <v>641</v>
      </c>
      <c r="G674" s="37" t="s">
        <v>642</v>
      </c>
      <c r="H674" s="37" t="s">
        <v>650</v>
      </c>
      <c r="I674" s="37" t="s">
        <v>430</v>
      </c>
      <c r="J674" s="37" t="s">
        <v>644</v>
      </c>
      <c r="K674" s="37" t="s">
        <v>14</v>
      </c>
      <c r="L674" s="47">
        <v>46004.4</v>
      </c>
      <c r="M674" s="47">
        <v>43400.36</v>
      </c>
      <c r="N674" s="47">
        <v>2604.04</v>
      </c>
      <c r="O674" s="37" t="s">
        <v>1401</v>
      </c>
    </row>
    <row r="675" customHeight="1" spans="1:15">
      <c r="A675" s="37" t="s">
        <v>637</v>
      </c>
      <c r="B675" s="38">
        <v>45169</v>
      </c>
      <c r="C675" s="37" t="s">
        <v>646</v>
      </c>
      <c r="D675" s="37" t="s">
        <v>639</v>
      </c>
      <c r="E675" s="37" t="s">
        <v>647</v>
      </c>
      <c r="F675" s="37" t="s">
        <v>641</v>
      </c>
      <c r="G675" s="37" t="s">
        <v>642</v>
      </c>
      <c r="H675" s="37" t="s">
        <v>650</v>
      </c>
      <c r="I675" s="37" t="s">
        <v>430</v>
      </c>
      <c r="J675" s="37" t="s">
        <v>644</v>
      </c>
      <c r="K675" s="37" t="s">
        <v>14</v>
      </c>
      <c r="L675" s="47">
        <v>2221392.78</v>
      </c>
      <c r="M675" s="47">
        <v>2095653.55</v>
      </c>
      <c r="N675" s="47">
        <v>125739.23</v>
      </c>
      <c r="O675" s="37" t="s">
        <v>1402</v>
      </c>
    </row>
    <row r="676" customHeight="1" spans="1:15">
      <c r="A676" s="37" t="s">
        <v>637</v>
      </c>
      <c r="B676" s="38">
        <v>45169</v>
      </c>
      <c r="C676" s="37" t="s">
        <v>811</v>
      </c>
      <c r="D676" s="37" t="s">
        <v>726</v>
      </c>
      <c r="E676" s="37" t="s">
        <v>647</v>
      </c>
      <c r="F676" s="37" t="s">
        <v>641</v>
      </c>
      <c r="G676" s="37" t="s">
        <v>648</v>
      </c>
      <c r="H676" s="37" t="s">
        <v>643</v>
      </c>
      <c r="I676" s="37" t="s">
        <v>430</v>
      </c>
      <c r="J676" s="37" t="s">
        <v>644</v>
      </c>
      <c r="K676" s="37" t="s">
        <v>14</v>
      </c>
      <c r="L676" s="47">
        <v>731610.36</v>
      </c>
      <c r="M676" s="47">
        <v>690198.49</v>
      </c>
      <c r="N676" s="47">
        <v>41411.87</v>
      </c>
      <c r="O676" s="37" t="s">
        <v>1403</v>
      </c>
    </row>
    <row r="677" customHeight="1" spans="1:15">
      <c r="A677" s="37" t="s">
        <v>637</v>
      </c>
      <c r="B677" s="38">
        <v>45169</v>
      </c>
      <c r="C677" s="37" t="s">
        <v>646</v>
      </c>
      <c r="D677" s="37" t="s">
        <v>639</v>
      </c>
      <c r="E677" s="37" t="s">
        <v>647</v>
      </c>
      <c r="F677" s="37" t="s">
        <v>641</v>
      </c>
      <c r="G677" s="37" t="s">
        <v>648</v>
      </c>
      <c r="H677" s="37" t="s">
        <v>643</v>
      </c>
      <c r="I677" s="37" t="s">
        <v>430</v>
      </c>
      <c r="J677" s="37" t="s">
        <v>644</v>
      </c>
      <c r="K677" s="37" t="s">
        <v>14</v>
      </c>
      <c r="L677" s="47">
        <v>6039.87</v>
      </c>
      <c r="M677" s="47">
        <v>5697.96</v>
      </c>
      <c r="N677" s="47">
        <v>341.91</v>
      </c>
      <c r="O677" s="37" t="s">
        <v>1404</v>
      </c>
    </row>
    <row r="678" customHeight="1" spans="1:15">
      <c r="A678" s="37" t="s">
        <v>637</v>
      </c>
      <c r="B678" s="38">
        <v>45169</v>
      </c>
      <c r="C678" s="37" t="s">
        <v>811</v>
      </c>
      <c r="D678" s="37" t="s">
        <v>1296</v>
      </c>
      <c r="E678" s="37" t="s">
        <v>647</v>
      </c>
      <c r="F678" s="37" t="s">
        <v>641</v>
      </c>
      <c r="G678" s="37" t="s">
        <v>648</v>
      </c>
      <c r="H678" s="37" t="s">
        <v>643</v>
      </c>
      <c r="I678" s="37" t="s">
        <v>430</v>
      </c>
      <c r="J678" s="37" t="s">
        <v>644</v>
      </c>
      <c r="K678" s="37" t="s">
        <v>14</v>
      </c>
      <c r="L678" s="47">
        <v>564448.57</v>
      </c>
      <c r="M678" s="47">
        <v>532498.64</v>
      </c>
      <c r="N678" s="47">
        <v>31949.93</v>
      </c>
      <c r="O678" s="37" t="s">
        <v>1405</v>
      </c>
    </row>
    <row r="679" customHeight="1" spans="1:15">
      <c r="A679" s="37" t="s">
        <v>637</v>
      </c>
      <c r="B679" s="38">
        <v>45169</v>
      </c>
      <c r="C679" s="37" t="s">
        <v>646</v>
      </c>
      <c r="D679" s="37" t="s">
        <v>639</v>
      </c>
      <c r="E679" s="37" t="s">
        <v>647</v>
      </c>
      <c r="F679" s="37" t="s">
        <v>641</v>
      </c>
      <c r="G679" s="37" t="s">
        <v>648</v>
      </c>
      <c r="H679" s="37" t="s">
        <v>650</v>
      </c>
      <c r="I679" s="37" t="s">
        <v>686</v>
      </c>
      <c r="J679" s="37" t="s">
        <v>656</v>
      </c>
      <c r="K679" s="37" t="s">
        <v>14</v>
      </c>
      <c r="L679" s="47">
        <v>7189.35</v>
      </c>
      <c r="M679" s="47">
        <v>6782.43</v>
      </c>
      <c r="N679" s="47">
        <v>406.92</v>
      </c>
      <c r="O679" s="37" t="s">
        <v>1406</v>
      </c>
    </row>
    <row r="680" customHeight="1" spans="1:15">
      <c r="A680" s="37" t="s">
        <v>637</v>
      </c>
      <c r="B680" s="38">
        <v>45169</v>
      </c>
      <c r="C680" s="37" t="s">
        <v>992</v>
      </c>
      <c r="D680" s="37" t="s">
        <v>639</v>
      </c>
      <c r="E680" s="37" t="s">
        <v>647</v>
      </c>
      <c r="F680" s="37" t="s">
        <v>641</v>
      </c>
      <c r="G680" s="37" t="s">
        <v>648</v>
      </c>
      <c r="H680" s="37" t="s">
        <v>643</v>
      </c>
      <c r="I680" s="37" t="s">
        <v>430</v>
      </c>
      <c r="J680" s="37" t="s">
        <v>644</v>
      </c>
      <c r="K680" s="37" t="s">
        <v>14</v>
      </c>
      <c r="L680" s="47">
        <v>371486.2</v>
      </c>
      <c r="M680" s="47">
        <v>350458.67</v>
      </c>
      <c r="N680" s="47">
        <v>21027.53</v>
      </c>
      <c r="O680" s="37" t="s">
        <v>1407</v>
      </c>
    </row>
    <row r="681" customHeight="1" spans="1:15">
      <c r="A681" s="37" t="s">
        <v>637</v>
      </c>
      <c r="B681" s="38">
        <v>45169</v>
      </c>
      <c r="C681" s="37" t="s">
        <v>700</v>
      </c>
      <c r="D681" s="37" t="s">
        <v>639</v>
      </c>
      <c r="E681" s="37" t="s">
        <v>647</v>
      </c>
      <c r="F681" s="37" t="s">
        <v>641</v>
      </c>
      <c r="G681" s="37" t="s">
        <v>648</v>
      </c>
      <c r="H681" s="37" t="s">
        <v>643</v>
      </c>
      <c r="I681" s="37" t="s">
        <v>430</v>
      </c>
      <c r="J681" s="37" t="s">
        <v>644</v>
      </c>
      <c r="K681" s="37" t="s">
        <v>14</v>
      </c>
      <c r="L681" s="47">
        <v>552244.89</v>
      </c>
      <c r="M681" s="47">
        <v>520985.78</v>
      </c>
      <c r="N681" s="47">
        <v>31259.11</v>
      </c>
      <c r="O681" s="37" t="s">
        <v>1408</v>
      </c>
    </row>
    <row r="682" customHeight="1" spans="1:15">
      <c r="A682" s="37" t="s">
        <v>637</v>
      </c>
      <c r="B682" s="38">
        <v>45169</v>
      </c>
      <c r="C682" s="37" t="s">
        <v>700</v>
      </c>
      <c r="D682" s="37" t="s">
        <v>639</v>
      </c>
      <c r="E682" s="37" t="s">
        <v>647</v>
      </c>
      <c r="F682" s="37" t="s">
        <v>641</v>
      </c>
      <c r="G682" s="37" t="s">
        <v>648</v>
      </c>
      <c r="H682" s="37" t="s">
        <v>650</v>
      </c>
      <c r="I682" s="37" t="s">
        <v>460</v>
      </c>
      <c r="J682" s="37" t="s">
        <v>644</v>
      </c>
      <c r="K682" s="37" t="s">
        <v>14</v>
      </c>
      <c r="L682" s="47">
        <v>620595.35</v>
      </c>
      <c r="M682" s="47">
        <v>585467.32</v>
      </c>
      <c r="N682" s="47">
        <v>35128.03</v>
      </c>
      <c r="O682" s="37" t="s">
        <v>1409</v>
      </c>
    </row>
    <row r="683" customHeight="1" spans="1:15">
      <c r="A683" s="37" t="s">
        <v>637</v>
      </c>
      <c r="B683" s="38">
        <v>45169</v>
      </c>
      <c r="C683" s="37" t="s">
        <v>700</v>
      </c>
      <c r="D683" s="37" t="s">
        <v>639</v>
      </c>
      <c r="E683" s="37" t="s">
        <v>640</v>
      </c>
      <c r="F683" s="37" t="s">
        <v>641</v>
      </c>
      <c r="G683" s="37" t="s">
        <v>648</v>
      </c>
      <c r="H683" s="37" t="s">
        <v>650</v>
      </c>
      <c r="I683" s="37" t="s">
        <v>779</v>
      </c>
      <c r="J683" s="37" t="s">
        <v>644</v>
      </c>
      <c r="K683" s="37" t="s">
        <v>14</v>
      </c>
      <c r="L683" s="47">
        <v>6265.34</v>
      </c>
      <c r="M683" s="47">
        <v>5910.7</v>
      </c>
      <c r="N683" s="47">
        <v>354.64</v>
      </c>
      <c r="O683" s="37" t="s">
        <v>1410</v>
      </c>
    </row>
    <row r="684" customHeight="1" spans="1:15">
      <c r="A684" s="37" t="s">
        <v>637</v>
      </c>
      <c r="B684" s="38">
        <v>45169</v>
      </c>
      <c r="C684" s="37" t="s">
        <v>700</v>
      </c>
      <c r="D684" s="37" t="s">
        <v>639</v>
      </c>
      <c r="E684" s="37" t="s">
        <v>647</v>
      </c>
      <c r="F684" s="37" t="s">
        <v>659</v>
      </c>
      <c r="G684" s="37" t="s">
        <v>642</v>
      </c>
      <c r="H684" s="37" t="s">
        <v>650</v>
      </c>
      <c r="I684" s="37" t="s">
        <v>442</v>
      </c>
      <c r="J684" s="37" t="s">
        <v>644</v>
      </c>
      <c r="K684" s="37" t="s">
        <v>14</v>
      </c>
      <c r="L684" s="47">
        <v>38720.24</v>
      </c>
      <c r="M684" s="47">
        <v>36528.56</v>
      </c>
      <c r="N684" s="47">
        <v>2191.68</v>
      </c>
      <c r="O684" s="37" t="s">
        <v>1411</v>
      </c>
    </row>
    <row r="685" customHeight="1" spans="1:15">
      <c r="A685" s="37" t="s">
        <v>637</v>
      </c>
      <c r="B685" s="38">
        <v>45169</v>
      </c>
      <c r="C685" s="37" t="s">
        <v>700</v>
      </c>
      <c r="D685" s="37" t="s">
        <v>639</v>
      </c>
      <c r="E685" s="37" t="s">
        <v>647</v>
      </c>
      <c r="F685" s="37" t="s">
        <v>641</v>
      </c>
      <c r="G685" s="37" t="s">
        <v>648</v>
      </c>
      <c r="H685" s="37" t="s">
        <v>643</v>
      </c>
      <c r="I685" s="37" t="s">
        <v>442</v>
      </c>
      <c r="J685" s="37" t="s">
        <v>644</v>
      </c>
      <c r="K685" s="37" t="s">
        <v>14</v>
      </c>
      <c r="L685" s="47">
        <v>718517.33</v>
      </c>
      <c r="M685" s="47">
        <v>677846.58</v>
      </c>
      <c r="N685" s="47">
        <v>40670.75</v>
      </c>
      <c r="O685" s="37" t="s">
        <v>1412</v>
      </c>
    </row>
    <row r="686" customHeight="1" spans="1:15">
      <c r="A686" s="37" t="s">
        <v>637</v>
      </c>
      <c r="B686" s="38">
        <v>45169</v>
      </c>
      <c r="C686" s="37" t="s">
        <v>700</v>
      </c>
      <c r="D686" s="37" t="s">
        <v>639</v>
      </c>
      <c r="E686" s="37" t="s">
        <v>640</v>
      </c>
      <c r="F686" s="37" t="s">
        <v>641</v>
      </c>
      <c r="G686" s="37" t="s">
        <v>648</v>
      </c>
      <c r="H686" s="37" t="s">
        <v>650</v>
      </c>
      <c r="I686" s="37" t="s">
        <v>442</v>
      </c>
      <c r="J686" s="37" t="s">
        <v>644</v>
      </c>
      <c r="K686" s="37" t="s">
        <v>14</v>
      </c>
      <c r="L686" s="47">
        <v>65177.47</v>
      </c>
      <c r="M686" s="47">
        <v>61488.18</v>
      </c>
      <c r="N686" s="47">
        <v>3689.29</v>
      </c>
      <c r="O686" s="37" t="s">
        <v>1413</v>
      </c>
    </row>
    <row r="687" customHeight="1" spans="1:15">
      <c r="A687" s="37" t="s">
        <v>637</v>
      </c>
      <c r="B687" s="38">
        <v>45169</v>
      </c>
      <c r="C687" s="37" t="s">
        <v>730</v>
      </c>
      <c r="D687" s="37" t="s">
        <v>653</v>
      </c>
      <c r="E687" s="37" t="s">
        <v>640</v>
      </c>
      <c r="F687" s="37" t="s">
        <v>659</v>
      </c>
      <c r="G687" s="37" t="s">
        <v>654</v>
      </c>
      <c r="H687" s="37" t="s">
        <v>650</v>
      </c>
      <c r="I687" s="37" t="s">
        <v>719</v>
      </c>
      <c r="J687" s="37" t="s">
        <v>656</v>
      </c>
      <c r="K687" s="37" t="s">
        <v>166</v>
      </c>
      <c r="L687" s="47">
        <v>847.2</v>
      </c>
      <c r="M687" s="47">
        <v>799.25</v>
      </c>
      <c r="N687" s="47">
        <v>47.95</v>
      </c>
      <c r="O687" s="37" t="s">
        <v>1414</v>
      </c>
    </row>
    <row r="688" customHeight="1" spans="1:15">
      <c r="A688" s="37" t="s">
        <v>637</v>
      </c>
      <c r="B688" s="38">
        <v>45169</v>
      </c>
      <c r="C688" s="37" t="s">
        <v>710</v>
      </c>
      <c r="D688" s="37" t="s">
        <v>639</v>
      </c>
      <c r="E688" s="37" t="s">
        <v>647</v>
      </c>
      <c r="F688" s="37" t="s">
        <v>707</v>
      </c>
      <c r="G688" s="37" t="s">
        <v>648</v>
      </c>
      <c r="H688" s="37" t="s">
        <v>650</v>
      </c>
      <c r="I688" s="37" t="s">
        <v>723</v>
      </c>
      <c r="J688" s="37" t="s">
        <v>644</v>
      </c>
      <c r="K688" s="37" t="s">
        <v>165</v>
      </c>
      <c r="L688" s="47">
        <v>1420863.5</v>
      </c>
      <c r="M688" s="47">
        <v>1340437.25</v>
      </c>
      <c r="N688" s="47">
        <v>80426.25</v>
      </c>
      <c r="O688" s="37" t="s">
        <v>1415</v>
      </c>
    </row>
    <row r="689" customHeight="1" spans="1:15">
      <c r="A689" s="37" t="s">
        <v>637</v>
      </c>
      <c r="B689" s="38">
        <v>45169</v>
      </c>
      <c r="C689" s="37" t="s">
        <v>715</v>
      </c>
      <c r="D689" s="37" t="s">
        <v>653</v>
      </c>
      <c r="E689" s="37" t="s">
        <v>647</v>
      </c>
      <c r="F689" s="37" t="s">
        <v>659</v>
      </c>
      <c r="G689" s="37" t="s">
        <v>648</v>
      </c>
      <c r="H689" s="37" t="s">
        <v>650</v>
      </c>
      <c r="I689" s="37" t="s">
        <v>716</v>
      </c>
      <c r="J689" s="37" t="s">
        <v>656</v>
      </c>
      <c r="K689" s="37" t="s">
        <v>166</v>
      </c>
      <c r="L689" s="47">
        <v>297.81</v>
      </c>
      <c r="M689" s="47">
        <v>280.95</v>
      </c>
      <c r="N689" s="47">
        <v>16.86</v>
      </c>
      <c r="O689" s="37" t="s">
        <v>1416</v>
      </c>
    </row>
    <row r="690" customHeight="1" spans="1:15">
      <c r="A690" s="37" t="s">
        <v>637</v>
      </c>
      <c r="B690" s="38">
        <v>45169</v>
      </c>
      <c r="C690" s="37" t="s">
        <v>710</v>
      </c>
      <c r="D690" s="37" t="s">
        <v>682</v>
      </c>
      <c r="E690" s="37" t="s">
        <v>647</v>
      </c>
      <c r="F690" s="37" t="s">
        <v>641</v>
      </c>
      <c r="G690" s="37" t="s">
        <v>648</v>
      </c>
      <c r="H690" s="37" t="s">
        <v>650</v>
      </c>
      <c r="I690" s="37" t="s">
        <v>711</v>
      </c>
      <c r="J690" s="37" t="s">
        <v>656</v>
      </c>
      <c r="K690" s="37" t="s">
        <v>13</v>
      </c>
      <c r="L690" s="47">
        <v>162</v>
      </c>
      <c r="M690" s="47">
        <v>152.83</v>
      </c>
      <c r="N690" s="47">
        <v>9.17</v>
      </c>
      <c r="O690" s="37" t="s">
        <v>1417</v>
      </c>
    </row>
    <row r="691" customHeight="1" spans="1:15">
      <c r="A691" s="37" t="s">
        <v>637</v>
      </c>
      <c r="B691" s="38">
        <v>45169</v>
      </c>
      <c r="C691" s="37" t="s">
        <v>710</v>
      </c>
      <c r="D691" s="37" t="s">
        <v>682</v>
      </c>
      <c r="E691" s="37" t="s">
        <v>640</v>
      </c>
      <c r="F691" s="37" t="s">
        <v>641</v>
      </c>
      <c r="G691" s="37" t="s">
        <v>642</v>
      </c>
      <c r="H691" s="37" t="s">
        <v>650</v>
      </c>
      <c r="I691" s="37" t="s">
        <v>751</v>
      </c>
      <c r="J691" s="37" t="s">
        <v>656</v>
      </c>
      <c r="K691" s="37" t="s">
        <v>13</v>
      </c>
      <c r="L691" s="47">
        <v>20000</v>
      </c>
      <c r="M691" s="47">
        <v>18867.92</v>
      </c>
      <c r="N691" s="47">
        <v>1132.08</v>
      </c>
      <c r="O691" s="37" t="s">
        <v>1418</v>
      </c>
    </row>
    <row r="692" customHeight="1" spans="1:15">
      <c r="A692" s="37" t="s">
        <v>637</v>
      </c>
      <c r="B692" s="38">
        <v>45169</v>
      </c>
      <c r="C692" s="37" t="s">
        <v>710</v>
      </c>
      <c r="D692" s="37" t="s">
        <v>639</v>
      </c>
      <c r="E692" s="37" t="s">
        <v>640</v>
      </c>
      <c r="F692" s="37" t="s">
        <v>707</v>
      </c>
      <c r="G692" s="37" t="s">
        <v>648</v>
      </c>
      <c r="H692" s="37" t="s">
        <v>650</v>
      </c>
      <c r="I692" s="37" t="s">
        <v>723</v>
      </c>
      <c r="J692" s="37" t="s">
        <v>644</v>
      </c>
      <c r="K692" s="37" t="s">
        <v>165</v>
      </c>
      <c r="L692" s="47">
        <v>-74210.6</v>
      </c>
      <c r="M692" s="47">
        <v>-70010</v>
      </c>
      <c r="N692" s="47">
        <v>-4200.6</v>
      </c>
      <c r="O692" s="37" t="s">
        <v>1419</v>
      </c>
    </row>
    <row r="693" customHeight="1" spans="1:15">
      <c r="A693" s="37" t="s">
        <v>637</v>
      </c>
      <c r="B693" s="38">
        <v>45169</v>
      </c>
      <c r="C693" s="37" t="s">
        <v>748</v>
      </c>
      <c r="D693" s="37" t="s">
        <v>639</v>
      </c>
      <c r="E693" s="37" t="s">
        <v>640</v>
      </c>
      <c r="F693" s="37" t="s">
        <v>689</v>
      </c>
      <c r="G693" s="37" t="s">
        <v>642</v>
      </c>
      <c r="H693" s="37" t="s">
        <v>697</v>
      </c>
      <c r="I693" s="37" t="s">
        <v>696</v>
      </c>
      <c r="J693" s="37" t="s">
        <v>656</v>
      </c>
      <c r="K693" s="37" t="s">
        <v>350</v>
      </c>
      <c r="L693" s="47">
        <v>906352</v>
      </c>
      <c r="M693" s="47">
        <v>855049.06</v>
      </c>
      <c r="N693" s="47">
        <v>51302.94</v>
      </c>
      <c r="O693" s="37" t="s">
        <v>1420</v>
      </c>
    </row>
    <row r="694" customHeight="1" spans="1:15">
      <c r="A694" s="37" t="s">
        <v>637</v>
      </c>
      <c r="B694" s="38">
        <v>45169</v>
      </c>
      <c r="C694" s="37" t="s">
        <v>748</v>
      </c>
      <c r="D694" s="37" t="s">
        <v>639</v>
      </c>
      <c r="E694" s="37" t="s">
        <v>640</v>
      </c>
      <c r="F694" s="37" t="s">
        <v>689</v>
      </c>
      <c r="G694" s="37" t="s">
        <v>654</v>
      </c>
      <c r="H694" s="37" t="s">
        <v>697</v>
      </c>
      <c r="I694" s="37" t="s">
        <v>665</v>
      </c>
      <c r="J694" s="37" t="s">
        <v>656</v>
      </c>
      <c r="K694" s="37" t="s">
        <v>350</v>
      </c>
      <c r="L694" s="47">
        <v>222</v>
      </c>
      <c r="M694" s="47">
        <v>209.43</v>
      </c>
      <c r="N694" s="47">
        <v>12.57</v>
      </c>
      <c r="O694" s="37" t="s">
        <v>1421</v>
      </c>
    </row>
    <row r="695" customHeight="1" spans="1:15">
      <c r="A695" s="37" t="s">
        <v>637</v>
      </c>
      <c r="B695" s="38">
        <v>45169</v>
      </c>
      <c r="C695" s="37" t="s">
        <v>748</v>
      </c>
      <c r="D695" s="37" t="s">
        <v>639</v>
      </c>
      <c r="E695" s="37" t="s">
        <v>640</v>
      </c>
      <c r="F695" s="37" t="s">
        <v>689</v>
      </c>
      <c r="G695" s="37" t="s">
        <v>642</v>
      </c>
      <c r="H695" s="37" t="s">
        <v>697</v>
      </c>
      <c r="I695" s="37" t="s">
        <v>696</v>
      </c>
      <c r="J695" s="37" t="s">
        <v>656</v>
      </c>
      <c r="K695" s="37" t="s">
        <v>350</v>
      </c>
      <c r="L695" s="47">
        <v>355680</v>
      </c>
      <c r="M695" s="47">
        <v>335547.17</v>
      </c>
      <c r="N695" s="47">
        <v>20132.83</v>
      </c>
      <c r="O695" s="37" t="s">
        <v>1422</v>
      </c>
    </row>
    <row r="696" customHeight="1" spans="1:15">
      <c r="A696" s="37" t="s">
        <v>637</v>
      </c>
      <c r="B696" s="38">
        <v>45169</v>
      </c>
      <c r="C696" s="37" t="s">
        <v>748</v>
      </c>
      <c r="D696" s="37" t="s">
        <v>682</v>
      </c>
      <c r="E696" s="37" t="s">
        <v>640</v>
      </c>
      <c r="F696" s="37" t="s">
        <v>641</v>
      </c>
      <c r="G696" s="37" t="s">
        <v>642</v>
      </c>
      <c r="H696" s="37" t="s">
        <v>650</v>
      </c>
      <c r="I696" s="37" t="s">
        <v>747</v>
      </c>
      <c r="J696" s="37" t="s">
        <v>656</v>
      </c>
      <c r="K696" s="37" t="s">
        <v>13</v>
      </c>
      <c r="L696" s="47">
        <v>219950</v>
      </c>
      <c r="M696" s="47">
        <v>207500</v>
      </c>
      <c r="N696" s="47">
        <v>12450</v>
      </c>
      <c r="O696" s="37" t="s">
        <v>1423</v>
      </c>
    </row>
    <row r="697" customHeight="1" spans="1:15">
      <c r="A697" s="37" t="s">
        <v>637</v>
      </c>
      <c r="B697" s="38">
        <v>45169</v>
      </c>
      <c r="C697" s="37" t="s">
        <v>748</v>
      </c>
      <c r="D697" s="37" t="s">
        <v>682</v>
      </c>
      <c r="E697" s="37" t="s">
        <v>640</v>
      </c>
      <c r="F697" s="37" t="s">
        <v>641</v>
      </c>
      <c r="G697" s="37" t="s">
        <v>642</v>
      </c>
      <c r="H697" s="37" t="s">
        <v>650</v>
      </c>
      <c r="I697" s="37" t="s">
        <v>742</v>
      </c>
      <c r="J697" s="37" t="s">
        <v>656</v>
      </c>
      <c r="K697" s="37" t="s">
        <v>13</v>
      </c>
      <c r="L697" s="47">
        <v>32350.84</v>
      </c>
      <c r="M697" s="47">
        <v>30519.66</v>
      </c>
      <c r="N697" s="47">
        <v>1831.18</v>
      </c>
      <c r="O697" s="37" t="s">
        <v>1424</v>
      </c>
    </row>
    <row r="698" customHeight="1" spans="1:15">
      <c r="A698" s="37" t="s">
        <v>637</v>
      </c>
      <c r="B698" s="38">
        <v>45169</v>
      </c>
      <c r="C698" s="37" t="s">
        <v>748</v>
      </c>
      <c r="D698" s="37" t="s">
        <v>682</v>
      </c>
      <c r="E698" s="37" t="s">
        <v>640</v>
      </c>
      <c r="F698" s="37" t="s">
        <v>641</v>
      </c>
      <c r="G698" s="37" t="s">
        <v>642</v>
      </c>
      <c r="H698" s="37" t="s">
        <v>650</v>
      </c>
      <c r="I698" s="37" t="s">
        <v>747</v>
      </c>
      <c r="J698" s="37" t="s">
        <v>656</v>
      </c>
      <c r="K698" s="37" t="s">
        <v>13</v>
      </c>
      <c r="L698" s="47">
        <v>130251.49</v>
      </c>
      <c r="M698" s="47">
        <v>122878.76</v>
      </c>
      <c r="N698" s="47">
        <v>7372.73</v>
      </c>
      <c r="O698" s="37" t="s">
        <v>1425</v>
      </c>
    </row>
    <row r="699" customHeight="1" spans="1:15">
      <c r="A699" s="37" t="s">
        <v>637</v>
      </c>
      <c r="B699" s="38">
        <v>45169</v>
      </c>
      <c r="C699" s="37" t="s">
        <v>748</v>
      </c>
      <c r="D699" s="37" t="s">
        <v>639</v>
      </c>
      <c r="E699" s="37" t="s">
        <v>640</v>
      </c>
      <c r="F699" s="37" t="s">
        <v>707</v>
      </c>
      <c r="G699" s="37" t="s">
        <v>648</v>
      </c>
      <c r="H699" s="37" t="s">
        <v>650</v>
      </c>
      <c r="I699" s="37" t="s">
        <v>754</v>
      </c>
      <c r="J699" s="37" t="s">
        <v>644</v>
      </c>
      <c r="K699" s="37" t="s">
        <v>14</v>
      </c>
      <c r="L699" s="47">
        <v>292750.5</v>
      </c>
      <c r="M699" s="47">
        <v>276179.72</v>
      </c>
      <c r="N699" s="47">
        <v>16570.78</v>
      </c>
      <c r="O699" s="37" t="s">
        <v>1426</v>
      </c>
    </row>
    <row r="700" customHeight="1" spans="1:15">
      <c r="A700" s="37" t="s">
        <v>637</v>
      </c>
      <c r="B700" s="38">
        <v>45169</v>
      </c>
      <c r="C700" s="37" t="s">
        <v>748</v>
      </c>
      <c r="D700" s="37" t="s">
        <v>653</v>
      </c>
      <c r="E700" s="37" t="s">
        <v>640</v>
      </c>
      <c r="F700" s="37" t="s">
        <v>659</v>
      </c>
      <c r="G700" s="37" t="s">
        <v>648</v>
      </c>
      <c r="H700" s="37" t="s">
        <v>650</v>
      </c>
      <c r="I700" s="37" t="s">
        <v>728</v>
      </c>
      <c r="J700" s="37" t="s">
        <v>656</v>
      </c>
      <c r="K700" s="37" t="s">
        <v>166</v>
      </c>
      <c r="L700" s="47">
        <v>856.78</v>
      </c>
      <c r="M700" s="47">
        <v>808.28</v>
      </c>
      <c r="N700" s="47">
        <v>48.5</v>
      </c>
      <c r="O700" s="37" t="s">
        <v>1427</v>
      </c>
    </row>
    <row r="701" customHeight="1" spans="1:15">
      <c r="A701" s="37" t="s">
        <v>637</v>
      </c>
      <c r="B701" s="38">
        <v>45169</v>
      </c>
      <c r="C701" s="37" t="s">
        <v>748</v>
      </c>
      <c r="D701" s="37" t="s">
        <v>653</v>
      </c>
      <c r="E701" s="37" t="s">
        <v>640</v>
      </c>
      <c r="F701" s="37" t="s">
        <v>659</v>
      </c>
      <c r="G701" s="37" t="s">
        <v>648</v>
      </c>
      <c r="H701" s="37" t="s">
        <v>650</v>
      </c>
      <c r="I701" s="37" t="s">
        <v>728</v>
      </c>
      <c r="J701" s="37" t="s">
        <v>656</v>
      </c>
      <c r="K701" s="37" t="s">
        <v>166</v>
      </c>
      <c r="L701" s="47">
        <v>-53.75</v>
      </c>
      <c r="M701" s="47">
        <v>-50.71</v>
      </c>
      <c r="N701" s="47">
        <v>-3.04</v>
      </c>
      <c r="O701" s="37" t="s">
        <v>1428</v>
      </c>
    </row>
    <row r="702" customHeight="1" spans="1:15">
      <c r="A702" s="37" t="s">
        <v>637</v>
      </c>
      <c r="B702" s="38">
        <v>45169</v>
      </c>
      <c r="C702" s="37" t="s">
        <v>748</v>
      </c>
      <c r="D702" s="37" t="s">
        <v>653</v>
      </c>
      <c r="E702" s="37" t="s">
        <v>640</v>
      </c>
      <c r="F702" s="37" t="s">
        <v>659</v>
      </c>
      <c r="G702" s="37" t="s">
        <v>642</v>
      </c>
      <c r="H702" s="37" t="s">
        <v>650</v>
      </c>
      <c r="I702" s="37" t="s">
        <v>429</v>
      </c>
      <c r="J702" s="37" t="s">
        <v>656</v>
      </c>
      <c r="K702" s="37" t="s">
        <v>166</v>
      </c>
      <c r="L702" s="47">
        <v>-15.39</v>
      </c>
      <c r="M702" s="47">
        <v>-14.52</v>
      </c>
      <c r="N702" s="47">
        <v>-0.87</v>
      </c>
      <c r="O702" s="37" t="s">
        <v>1429</v>
      </c>
    </row>
    <row r="703" customHeight="1" spans="1:15">
      <c r="A703" s="37" t="s">
        <v>637</v>
      </c>
      <c r="B703" s="38">
        <v>45169</v>
      </c>
      <c r="C703" s="37" t="s">
        <v>748</v>
      </c>
      <c r="D703" s="37" t="s">
        <v>653</v>
      </c>
      <c r="E703" s="37" t="s">
        <v>640</v>
      </c>
      <c r="F703" s="37" t="s">
        <v>659</v>
      </c>
      <c r="G703" s="37" t="s">
        <v>648</v>
      </c>
      <c r="H703" s="37" t="s">
        <v>650</v>
      </c>
      <c r="I703" s="37" t="s">
        <v>429</v>
      </c>
      <c r="J703" s="37" t="s">
        <v>656</v>
      </c>
      <c r="K703" s="37" t="s">
        <v>166</v>
      </c>
      <c r="L703" s="47">
        <v>54.3</v>
      </c>
      <c r="M703" s="47">
        <v>51.23</v>
      </c>
      <c r="N703" s="47">
        <v>3.07</v>
      </c>
      <c r="O703" s="37" t="s">
        <v>1430</v>
      </c>
    </row>
    <row r="704" customHeight="1" spans="1:15">
      <c r="A704" s="37" t="s">
        <v>637</v>
      </c>
      <c r="B704" s="38">
        <v>45169</v>
      </c>
      <c r="C704" s="37" t="s">
        <v>748</v>
      </c>
      <c r="D704" s="37" t="s">
        <v>653</v>
      </c>
      <c r="E704" s="37" t="s">
        <v>640</v>
      </c>
      <c r="F704" s="37" t="s">
        <v>659</v>
      </c>
      <c r="G704" s="37" t="s">
        <v>642</v>
      </c>
      <c r="H704" s="37" t="s">
        <v>650</v>
      </c>
      <c r="I704" s="37" t="s">
        <v>728</v>
      </c>
      <c r="J704" s="37" t="s">
        <v>656</v>
      </c>
      <c r="K704" s="37" t="s">
        <v>166</v>
      </c>
      <c r="L704" s="47">
        <v>-1527.77</v>
      </c>
      <c r="M704" s="47">
        <v>-1441.29</v>
      </c>
      <c r="N704" s="47">
        <v>-86.48</v>
      </c>
      <c r="O704" s="37" t="s">
        <v>1431</v>
      </c>
    </row>
    <row r="705" customHeight="1" spans="1:15">
      <c r="A705" s="37" t="s">
        <v>637</v>
      </c>
      <c r="B705" s="38">
        <v>45169</v>
      </c>
      <c r="C705" s="37" t="s">
        <v>748</v>
      </c>
      <c r="D705" s="37" t="s">
        <v>639</v>
      </c>
      <c r="E705" s="37" t="s">
        <v>647</v>
      </c>
      <c r="F705" s="37" t="s">
        <v>707</v>
      </c>
      <c r="G705" s="37" t="s">
        <v>642</v>
      </c>
      <c r="H705" s="37" t="s">
        <v>650</v>
      </c>
      <c r="I705" s="37" t="s">
        <v>460</v>
      </c>
      <c r="J705" s="37" t="s">
        <v>644</v>
      </c>
      <c r="K705" s="37" t="s">
        <v>14</v>
      </c>
      <c r="L705" s="47">
        <v>51239.1</v>
      </c>
      <c r="M705" s="47">
        <v>48338.77</v>
      </c>
      <c r="N705" s="47">
        <v>2900.33</v>
      </c>
      <c r="O705" s="37" t="s">
        <v>1432</v>
      </c>
    </row>
    <row r="706" customHeight="1" spans="1:15">
      <c r="A706" s="37" t="s">
        <v>637</v>
      </c>
      <c r="B706" s="38">
        <v>45169</v>
      </c>
      <c r="C706" s="37" t="s">
        <v>748</v>
      </c>
      <c r="D706" s="37" t="s">
        <v>639</v>
      </c>
      <c r="E706" s="37" t="s">
        <v>647</v>
      </c>
      <c r="F706" s="37" t="s">
        <v>641</v>
      </c>
      <c r="G706" s="37" t="s">
        <v>642</v>
      </c>
      <c r="H706" s="37" t="s">
        <v>650</v>
      </c>
      <c r="I706" s="37" t="s">
        <v>441</v>
      </c>
      <c r="J706" s="37" t="s">
        <v>644</v>
      </c>
      <c r="K706" s="37" t="s">
        <v>14</v>
      </c>
      <c r="L706" s="47">
        <v>28310.4</v>
      </c>
      <c r="M706" s="47">
        <v>26707.92</v>
      </c>
      <c r="N706" s="47">
        <v>1602.48</v>
      </c>
      <c r="O706" s="37" t="s">
        <v>1433</v>
      </c>
    </row>
    <row r="707" customHeight="1" spans="1:15">
      <c r="A707" s="37" t="s">
        <v>637</v>
      </c>
      <c r="B707" s="38">
        <v>45169</v>
      </c>
      <c r="C707" s="37" t="s">
        <v>748</v>
      </c>
      <c r="D707" s="37" t="s">
        <v>639</v>
      </c>
      <c r="E707" s="37" t="s">
        <v>640</v>
      </c>
      <c r="F707" s="37" t="s">
        <v>641</v>
      </c>
      <c r="G707" s="37" t="s">
        <v>642</v>
      </c>
      <c r="H707" s="37" t="s">
        <v>643</v>
      </c>
      <c r="I707" s="37" t="s">
        <v>430</v>
      </c>
      <c r="J707" s="37" t="s">
        <v>644</v>
      </c>
      <c r="K707" s="37" t="s">
        <v>14</v>
      </c>
      <c r="L707" s="47">
        <v>33834.64</v>
      </c>
      <c r="M707" s="47">
        <v>31919.47</v>
      </c>
      <c r="N707" s="47">
        <v>1915.17</v>
      </c>
      <c r="O707" s="37" t="s">
        <v>1434</v>
      </c>
    </row>
    <row r="708" customHeight="1" spans="1:15">
      <c r="A708" s="37" t="s">
        <v>637</v>
      </c>
      <c r="B708" s="38">
        <v>45169</v>
      </c>
      <c r="C708" s="37" t="s">
        <v>748</v>
      </c>
      <c r="D708" s="37" t="s">
        <v>639</v>
      </c>
      <c r="E708" s="37" t="s">
        <v>640</v>
      </c>
      <c r="F708" s="37" t="s">
        <v>641</v>
      </c>
      <c r="G708" s="37" t="s">
        <v>648</v>
      </c>
      <c r="H708" s="37" t="s">
        <v>697</v>
      </c>
      <c r="I708" s="37" t="s">
        <v>444</v>
      </c>
      <c r="J708" s="37" t="s">
        <v>644</v>
      </c>
      <c r="K708" s="37" t="s">
        <v>14</v>
      </c>
      <c r="L708" s="47">
        <v>31830.45</v>
      </c>
      <c r="M708" s="47">
        <v>30028.73</v>
      </c>
      <c r="N708" s="47">
        <v>1801.72</v>
      </c>
      <c r="O708" s="37" t="s">
        <v>1435</v>
      </c>
    </row>
    <row r="709" customHeight="1" spans="1:15">
      <c r="A709" s="37" t="s">
        <v>637</v>
      </c>
      <c r="B709" s="38">
        <v>45169</v>
      </c>
      <c r="C709" s="37" t="s">
        <v>748</v>
      </c>
      <c r="D709" s="37" t="s">
        <v>639</v>
      </c>
      <c r="E709" s="37" t="s">
        <v>640</v>
      </c>
      <c r="F709" s="37" t="s">
        <v>641</v>
      </c>
      <c r="G709" s="37" t="s">
        <v>648</v>
      </c>
      <c r="H709" s="37" t="s">
        <v>643</v>
      </c>
      <c r="I709" s="37" t="s">
        <v>430</v>
      </c>
      <c r="J709" s="37" t="s">
        <v>644</v>
      </c>
      <c r="K709" s="37" t="s">
        <v>14</v>
      </c>
      <c r="L709" s="47">
        <v>11001.05</v>
      </c>
      <c r="M709" s="47">
        <v>10378.35</v>
      </c>
      <c r="N709" s="47">
        <v>622.7</v>
      </c>
      <c r="O709" s="37" t="s">
        <v>1436</v>
      </c>
    </row>
    <row r="710" customHeight="1" spans="1:15">
      <c r="A710" s="37" t="s">
        <v>637</v>
      </c>
      <c r="B710" s="38">
        <v>45169</v>
      </c>
      <c r="C710" s="37" t="s">
        <v>748</v>
      </c>
      <c r="D710" s="37" t="s">
        <v>639</v>
      </c>
      <c r="E710" s="37" t="s">
        <v>640</v>
      </c>
      <c r="F710" s="37" t="s">
        <v>707</v>
      </c>
      <c r="G710" s="37" t="s">
        <v>648</v>
      </c>
      <c r="H710" s="37" t="s">
        <v>650</v>
      </c>
      <c r="I710" s="37" t="s">
        <v>769</v>
      </c>
      <c r="J710" s="37" t="s">
        <v>644</v>
      </c>
      <c r="K710" s="37" t="s">
        <v>14</v>
      </c>
      <c r="L710" s="47">
        <v>154197</v>
      </c>
      <c r="M710" s="47">
        <v>145468.87</v>
      </c>
      <c r="N710" s="47">
        <v>8728.13</v>
      </c>
      <c r="O710" s="37" t="s">
        <v>1437</v>
      </c>
    </row>
    <row r="711" customHeight="1" spans="1:15">
      <c r="A711" s="37" t="s">
        <v>637</v>
      </c>
      <c r="B711" s="38">
        <v>45169</v>
      </c>
      <c r="C711" s="37" t="s">
        <v>748</v>
      </c>
      <c r="D711" s="37" t="s">
        <v>639</v>
      </c>
      <c r="E711" s="37" t="s">
        <v>640</v>
      </c>
      <c r="F711" s="37" t="s">
        <v>641</v>
      </c>
      <c r="G711" s="37" t="s">
        <v>648</v>
      </c>
      <c r="H711" s="37" t="s">
        <v>650</v>
      </c>
      <c r="I711" s="37" t="s">
        <v>447</v>
      </c>
      <c r="J711" s="37" t="s">
        <v>656</v>
      </c>
      <c r="K711" s="37" t="s">
        <v>14</v>
      </c>
      <c r="L711" s="47">
        <v>-0.71</v>
      </c>
      <c r="M711" s="47">
        <v>-0.67</v>
      </c>
      <c r="N711" s="47">
        <v>-0.04</v>
      </c>
      <c r="O711" s="37" t="s">
        <v>1438</v>
      </c>
    </row>
    <row r="712" customHeight="1" spans="1:15">
      <c r="A712" s="37" t="s">
        <v>637</v>
      </c>
      <c r="B712" s="38">
        <v>45169</v>
      </c>
      <c r="C712" s="37" t="s">
        <v>748</v>
      </c>
      <c r="D712" s="37" t="s">
        <v>639</v>
      </c>
      <c r="E712" s="37" t="s">
        <v>640</v>
      </c>
      <c r="F712" s="37" t="s">
        <v>707</v>
      </c>
      <c r="G712" s="37" t="s">
        <v>642</v>
      </c>
      <c r="H712" s="37" t="s">
        <v>643</v>
      </c>
      <c r="I712" s="37" t="s">
        <v>435</v>
      </c>
      <c r="J712" s="37" t="s">
        <v>644</v>
      </c>
      <c r="K712" s="37" t="s">
        <v>14</v>
      </c>
      <c r="L712" s="47">
        <v>-4910.82</v>
      </c>
      <c r="M712" s="47">
        <v>-4632.85</v>
      </c>
      <c r="N712" s="47">
        <v>-277.97</v>
      </c>
      <c r="O712" s="37" t="s">
        <v>1439</v>
      </c>
    </row>
    <row r="713" customHeight="1" spans="1:15">
      <c r="A713" s="37" t="s">
        <v>637</v>
      </c>
      <c r="B713" s="38">
        <v>45169</v>
      </c>
      <c r="C713" s="37" t="s">
        <v>748</v>
      </c>
      <c r="D713" s="37" t="s">
        <v>639</v>
      </c>
      <c r="E713" s="37" t="s">
        <v>647</v>
      </c>
      <c r="F713" s="37" t="s">
        <v>707</v>
      </c>
      <c r="G713" s="37" t="s">
        <v>642</v>
      </c>
      <c r="H713" s="37" t="s">
        <v>650</v>
      </c>
      <c r="I713" s="37" t="s">
        <v>429</v>
      </c>
      <c r="J713" s="37" t="s">
        <v>644</v>
      </c>
      <c r="K713" s="37" t="s">
        <v>165</v>
      </c>
      <c r="L713" s="47">
        <v>60355.46</v>
      </c>
      <c r="M713" s="47">
        <v>56939.11</v>
      </c>
      <c r="N713" s="47">
        <v>3416.35</v>
      </c>
      <c r="O713" s="37" t="s">
        <v>1440</v>
      </c>
    </row>
    <row r="714" customHeight="1" spans="1:15">
      <c r="A714" s="37" t="s">
        <v>637</v>
      </c>
      <c r="B714" s="38">
        <v>45169</v>
      </c>
      <c r="C714" s="37" t="s">
        <v>748</v>
      </c>
      <c r="D714" s="37" t="s">
        <v>639</v>
      </c>
      <c r="E714" s="37" t="s">
        <v>647</v>
      </c>
      <c r="F714" s="37" t="s">
        <v>707</v>
      </c>
      <c r="G714" s="37" t="s">
        <v>642</v>
      </c>
      <c r="H714" s="37" t="s">
        <v>650</v>
      </c>
      <c r="I714" s="37" t="s">
        <v>429</v>
      </c>
      <c r="J714" s="37" t="s">
        <v>644</v>
      </c>
      <c r="K714" s="37" t="s">
        <v>14</v>
      </c>
      <c r="L714" s="47">
        <v>547.27</v>
      </c>
      <c r="M714" s="47">
        <v>516.3</v>
      </c>
      <c r="N714" s="47">
        <v>30.97</v>
      </c>
      <c r="O714" s="37" t="s">
        <v>1441</v>
      </c>
    </row>
    <row r="715" customHeight="1" spans="1:15">
      <c r="A715" s="37" t="s">
        <v>637</v>
      </c>
      <c r="B715" s="38">
        <v>45169</v>
      </c>
      <c r="C715" s="37" t="s">
        <v>748</v>
      </c>
      <c r="D715" s="37" t="s">
        <v>639</v>
      </c>
      <c r="E715" s="37" t="s">
        <v>647</v>
      </c>
      <c r="F715" s="37" t="s">
        <v>641</v>
      </c>
      <c r="G715" s="37" t="s">
        <v>642</v>
      </c>
      <c r="H715" s="37" t="s">
        <v>650</v>
      </c>
      <c r="I715" s="37" t="s">
        <v>436</v>
      </c>
      <c r="J715" s="37" t="s">
        <v>644</v>
      </c>
      <c r="K715" s="37" t="s">
        <v>350</v>
      </c>
      <c r="L715" s="47">
        <v>272071.2</v>
      </c>
      <c r="M715" s="47">
        <v>256670.95</v>
      </c>
      <c r="N715" s="47">
        <v>15400.25</v>
      </c>
      <c r="O715" s="37" t="s">
        <v>1442</v>
      </c>
    </row>
    <row r="716" customHeight="1" spans="1:15">
      <c r="A716" s="37" t="s">
        <v>637</v>
      </c>
      <c r="B716" s="38">
        <v>45169</v>
      </c>
      <c r="C716" s="37" t="s">
        <v>748</v>
      </c>
      <c r="D716" s="37" t="s">
        <v>639</v>
      </c>
      <c r="E716" s="37" t="s">
        <v>647</v>
      </c>
      <c r="F716" s="37" t="s">
        <v>707</v>
      </c>
      <c r="G716" s="37" t="s">
        <v>654</v>
      </c>
      <c r="H716" s="37" t="s">
        <v>697</v>
      </c>
      <c r="I716" s="37" t="s">
        <v>694</v>
      </c>
      <c r="J716" s="37" t="s">
        <v>656</v>
      </c>
      <c r="K716" s="37" t="s">
        <v>350</v>
      </c>
      <c r="L716" s="47">
        <v>85</v>
      </c>
      <c r="M716" s="47">
        <v>80.18</v>
      </c>
      <c r="N716" s="47">
        <v>4.82</v>
      </c>
      <c r="O716" s="37" t="s">
        <v>1443</v>
      </c>
    </row>
    <row r="717" customHeight="1" spans="1:15">
      <c r="A717" s="37" t="s">
        <v>637</v>
      </c>
      <c r="B717" s="38">
        <v>45169</v>
      </c>
      <c r="C717" s="37" t="s">
        <v>748</v>
      </c>
      <c r="D717" s="37" t="s">
        <v>639</v>
      </c>
      <c r="E717" s="37" t="s">
        <v>647</v>
      </c>
      <c r="F717" s="37" t="s">
        <v>641</v>
      </c>
      <c r="G717" s="37" t="s">
        <v>642</v>
      </c>
      <c r="H717" s="37" t="s">
        <v>650</v>
      </c>
      <c r="I717" s="37" t="s">
        <v>430</v>
      </c>
      <c r="J717" s="37" t="s">
        <v>644</v>
      </c>
      <c r="K717" s="37" t="s">
        <v>14</v>
      </c>
      <c r="L717" s="47">
        <v>5150.64</v>
      </c>
      <c r="M717" s="47">
        <v>4859.11</v>
      </c>
      <c r="N717" s="47">
        <v>291.53</v>
      </c>
      <c r="O717" s="37" t="s">
        <v>1444</v>
      </c>
    </row>
    <row r="718" customHeight="1" spans="1:15">
      <c r="A718" s="37" t="s">
        <v>637</v>
      </c>
      <c r="B718" s="38">
        <v>45169</v>
      </c>
      <c r="C718" s="37" t="s">
        <v>748</v>
      </c>
      <c r="D718" s="37" t="s">
        <v>639</v>
      </c>
      <c r="E718" s="37" t="s">
        <v>647</v>
      </c>
      <c r="F718" s="37" t="s">
        <v>641</v>
      </c>
      <c r="G718" s="37" t="s">
        <v>654</v>
      </c>
      <c r="H718" s="37" t="s">
        <v>650</v>
      </c>
      <c r="I718" s="37" t="s">
        <v>776</v>
      </c>
      <c r="J718" s="37" t="s">
        <v>644</v>
      </c>
      <c r="K718" s="37" t="s">
        <v>14</v>
      </c>
      <c r="L718" s="47">
        <v>315000</v>
      </c>
      <c r="M718" s="47">
        <v>297169.82</v>
      </c>
      <c r="N718" s="47">
        <v>17830.18</v>
      </c>
      <c r="O718" s="37" t="s">
        <v>1445</v>
      </c>
    </row>
    <row r="719" customHeight="1" spans="1:15">
      <c r="A719" s="37" t="s">
        <v>637</v>
      </c>
      <c r="B719" s="38">
        <v>45169</v>
      </c>
      <c r="C719" s="37" t="s">
        <v>748</v>
      </c>
      <c r="D719" s="37" t="s">
        <v>639</v>
      </c>
      <c r="E719" s="37" t="s">
        <v>647</v>
      </c>
      <c r="F719" s="37" t="s">
        <v>707</v>
      </c>
      <c r="G719" s="37" t="s">
        <v>642</v>
      </c>
      <c r="H719" s="37" t="s">
        <v>650</v>
      </c>
      <c r="I719" s="37" t="s">
        <v>429</v>
      </c>
      <c r="J719" s="37" t="s">
        <v>644</v>
      </c>
      <c r="K719" s="37" t="s">
        <v>14</v>
      </c>
      <c r="L719" s="47">
        <v>5530.8</v>
      </c>
      <c r="M719" s="47">
        <v>5217.76</v>
      </c>
      <c r="N719" s="47">
        <v>313.04</v>
      </c>
      <c r="O719" s="37" t="s">
        <v>1446</v>
      </c>
    </row>
    <row r="720" customHeight="1" spans="1:15">
      <c r="A720" s="37" t="s">
        <v>637</v>
      </c>
      <c r="B720" s="38">
        <v>45169</v>
      </c>
      <c r="C720" s="37" t="s">
        <v>748</v>
      </c>
      <c r="D720" s="37" t="s">
        <v>639</v>
      </c>
      <c r="E720" s="37" t="s">
        <v>647</v>
      </c>
      <c r="F720" s="37" t="s">
        <v>749</v>
      </c>
      <c r="G720" s="37" t="s">
        <v>642</v>
      </c>
      <c r="H720" s="37" t="s">
        <v>650</v>
      </c>
      <c r="I720" s="37" t="s">
        <v>779</v>
      </c>
      <c r="J720" s="37" t="s">
        <v>644</v>
      </c>
      <c r="K720" s="37" t="s">
        <v>14</v>
      </c>
      <c r="L720" s="47">
        <v>81295.68</v>
      </c>
      <c r="M720" s="47">
        <v>76694.06</v>
      </c>
      <c r="N720" s="47">
        <v>4601.62</v>
      </c>
      <c r="O720" s="37" t="s">
        <v>1447</v>
      </c>
    </row>
    <row r="721" customHeight="1" spans="1:15">
      <c r="A721" s="37" t="s">
        <v>637</v>
      </c>
      <c r="B721" s="38">
        <v>45169</v>
      </c>
      <c r="C721" s="37" t="s">
        <v>748</v>
      </c>
      <c r="D721" s="37" t="s">
        <v>639</v>
      </c>
      <c r="E721" s="37" t="s">
        <v>647</v>
      </c>
      <c r="F721" s="37" t="s">
        <v>749</v>
      </c>
      <c r="G721" s="37" t="s">
        <v>648</v>
      </c>
      <c r="H721" s="37" t="s">
        <v>650</v>
      </c>
      <c r="I721" s="37" t="s">
        <v>461</v>
      </c>
      <c r="J721" s="37" t="s">
        <v>644</v>
      </c>
      <c r="K721" s="37" t="s">
        <v>14</v>
      </c>
      <c r="L721" s="47">
        <v>185480.7</v>
      </c>
      <c r="M721" s="47">
        <v>174981.8</v>
      </c>
      <c r="N721" s="47">
        <v>10498.9</v>
      </c>
      <c r="O721" s="37" t="s">
        <v>1448</v>
      </c>
    </row>
    <row r="722" customHeight="1" spans="1:15">
      <c r="A722" s="37" t="s">
        <v>637</v>
      </c>
      <c r="B722" s="38">
        <v>45169</v>
      </c>
      <c r="C722" s="37" t="s">
        <v>748</v>
      </c>
      <c r="D722" s="37" t="s">
        <v>639</v>
      </c>
      <c r="E722" s="37" t="s">
        <v>647</v>
      </c>
      <c r="F722" s="37" t="s">
        <v>641</v>
      </c>
      <c r="G722" s="37" t="s">
        <v>648</v>
      </c>
      <c r="H722" s="37" t="s">
        <v>650</v>
      </c>
      <c r="I722" s="37" t="s">
        <v>447</v>
      </c>
      <c r="J722" s="37" t="s">
        <v>656</v>
      </c>
      <c r="K722" s="37" t="s">
        <v>14</v>
      </c>
      <c r="L722" s="47">
        <v>88715.16</v>
      </c>
      <c r="M722" s="47">
        <v>83693.56</v>
      </c>
      <c r="N722" s="47">
        <v>5021.6</v>
      </c>
      <c r="O722" s="37" t="s">
        <v>1449</v>
      </c>
    </row>
    <row r="723" customHeight="1" spans="1:15">
      <c r="A723" s="37" t="s">
        <v>637</v>
      </c>
      <c r="B723" s="38">
        <v>45169</v>
      </c>
      <c r="C723" s="37" t="s">
        <v>748</v>
      </c>
      <c r="D723" s="37" t="s">
        <v>639</v>
      </c>
      <c r="E723" s="37" t="s">
        <v>647</v>
      </c>
      <c r="F723" s="37" t="s">
        <v>689</v>
      </c>
      <c r="G723" s="37" t="s">
        <v>654</v>
      </c>
      <c r="H723" s="37" t="s">
        <v>650</v>
      </c>
      <c r="I723" s="37" t="s">
        <v>664</v>
      </c>
      <c r="J723" s="37" t="s">
        <v>656</v>
      </c>
      <c r="K723" s="37" t="s">
        <v>350</v>
      </c>
      <c r="L723" s="47">
        <v>8728.88</v>
      </c>
      <c r="M723" s="47">
        <v>8234.83</v>
      </c>
      <c r="N723" s="47">
        <v>494.05</v>
      </c>
      <c r="O723" s="37" t="s">
        <v>1450</v>
      </c>
    </row>
    <row r="724" customHeight="1" spans="1:15">
      <c r="A724" s="37" t="s">
        <v>637</v>
      </c>
      <c r="B724" s="38">
        <v>45169</v>
      </c>
      <c r="C724" s="37" t="s">
        <v>748</v>
      </c>
      <c r="D724" s="37" t="s">
        <v>639</v>
      </c>
      <c r="E724" s="37" t="s">
        <v>647</v>
      </c>
      <c r="F724" s="37" t="s">
        <v>641</v>
      </c>
      <c r="G724" s="37" t="s">
        <v>654</v>
      </c>
      <c r="H724" s="37" t="s">
        <v>697</v>
      </c>
      <c r="I724" s="37" t="s">
        <v>792</v>
      </c>
      <c r="J724" s="37" t="s">
        <v>644</v>
      </c>
      <c r="K724" s="37" t="s">
        <v>14</v>
      </c>
      <c r="L724" s="47">
        <v>130657.48</v>
      </c>
      <c r="M724" s="47">
        <v>123261.77</v>
      </c>
      <c r="N724" s="47">
        <v>7395.71</v>
      </c>
      <c r="O724" s="37" t="s">
        <v>1451</v>
      </c>
    </row>
    <row r="725" customHeight="1" spans="1:15">
      <c r="A725" s="37" t="s">
        <v>637</v>
      </c>
      <c r="B725" s="38">
        <v>45169</v>
      </c>
      <c r="C725" s="37" t="s">
        <v>748</v>
      </c>
      <c r="D725" s="37" t="s">
        <v>639</v>
      </c>
      <c r="E725" s="37" t="s">
        <v>647</v>
      </c>
      <c r="F725" s="37" t="s">
        <v>707</v>
      </c>
      <c r="G725" s="37" t="s">
        <v>654</v>
      </c>
      <c r="H725" s="37" t="s">
        <v>650</v>
      </c>
      <c r="I725" s="37" t="s">
        <v>754</v>
      </c>
      <c r="J725" s="37" t="s">
        <v>644</v>
      </c>
      <c r="K725" s="37" t="s">
        <v>14</v>
      </c>
      <c r="L725" s="47">
        <v>2578187.6</v>
      </c>
      <c r="M725" s="47">
        <v>2432252.44</v>
      </c>
      <c r="N725" s="47">
        <v>145935.16</v>
      </c>
      <c r="O725" s="37" t="s">
        <v>1452</v>
      </c>
    </row>
    <row r="726" customHeight="1" spans="1:15">
      <c r="A726" s="37" t="s">
        <v>637</v>
      </c>
      <c r="B726" s="38">
        <v>45169</v>
      </c>
      <c r="C726" s="37" t="s">
        <v>748</v>
      </c>
      <c r="D726" s="37" t="s">
        <v>639</v>
      </c>
      <c r="E726" s="37" t="s">
        <v>647</v>
      </c>
      <c r="F726" s="37" t="s">
        <v>689</v>
      </c>
      <c r="G726" s="37" t="s">
        <v>654</v>
      </c>
      <c r="H726" s="37" t="s">
        <v>697</v>
      </c>
      <c r="I726" s="37" t="s">
        <v>669</v>
      </c>
      <c r="J726" s="37" t="s">
        <v>656</v>
      </c>
      <c r="K726" s="37" t="s">
        <v>350</v>
      </c>
      <c r="L726" s="47">
        <v>498040</v>
      </c>
      <c r="M726" s="47">
        <v>469849.05</v>
      </c>
      <c r="N726" s="47">
        <v>28190.95</v>
      </c>
      <c r="O726" s="37" t="s">
        <v>1453</v>
      </c>
    </row>
    <row r="727" customHeight="1" spans="1:15">
      <c r="A727" s="37" t="s">
        <v>637</v>
      </c>
      <c r="B727" s="38">
        <v>45169</v>
      </c>
      <c r="C727" s="37" t="s">
        <v>748</v>
      </c>
      <c r="D727" s="37" t="s">
        <v>639</v>
      </c>
      <c r="E727" s="37" t="s">
        <v>647</v>
      </c>
      <c r="F727" s="37" t="s">
        <v>641</v>
      </c>
      <c r="G727" s="37" t="s">
        <v>648</v>
      </c>
      <c r="H727" s="37" t="s">
        <v>643</v>
      </c>
      <c r="I727" s="37" t="s">
        <v>430</v>
      </c>
      <c r="J727" s="37" t="s">
        <v>644</v>
      </c>
      <c r="K727" s="37" t="s">
        <v>14</v>
      </c>
      <c r="L727" s="47">
        <v>1675083.43</v>
      </c>
      <c r="M727" s="47">
        <v>1580267.39</v>
      </c>
      <c r="N727" s="47">
        <v>94816.04</v>
      </c>
      <c r="O727" s="37" t="s">
        <v>1454</v>
      </c>
    </row>
    <row r="728" customHeight="1" spans="1:15">
      <c r="A728" s="37" t="s">
        <v>637</v>
      </c>
      <c r="B728" s="38">
        <v>45169</v>
      </c>
      <c r="C728" s="37" t="s">
        <v>748</v>
      </c>
      <c r="D728" s="37" t="s">
        <v>639</v>
      </c>
      <c r="E728" s="37" t="s">
        <v>647</v>
      </c>
      <c r="F728" s="37" t="s">
        <v>689</v>
      </c>
      <c r="G728" s="37" t="s">
        <v>654</v>
      </c>
      <c r="H728" s="37" t="s">
        <v>697</v>
      </c>
      <c r="I728" s="37" t="s">
        <v>672</v>
      </c>
      <c r="J728" s="37" t="s">
        <v>656</v>
      </c>
      <c r="K728" s="37" t="s">
        <v>350</v>
      </c>
      <c r="L728" s="47">
        <v>1249120</v>
      </c>
      <c r="M728" s="47">
        <v>1178415.1</v>
      </c>
      <c r="N728" s="47">
        <v>70704.9</v>
      </c>
      <c r="O728" s="37" t="s">
        <v>1455</v>
      </c>
    </row>
    <row r="729" customHeight="1" spans="1:15">
      <c r="A729" s="37" t="s">
        <v>637</v>
      </c>
      <c r="B729" s="38">
        <v>45169</v>
      </c>
      <c r="C729" s="37" t="s">
        <v>748</v>
      </c>
      <c r="D729" s="37" t="s">
        <v>639</v>
      </c>
      <c r="E729" s="37" t="s">
        <v>647</v>
      </c>
      <c r="F729" s="37" t="s">
        <v>641</v>
      </c>
      <c r="G729" s="37" t="s">
        <v>648</v>
      </c>
      <c r="H729" s="37" t="s">
        <v>697</v>
      </c>
      <c r="I729" s="37" t="s">
        <v>441</v>
      </c>
      <c r="J729" s="37" t="s">
        <v>644</v>
      </c>
      <c r="K729" s="37" t="s">
        <v>14</v>
      </c>
      <c r="L729" s="47">
        <v>6296229</v>
      </c>
      <c r="M729" s="47">
        <v>5939838.7</v>
      </c>
      <c r="N729" s="47">
        <v>356390.3</v>
      </c>
      <c r="O729" s="37" t="s">
        <v>1456</v>
      </c>
    </row>
    <row r="730" customHeight="1" spans="1:15">
      <c r="A730" s="37" t="s">
        <v>637</v>
      </c>
      <c r="B730" s="38">
        <v>45169</v>
      </c>
      <c r="C730" s="37" t="s">
        <v>748</v>
      </c>
      <c r="D730" s="37" t="s">
        <v>639</v>
      </c>
      <c r="E730" s="37" t="s">
        <v>647</v>
      </c>
      <c r="F730" s="37" t="s">
        <v>749</v>
      </c>
      <c r="G730" s="37" t="s">
        <v>648</v>
      </c>
      <c r="H730" s="37" t="s">
        <v>650</v>
      </c>
      <c r="I730" s="37" t="s">
        <v>461</v>
      </c>
      <c r="J730" s="37" t="s">
        <v>644</v>
      </c>
      <c r="K730" s="37" t="s">
        <v>14</v>
      </c>
      <c r="L730" s="47">
        <v>107128</v>
      </c>
      <c r="M730" s="47">
        <v>101064.14</v>
      </c>
      <c r="N730" s="47">
        <v>6063.86</v>
      </c>
      <c r="O730" s="37" t="s">
        <v>1457</v>
      </c>
    </row>
    <row r="731" customHeight="1" spans="1:15">
      <c r="A731" s="37" t="s">
        <v>637</v>
      </c>
      <c r="B731" s="38">
        <v>45169</v>
      </c>
      <c r="C731" s="37" t="s">
        <v>748</v>
      </c>
      <c r="D731" s="37" t="s">
        <v>639</v>
      </c>
      <c r="E731" s="37" t="s">
        <v>647</v>
      </c>
      <c r="F731" s="37" t="s">
        <v>707</v>
      </c>
      <c r="G731" s="37" t="s">
        <v>648</v>
      </c>
      <c r="H731" s="37" t="s">
        <v>650</v>
      </c>
      <c r="I731" s="37" t="s">
        <v>763</v>
      </c>
      <c r="J731" s="37" t="s">
        <v>644</v>
      </c>
      <c r="K731" s="37" t="s">
        <v>165</v>
      </c>
      <c r="L731" s="47">
        <v>3715.97</v>
      </c>
      <c r="M731" s="47">
        <v>3505.63</v>
      </c>
      <c r="N731" s="47">
        <v>210.34</v>
      </c>
      <c r="O731" s="37" t="s">
        <v>1458</v>
      </c>
    </row>
    <row r="732" customHeight="1" spans="1:15">
      <c r="A732" s="37" t="s">
        <v>637</v>
      </c>
      <c r="B732" s="38">
        <v>45169</v>
      </c>
      <c r="C732" s="37" t="s">
        <v>748</v>
      </c>
      <c r="D732" s="37" t="s">
        <v>639</v>
      </c>
      <c r="E732" s="37" t="s">
        <v>647</v>
      </c>
      <c r="F732" s="37" t="s">
        <v>707</v>
      </c>
      <c r="G732" s="37" t="s">
        <v>648</v>
      </c>
      <c r="H732" s="37" t="s">
        <v>643</v>
      </c>
      <c r="I732" s="37" t="s">
        <v>429</v>
      </c>
      <c r="J732" s="37" t="s">
        <v>644</v>
      </c>
      <c r="K732" s="37" t="s">
        <v>14</v>
      </c>
      <c r="L732" s="47">
        <v>4914166.2</v>
      </c>
      <c r="M732" s="47">
        <v>4636005.86</v>
      </c>
      <c r="N732" s="47">
        <v>278160.34</v>
      </c>
      <c r="O732" s="37" t="s">
        <v>1459</v>
      </c>
    </row>
    <row r="733" customHeight="1" spans="1:15">
      <c r="A733" s="37" t="s">
        <v>637</v>
      </c>
      <c r="B733" s="38">
        <v>45169</v>
      </c>
      <c r="C733" s="37" t="s">
        <v>748</v>
      </c>
      <c r="D733" s="37" t="s">
        <v>639</v>
      </c>
      <c r="E733" s="37" t="s">
        <v>640</v>
      </c>
      <c r="F733" s="37" t="s">
        <v>707</v>
      </c>
      <c r="G733" s="37" t="s">
        <v>642</v>
      </c>
      <c r="H733" s="37" t="s">
        <v>643</v>
      </c>
      <c r="I733" s="37" t="s">
        <v>429</v>
      </c>
      <c r="J733" s="37" t="s">
        <v>644</v>
      </c>
      <c r="K733" s="37" t="s">
        <v>14</v>
      </c>
      <c r="L733" s="47">
        <v>700000</v>
      </c>
      <c r="M733" s="47">
        <v>660377.36</v>
      </c>
      <c r="N733" s="47">
        <v>39622.64</v>
      </c>
      <c r="O733" s="37" t="s">
        <v>1460</v>
      </c>
    </row>
    <row r="734" customHeight="1" spans="1:15">
      <c r="A734" s="37" t="s">
        <v>637</v>
      </c>
      <c r="B734" s="38">
        <v>45169</v>
      </c>
      <c r="C734" s="37" t="s">
        <v>811</v>
      </c>
      <c r="D734" s="37" t="s">
        <v>639</v>
      </c>
      <c r="E734" s="37" t="s">
        <v>640</v>
      </c>
      <c r="F734" s="37" t="s">
        <v>641</v>
      </c>
      <c r="G734" s="37" t="s">
        <v>648</v>
      </c>
      <c r="H734" s="37" t="s">
        <v>643</v>
      </c>
      <c r="I734" s="37" t="s">
        <v>430</v>
      </c>
      <c r="J734" s="37" t="s">
        <v>656</v>
      </c>
      <c r="K734" s="37" t="s">
        <v>14</v>
      </c>
      <c r="L734" s="47">
        <v>-84668.88</v>
      </c>
      <c r="M734" s="47">
        <v>-79876.3</v>
      </c>
      <c r="N734" s="47">
        <v>-4792.58</v>
      </c>
      <c r="O734" s="37" t="s">
        <v>1461</v>
      </c>
    </row>
    <row r="735" customHeight="1" spans="1:15">
      <c r="A735" s="37" t="s">
        <v>637</v>
      </c>
      <c r="B735" s="38">
        <v>45169</v>
      </c>
      <c r="C735" s="37" t="s">
        <v>811</v>
      </c>
      <c r="D735" s="37" t="s">
        <v>639</v>
      </c>
      <c r="E735" s="37" t="s">
        <v>640</v>
      </c>
      <c r="F735" s="37" t="s">
        <v>641</v>
      </c>
      <c r="G735" s="37" t="s">
        <v>642</v>
      </c>
      <c r="H735" s="37" t="s">
        <v>643</v>
      </c>
      <c r="I735" s="37" t="s">
        <v>430</v>
      </c>
      <c r="J735" s="37" t="s">
        <v>656</v>
      </c>
      <c r="K735" s="37" t="s">
        <v>14</v>
      </c>
      <c r="L735" s="47">
        <v>90508.26</v>
      </c>
      <c r="M735" s="47">
        <v>85385.15</v>
      </c>
      <c r="N735" s="47">
        <v>5123.11</v>
      </c>
      <c r="O735" s="37" t="s">
        <v>1462</v>
      </c>
    </row>
    <row r="736" customHeight="1" spans="1:15">
      <c r="A736" s="37" t="s">
        <v>637</v>
      </c>
      <c r="B736" s="38">
        <v>45169</v>
      </c>
      <c r="C736" s="37" t="s">
        <v>710</v>
      </c>
      <c r="D736" s="37" t="s">
        <v>682</v>
      </c>
      <c r="E736" s="37" t="s">
        <v>640</v>
      </c>
      <c r="F736" s="37" t="s">
        <v>641</v>
      </c>
      <c r="G736" s="37" t="s">
        <v>642</v>
      </c>
      <c r="H736" s="37" t="s">
        <v>650</v>
      </c>
      <c r="I736" s="37" t="s">
        <v>711</v>
      </c>
      <c r="J736" s="37" t="s">
        <v>644</v>
      </c>
      <c r="K736" s="37" t="s">
        <v>13</v>
      </c>
      <c r="L736" s="47">
        <v>3526.19</v>
      </c>
      <c r="M736" s="47">
        <v>3326.59</v>
      </c>
      <c r="N736" s="47">
        <v>199.6</v>
      </c>
      <c r="O736" s="37" t="s">
        <v>1463</v>
      </c>
    </row>
    <row r="737" customHeight="1" spans="1:15">
      <c r="A737" s="37" t="s">
        <v>637</v>
      </c>
      <c r="B737" s="38">
        <v>45169</v>
      </c>
      <c r="C737" s="37" t="s">
        <v>638</v>
      </c>
      <c r="D737" s="37" t="s">
        <v>639</v>
      </c>
      <c r="E737" s="37" t="s">
        <v>640</v>
      </c>
      <c r="F737" s="37" t="s">
        <v>641</v>
      </c>
      <c r="G737" s="37" t="s">
        <v>648</v>
      </c>
      <c r="H737" s="37" t="s">
        <v>643</v>
      </c>
      <c r="I737" s="37" t="s">
        <v>430</v>
      </c>
      <c r="J737" s="37" t="s">
        <v>644</v>
      </c>
      <c r="K737" s="37" t="s">
        <v>14</v>
      </c>
      <c r="L737" s="47">
        <v>-195695.9</v>
      </c>
      <c r="M737" s="47">
        <v>-184618.77</v>
      </c>
      <c r="N737" s="47">
        <v>-11077.13</v>
      </c>
      <c r="O737" s="37" t="s">
        <v>1464</v>
      </c>
    </row>
    <row r="738" customHeight="1" spans="1:15">
      <c r="A738" s="37" t="s">
        <v>637</v>
      </c>
      <c r="B738" s="38">
        <v>45169</v>
      </c>
      <c r="C738" s="37" t="s">
        <v>638</v>
      </c>
      <c r="D738" s="37" t="s">
        <v>639</v>
      </c>
      <c r="E738" s="37" t="s">
        <v>640</v>
      </c>
      <c r="F738" s="37" t="s">
        <v>641</v>
      </c>
      <c r="G738" s="37" t="s">
        <v>648</v>
      </c>
      <c r="H738" s="37" t="s">
        <v>643</v>
      </c>
      <c r="I738" s="37" t="s">
        <v>430</v>
      </c>
      <c r="J738" s="37" t="s">
        <v>644</v>
      </c>
      <c r="K738" s="37" t="s">
        <v>14</v>
      </c>
      <c r="L738" s="47">
        <v>491455.63</v>
      </c>
      <c r="M738" s="47">
        <v>463637.39</v>
      </c>
      <c r="N738" s="47">
        <v>27818.24</v>
      </c>
      <c r="O738" s="37" t="s">
        <v>1465</v>
      </c>
    </row>
    <row r="739" customHeight="1" spans="1:15">
      <c r="A739" s="37" t="s">
        <v>637</v>
      </c>
      <c r="B739" s="38">
        <v>45169</v>
      </c>
      <c r="C739" s="37" t="s">
        <v>638</v>
      </c>
      <c r="D739" s="37" t="s">
        <v>639</v>
      </c>
      <c r="E739" s="37" t="s">
        <v>640</v>
      </c>
      <c r="F739" s="37" t="s">
        <v>641</v>
      </c>
      <c r="G739" s="37" t="s">
        <v>642</v>
      </c>
      <c r="H739" s="37" t="s">
        <v>643</v>
      </c>
      <c r="I739" s="37" t="s">
        <v>430</v>
      </c>
      <c r="J739" s="37" t="s">
        <v>644</v>
      </c>
      <c r="K739" s="37" t="s">
        <v>14</v>
      </c>
      <c r="L739" s="47">
        <v>-832233.01</v>
      </c>
      <c r="M739" s="47">
        <v>-785125.48</v>
      </c>
      <c r="N739" s="47">
        <v>-47107.53</v>
      </c>
      <c r="O739" s="37" t="s">
        <v>1466</v>
      </c>
    </row>
    <row r="740" customHeight="1" spans="1:15">
      <c r="A740" s="37" t="s">
        <v>637</v>
      </c>
      <c r="B740" s="38">
        <v>45169</v>
      </c>
      <c r="C740" s="37" t="s">
        <v>646</v>
      </c>
      <c r="D740" s="37" t="s">
        <v>639</v>
      </c>
      <c r="E740" s="37" t="s">
        <v>640</v>
      </c>
      <c r="F740" s="37" t="s">
        <v>641</v>
      </c>
      <c r="G740" s="37" t="s">
        <v>642</v>
      </c>
      <c r="H740" s="37" t="s">
        <v>643</v>
      </c>
      <c r="I740" s="37" t="s">
        <v>678</v>
      </c>
      <c r="J740" s="37" t="s">
        <v>656</v>
      </c>
      <c r="K740" s="37" t="s">
        <v>350</v>
      </c>
      <c r="L740" s="47">
        <v>900</v>
      </c>
      <c r="M740" s="47">
        <v>849.06</v>
      </c>
      <c r="N740" s="47">
        <v>50.94</v>
      </c>
      <c r="O740" s="37" t="s">
        <v>1467</v>
      </c>
    </row>
    <row r="741" customHeight="1" spans="1:15">
      <c r="A741" s="37" t="s">
        <v>637</v>
      </c>
      <c r="B741" s="38">
        <v>45169</v>
      </c>
      <c r="C741" s="37" t="s">
        <v>646</v>
      </c>
      <c r="D741" s="37" t="s">
        <v>653</v>
      </c>
      <c r="E741" s="37" t="s">
        <v>640</v>
      </c>
      <c r="F741" s="37" t="s">
        <v>659</v>
      </c>
      <c r="G741" s="37" t="s">
        <v>648</v>
      </c>
      <c r="H741" s="37" t="s">
        <v>650</v>
      </c>
      <c r="I741" s="37" t="s">
        <v>462</v>
      </c>
      <c r="J741" s="37" t="s">
        <v>656</v>
      </c>
      <c r="K741" s="37" t="s">
        <v>166</v>
      </c>
      <c r="L741" s="47">
        <v>1335410.82</v>
      </c>
      <c r="M741" s="47">
        <v>1259821.53</v>
      </c>
      <c r="N741" s="47">
        <v>75589.29</v>
      </c>
      <c r="O741" s="37" t="s">
        <v>1468</v>
      </c>
    </row>
    <row r="742" customHeight="1" spans="1:15">
      <c r="A742" s="37" t="s">
        <v>637</v>
      </c>
      <c r="B742" s="38">
        <v>45169</v>
      </c>
      <c r="C742" s="37" t="s">
        <v>646</v>
      </c>
      <c r="D742" s="37" t="s">
        <v>653</v>
      </c>
      <c r="E742" s="37" t="s">
        <v>640</v>
      </c>
      <c r="F742" s="37" t="s">
        <v>641</v>
      </c>
      <c r="G742" s="37" t="s">
        <v>648</v>
      </c>
      <c r="H742" s="37" t="s">
        <v>697</v>
      </c>
      <c r="I742" s="37" t="s">
        <v>462</v>
      </c>
      <c r="J742" s="37" t="s">
        <v>656</v>
      </c>
      <c r="K742" s="37" t="s">
        <v>166</v>
      </c>
      <c r="L742" s="47">
        <v>263424.25</v>
      </c>
      <c r="M742" s="47">
        <v>248513.44</v>
      </c>
      <c r="N742" s="47">
        <v>14910.81</v>
      </c>
      <c r="O742" s="37" t="s">
        <v>1469</v>
      </c>
    </row>
    <row r="743" customHeight="1" spans="1:15">
      <c r="A743" s="37" t="s">
        <v>637</v>
      </c>
      <c r="B743" s="38">
        <v>45169</v>
      </c>
      <c r="C743" s="37" t="s">
        <v>646</v>
      </c>
      <c r="D743" s="37" t="s">
        <v>653</v>
      </c>
      <c r="E743" s="37" t="s">
        <v>640</v>
      </c>
      <c r="F743" s="37" t="s">
        <v>659</v>
      </c>
      <c r="G743" s="37" t="s">
        <v>648</v>
      </c>
      <c r="H743" s="37" t="s">
        <v>650</v>
      </c>
      <c r="I743" s="37" t="s">
        <v>462</v>
      </c>
      <c r="J743" s="37" t="s">
        <v>656</v>
      </c>
      <c r="K743" s="37" t="s">
        <v>166</v>
      </c>
      <c r="L743" s="47">
        <v>1053696.99</v>
      </c>
      <c r="M743" s="47">
        <v>994053.76</v>
      </c>
      <c r="N743" s="47">
        <v>59643.23</v>
      </c>
      <c r="O743" s="37" t="s">
        <v>1470</v>
      </c>
    </row>
    <row r="744" customHeight="1" spans="1:15">
      <c r="A744" s="37" t="s">
        <v>637</v>
      </c>
      <c r="B744" s="38">
        <v>45169</v>
      </c>
      <c r="C744" s="37" t="s">
        <v>646</v>
      </c>
      <c r="D744" s="37" t="s">
        <v>639</v>
      </c>
      <c r="E744" s="37" t="s">
        <v>640</v>
      </c>
      <c r="F744" s="37" t="s">
        <v>641</v>
      </c>
      <c r="G744" s="37" t="s">
        <v>642</v>
      </c>
      <c r="H744" s="37" t="s">
        <v>643</v>
      </c>
      <c r="I744" s="37" t="s">
        <v>430</v>
      </c>
      <c r="J744" s="37" t="s">
        <v>644</v>
      </c>
      <c r="K744" s="37" t="s">
        <v>14</v>
      </c>
      <c r="L744" s="47">
        <v>-477254.44</v>
      </c>
      <c r="M744" s="47">
        <v>-450240.04</v>
      </c>
      <c r="N744" s="47">
        <v>-27014.4</v>
      </c>
      <c r="O744" s="37" t="s">
        <v>1471</v>
      </c>
    </row>
    <row r="745" customHeight="1" spans="1:15">
      <c r="A745" s="37" t="s">
        <v>637</v>
      </c>
      <c r="B745" s="38">
        <v>45169</v>
      </c>
      <c r="C745" s="37" t="s">
        <v>646</v>
      </c>
      <c r="D745" s="37" t="s">
        <v>639</v>
      </c>
      <c r="E745" s="37" t="s">
        <v>640</v>
      </c>
      <c r="F745" s="37" t="s">
        <v>641</v>
      </c>
      <c r="G745" s="37" t="s">
        <v>648</v>
      </c>
      <c r="H745" s="37" t="s">
        <v>643</v>
      </c>
      <c r="I745" s="37" t="s">
        <v>430</v>
      </c>
      <c r="J745" s="37" t="s">
        <v>644</v>
      </c>
      <c r="K745" s="37" t="s">
        <v>14</v>
      </c>
      <c r="L745" s="47">
        <v>32589.27</v>
      </c>
      <c r="M745" s="47">
        <v>30744.59</v>
      </c>
      <c r="N745" s="47">
        <v>1844.68</v>
      </c>
      <c r="O745" s="37" t="s">
        <v>1472</v>
      </c>
    </row>
    <row r="746" customHeight="1" spans="1:15">
      <c r="A746" s="37" t="s">
        <v>637</v>
      </c>
      <c r="B746" s="38">
        <v>45169</v>
      </c>
      <c r="C746" s="37" t="s">
        <v>646</v>
      </c>
      <c r="D746" s="37" t="s">
        <v>639</v>
      </c>
      <c r="E746" s="37" t="s">
        <v>640</v>
      </c>
      <c r="F746" s="37" t="s">
        <v>689</v>
      </c>
      <c r="G746" s="37" t="s">
        <v>654</v>
      </c>
      <c r="H746" s="37" t="s">
        <v>697</v>
      </c>
      <c r="I746" s="37" t="s">
        <v>658</v>
      </c>
      <c r="J746" s="37" t="s">
        <v>656</v>
      </c>
      <c r="K746" s="37" t="s">
        <v>350</v>
      </c>
      <c r="L746" s="47">
        <v>-264800</v>
      </c>
      <c r="M746" s="47">
        <v>-249811.32</v>
      </c>
      <c r="N746" s="47">
        <v>-14988.68</v>
      </c>
      <c r="O746" s="37" t="s">
        <v>1473</v>
      </c>
    </row>
    <row r="747" customHeight="1" spans="1:15">
      <c r="A747" s="37" t="s">
        <v>637</v>
      </c>
      <c r="B747" s="38">
        <v>45169</v>
      </c>
      <c r="C747" s="37" t="s">
        <v>646</v>
      </c>
      <c r="D747" s="37" t="s">
        <v>639</v>
      </c>
      <c r="E747" s="37" t="s">
        <v>640</v>
      </c>
      <c r="F747" s="37" t="s">
        <v>641</v>
      </c>
      <c r="G747" s="37" t="s">
        <v>648</v>
      </c>
      <c r="H747" s="37" t="s">
        <v>643</v>
      </c>
      <c r="I747" s="37" t="s">
        <v>430</v>
      </c>
      <c r="J747" s="37" t="s">
        <v>644</v>
      </c>
      <c r="K747" s="37" t="s">
        <v>14</v>
      </c>
      <c r="L747" s="47">
        <v>508583.58</v>
      </c>
      <c r="M747" s="47">
        <v>479795.83</v>
      </c>
      <c r="N747" s="47">
        <v>28787.75</v>
      </c>
      <c r="O747" s="37" t="s">
        <v>1474</v>
      </c>
    </row>
    <row r="748" customHeight="1" spans="1:15">
      <c r="A748" s="37" t="s">
        <v>637</v>
      </c>
      <c r="B748" s="38">
        <v>45169</v>
      </c>
      <c r="C748" s="37" t="s">
        <v>710</v>
      </c>
      <c r="D748" s="37" t="s">
        <v>682</v>
      </c>
      <c r="E748" s="37" t="s">
        <v>640</v>
      </c>
      <c r="F748" s="37" t="s">
        <v>641</v>
      </c>
      <c r="G748" s="37" t="s">
        <v>642</v>
      </c>
      <c r="H748" s="37" t="s">
        <v>650</v>
      </c>
      <c r="I748" s="37" t="s">
        <v>753</v>
      </c>
      <c r="J748" s="37" t="s">
        <v>656</v>
      </c>
      <c r="K748" s="37" t="s">
        <v>13</v>
      </c>
      <c r="L748" s="47">
        <v>9525</v>
      </c>
      <c r="M748" s="47">
        <v>8985.85</v>
      </c>
      <c r="N748" s="47">
        <v>539.15</v>
      </c>
      <c r="O748" s="37" t="s">
        <v>1475</v>
      </c>
    </row>
    <row r="749" customHeight="1" spans="1:15">
      <c r="A749" s="37" t="s">
        <v>637</v>
      </c>
      <c r="B749" s="38">
        <v>45169</v>
      </c>
      <c r="C749" s="37" t="s">
        <v>748</v>
      </c>
      <c r="D749" s="37" t="s">
        <v>639</v>
      </c>
      <c r="E749" s="37" t="s">
        <v>640</v>
      </c>
      <c r="F749" s="37" t="s">
        <v>641</v>
      </c>
      <c r="G749" s="37" t="s">
        <v>642</v>
      </c>
      <c r="H749" s="37" t="s">
        <v>650</v>
      </c>
      <c r="I749" s="37" t="s">
        <v>460</v>
      </c>
      <c r="J749" s="37" t="s">
        <v>644</v>
      </c>
      <c r="K749" s="37" t="s">
        <v>14</v>
      </c>
      <c r="L749" s="47">
        <v>47610.2</v>
      </c>
      <c r="M749" s="47">
        <v>44915.28</v>
      </c>
      <c r="N749" s="47">
        <v>2694.92</v>
      </c>
      <c r="O749" s="37" t="s">
        <v>1476</v>
      </c>
    </row>
    <row r="750" customHeight="1" spans="1:15">
      <c r="A750" s="37" t="s">
        <v>637</v>
      </c>
      <c r="B750" s="38">
        <v>45169</v>
      </c>
      <c r="C750" s="37" t="s">
        <v>748</v>
      </c>
      <c r="D750" s="37" t="s">
        <v>639</v>
      </c>
      <c r="E750" s="37" t="s">
        <v>640</v>
      </c>
      <c r="F750" s="37" t="s">
        <v>707</v>
      </c>
      <c r="G750" s="37" t="s">
        <v>642</v>
      </c>
      <c r="H750" s="37" t="s">
        <v>650</v>
      </c>
      <c r="I750" s="37" t="s">
        <v>460</v>
      </c>
      <c r="J750" s="37" t="s">
        <v>644</v>
      </c>
      <c r="K750" s="37" t="s">
        <v>14</v>
      </c>
      <c r="L750" s="47">
        <v>-51239.1</v>
      </c>
      <c r="M750" s="47">
        <v>-48338.77</v>
      </c>
      <c r="N750" s="47">
        <v>-2900.33</v>
      </c>
      <c r="O750" s="37" t="s">
        <v>1477</v>
      </c>
    </row>
    <row r="751" customHeight="1" spans="1:15">
      <c r="A751" s="37" t="s">
        <v>637</v>
      </c>
      <c r="B751" s="38">
        <v>45169</v>
      </c>
      <c r="C751" s="37" t="s">
        <v>748</v>
      </c>
      <c r="D751" s="37" t="s">
        <v>639</v>
      </c>
      <c r="E751" s="37" t="s">
        <v>640</v>
      </c>
      <c r="F751" s="37" t="s">
        <v>707</v>
      </c>
      <c r="G751" s="37" t="s">
        <v>642</v>
      </c>
      <c r="H751" s="37" t="s">
        <v>643</v>
      </c>
      <c r="I751" s="37" t="s">
        <v>429</v>
      </c>
      <c r="J751" s="37" t="s">
        <v>644</v>
      </c>
      <c r="K751" s="37" t="s">
        <v>14</v>
      </c>
      <c r="L751" s="47">
        <v>-15466.29</v>
      </c>
      <c r="M751" s="47">
        <v>-14590.84</v>
      </c>
      <c r="N751" s="47">
        <v>-875.45</v>
      </c>
      <c r="O751" s="37" t="s">
        <v>1478</v>
      </c>
    </row>
    <row r="752" customHeight="1" spans="1:15">
      <c r="A752" s="37" t="s">
        <v>637</v>
      </c>
      <c r="B752" s="38">
        <v>45169</v>
      </c>
      <c r="C752" s="37" t="s">
        <v>748</v>
      </c>
      <c r="D752" s="37" t="s">
        <v>639</v>
      </c>
      <c r="E752" s="37" t="s">
        <v>640</v>
      </c>
      <c r="F752" s="37" t="s">
        <v>641</v>
      </c>
      <c r="G752" s="37" t="s">
        <v>648</v>
      </c>
      <c r="H752" s="37" t="s">
        <v>643</v>
      </c>
      <c r="I752" s="37" t="s">
        <v>441</v>
      </c>
      <c r="J752" s="37" t="s">
        <v>644</v>
      </c>
      <c r="K752" s="37" t="s">
        <v>14</v>
      </c>
      <c r="L752" s="47">
        <v>16182</v>
      </c>
      <c r="M752" s="47">
        <v>15266.04</v>
      </c>
      <c r="N752" s="47">
        <v>915.96</v>
      </c>
      <c r="O752" s="37" t="s">
        <v>1479</v>
      </c>
    </row>
    <row r="753" customHeight="1" spans="1:15">
      <c r="A753" s="37" t="s">
        <v>637</v>
      </c>
      <c r="B753" s="38">
        <v>45169</v>
      </c>
      <c r="C753" s="37" t="s">
        <v>748</v>
      </c>
      <c r="D753" s="37" t="s">
        <v>639</v>
      </c>
      <c r="E753" s="37" t="s">
        <v>640</v>
      </c>
      <c r="F753" s="37" t="s">
        <v>749</v>
      </c>
      <c r="G753" s="37" t="s">
        <v>642</v>
      </c>
      <c r="H753" s="37" t="s">
        <v>643</v>
      </c>
      <c r="I753" s="37" t="s">
        <v>779</v>
      </c>
      <c r="J753" s="37" t="s">
        <v>644</v>
      </c>
      <c r="K753" s="37" t="s">
        <v>14</v>
      </c>
      <c r="L753" s="47">
        <v>94779.68</v>
      </c>
      <c r="M753" s="47">
        <v>89414.79</v>
      </c>
      <c r="N753" s="47">
        <v>5364.89</v>
      </c>
      <c r="O753" s="37" t="s">
        <v>1480</v>
      </c>
    </row>
    <row r="754" customHeight="1" spans="1:15">
      <c r="A754" s="37" t="s">
        <v>637</v>
      </c>
      <c r="B754" s="38">
        <v>45169</v>
      </c>
      <c r="C754" s="37" t="s">
        <v>748</v>
      </c>
      <c r="D754" s="37" t="s">
        <v>639</v>
      </c>
      <c r="E754" s="37" t="s">
        <v>640</v>
      </c>
      <c r="F754" s="37" t="s">
        <v>707</v>
      </c>
      <c r="G754" s="37" t="s">
        <v>642</v>
      </c>
      <c r="H754" s="37" t="s">
        <v>643</v>
      </c>
      <c r="I754" s="37" t="s">
        <v>429</v>
      </c>
      <c r="J754" s="37" t="s">
        <v>644</v>
      </c>
      <c r="K754" s="37" t="s">
        <v>14</v>
      </c>
      <c r="L754" s="47">
        <v>-16231.93</v>
      </c>
      <c r="M754" s="47">
        <v>-15313.14</v>
      </c>
      <c r="N754" s="47">
        <v>-918.79</v>
      </c>
      <c r="O754" s="37" t="s">
        <v>1481</v>
      </c>
    </row>
    <row r="755" customHeight="1" spans="1:15">
      <c r="A755" s="37" t="s">
        <v>637</v>
      </c>
      <c r="B755" s="38">
        <v>45169</v>
      </c>
      <c r="C755" s="37" t="s">
        <v>748</v>
      </c>
      <c r="D755" s="37" t="s">
        <v>639</v>
      </c>
      <c r="E755" s="37" t="s">
        <v>640</v>
      </c>
      <c r="F755" s="37" t="s">
        <v>707</v>
      </c>
      <c r="G755" s="37" t="s">
        <v>648</v>
      </c>
      <c r="H755" s="37" t="s">
        <v>643</v>
      </c>
      <c r="I755" s="37" t="s">
        <v>429</v>
      </c>
      <c r="J755" s="37" t="s">
        <v>644</v>
      </c>
      <c r="K755" s="37" t="s">
        <v>14</v>
      </c>
      <c r="L755" s="47">
        <v>3103.4</v>
      </c>
      <c r="M755" s="47">
        <v>2927.74</v>
      </c>
      <c r="N755" s="47">
        <v>175.66</v>
      </c>
      <c r="O755" s="37" t="s">
        <v>1482</v>
      </c>
    </row>
    <row r="756" customHeight="1" spans="1:15">
      <c r="A756" s="37" t="s">
        <v>637</v>
      </c>
      <c r="B756" s="38">
        <v>45169</v>
      </c>
      <c r="C756" s="37" t="s">
        <v>748</v>
      </c>
      <c r="D756" s="37" t="s">
        <v>653</v>
      </c>
      <c r="E756" s="37" t="s">
        <v>640</v>
      </c>
      <c r="F756" s="37" t="s">
        <v>659</v>
      </c>
      <c r="G756" s="37" t="s">
        <v>642</v>
      </c>
      <c r="H756" s="37" t="s">
        <v>650</v>
      </c>
      <c r="I756" s="37" t="s">
        <v>429</v>
      </c>
      <c r="J756" s="37" t="s">
        <v>656</v>
      </c>
      <c r="K756" s="37" t="s">
        <v>166</v>
      </c>
      <c r="L756" s="47">
        <v>10648.77</v>
      </c>
      <c r="M756" s="47">
        <v>10046.01</v>
      </c>
      <c r="N756" s="47">
        <v>602.76</v>
      </c>
      <c r="O756" s="37" t="s">
        <v>1483</v>
      </c>
    </row>
    <row r="757" customHeight="1" spans="1:15">
      <c r="A757" s="37" t="s">
        <v>637</v>
      </c>
      <c r="B757" s="38">
        <v>45169</v>
      </c>
      <c r="C757" s="37" t="s">
        <v>748</v>
      </c>
      <c r="D757" s="37" t="s">
        <v>639</v>
      </c>
      <c r="E757" s="37" t="s">
        <v>640</v>
      </c>
      <c r="F757" s="37" t="s">
        <v>707</v>
      </c>
      <c r="G757" s="37" t="s">
        <v>648</v>
      </c>
      <c r="H757" s="37" t="s">
        <v>643</v>
      </c>
      <c r="I757" s="37" t="s">
        <v>429</v>
      </c>
      <c r="J757" s="37" t="s">
        <v>644</v>
      </c>
      <c r="K757" s="37" t="s">
        <v>14</v>
      </c>
      <c r="L757" s="47">
        <v>99979</v>
      </c>
      <c r="M757" s="47">
        <v>94319.81</v>
      </c>
      <c r="N757" s="47">
        <v>5659.19</v>
      </c>
      <c r="O757" s="37" t="s">
        <v>1484</v>
      </c>
    </row>
    <row r="758" customHeight="1" spans="1:15">
      <c r="A758" s="37" t="s">
        <v>637</v>
      </c>
      <c r="B758" s="38">
        <v>45169</v>
      </c>
      <c r="C758" s="37" t="s">
        <v>748</v>
      </c>
      <c r="D758" s="37" t="s">
        <v>653</v>
      </c>
      <c r="E758" s="37" t="s">
        <v>640</v>
      </c>
      <c r="F758" s="37" t="s">
        <v>659</v>
      </c>
      <c r="G758" s="37" t="s">
        <v>642</v>
      </c>
      <c r="H758" s="37" t="s">
        <v>650</v>
      </c>
      <c r="I758" s="37" t="s">
        <v>728</v>
      </c>
      <c r="J758" s="37" t="s">
        <v>656</v>
      </c>
      <c r="K758" s="37" t="s">
        <v>166</v>
      </c>
      <c r="L758" s="47">
        <v>50440.87</v>
      </c>
      <c r="M758" s="47">
        <v>47585.73</v>
      </c>
      <c r="N758" s="47">
        <v>2855.14</v>
      </c>
      <c r="O758" s="37" t="s">
        <v>1485</v>
      </c>
    </row>
    <row r="759" customHeight="1" spans="1:15">
      <c r="A759" s="37" t="s">
        <v>637</v>
      </c>
      <c r="B759" s="38">
        <v>45169</v>
      </c>
      <c r="C759" s="37" t="s">
        <v>748</v>
      </c>
      <c r="D759" s="37" t="s">
        <v>653</v>
      </c>
      <c r="E759" s="37" t="s">
        <v>640</v>
      </c>
      <c r="F759" s="37" t="s">
        <v>641</v>
      </c>
      <c r="G759" s="37" t="s">
        <v>642</v>
      </c>
      <c r="H759" s="37" t="s">
        <v>650</v>
      </c>
      <c r="I759" s="37" t="s">
        <v>728</v>
      </c>
      <c r="J759" s="37" t="s">
        <v>644</v>
      </c>
      <c r="K759" s="37" t="s">
        <v>166</v>
      </c>
      <c r="L759" s="47">
        <v>5697.62</v>
      </c>
      <c r="M759" s="47">
        <v>5375.11</v>
      </c>
      <c r="N759" s="47">
        <v>322.51</v>
      </c>
      <c r="O759" s="37" t="s">
        <v>1486</v>
      </c>
    </row>
    <row r="760" customHeight="1" spans="1:15">
      <c r="A760" s="37" t="s">
        <v>637</v>
      </c>
      <c r="B760" s="38">
        <v>45169</v>
      </c>
      <c r="C760" s="37" t="s">
        <v>1273</v>
      </c>
      <c r="D760" s="37" t="s">
        <v>653</v>
      </c>
      <c r="E760" s="37" t="s">
        <v>640</v>
      </c>
      <c r="F760" s="37" t="s">
        <v>659</v>
      </c>
      <c r="G760" s="37" t="s">
        <v>648</v>
      </c>
      <c r="H760" s="37" t="s">
        <v>650</v>
      </c>
      <c r="I760" s="37" t="s">
        <v>728</v>
      </c>
      <c r="J760" s="37" t="s">
        <v>656</v>
      </c>
      <c r="K760" s="37" t="s">
        <v>166</v>
      </c>
      <c r="L760" s="47">
        <v>28289.33</v>
      </c>
      <c r="M760" s="47">
        <v>26688.05</v>
      </c>
      <c r="N760" s="47">
        <v>1601.28</v>
      </c>
      <c r="O760" s="37" t="s">
        <v>1487</v>
      </c>
    </row>
    <row r="761" customHeight="1" spans="1:15">
      <c r="A761" s="37" t="s">
        <v>637</v>
      </c>
      <c r="B761" s="38">
        <v>45169</v>
      </c>
      <c r="C761" s="37" t="s">
        <v>1273</v>
      </c>
      <c r="D761" s="37" t="s">
        <v>653</v>
      </c>
      <c r="E761" s="37" t="s">
        <v>640</v>
      </c>
      <c r="F761" s="37" t="s">
        <v>641</v>
      </c>
      <c r="G761" s="37" t="s">
        <v>648</v>
      </c>
      <c r="H761" s="37" t="s">
        <v>650</v>
      </c>
      <c r="I761" s="37" t="s">
        <v>429</v>
      </c>
      <c r="J761" s="37" t="s">
        <v>656</v>
      </c>
      <c r="K761" s="37" t="s">
        <v>166</v>
      </c>
      <c r="L761" s="47">
        <v>318.27</v>
      </c>
      <c r="M761" s="47">
        <v>300.25</v>
      </c>
      <c r="N761" s="47">
        <v>18.02</v>
      </c>
      <c r="O761" s="37" t="s">
        <v>1488</v>
      </c>
    </row>
    <row r="762" customHeight="1" spans="1:15">
      <c r="A762" s="37" t="s">
        <v>637</v>
      </c>
      <c r="B762" s="38">
        <v>45169</v>
      </c>
      <c r="C762" s="37" t="s">
        <v>646</v>
      </c>
      <c r="D762" s="37" t="s">
        <v>639</v>
      </c>
      <c r="E762" s="37" t="s">
        <v>640</v>
      </c>
      <c r="F762" s="37" t="s">
        <v>641</v>
      </c>
      <c r="G762" s="37" t="s">
        <v>648</v>
      </c>
      <c r="H762" s="37" t="s">
        <v>643</v>
      </c>
      <c r="I762" s="37" t="s">
        <v>430</v>
      </c>
      <c r="J762" s="37" t="s">
        <v>644</v>
      </c>
      <c r="K762" s="37" t="s">
        <v>14</v>
      </c>
      <c r="L762" s="47">
        <v>85042.05</v>
      </c>
      <c r="M762" s="47">
        <v>80228.35</v>
      </c>
      <c r="N762" s="47">
        <v>4813.7</v>
      </c>
      <c r="O762" s="37" t="s">
        <v>1489</v>
      </c>
    </row>
    <row r="763" customHeight="1" spans="1:15">
      <c r="A763" s="37" t="s">
        <v>637</v>
      </c>
      <c r="B763" s="38">
        <v>45169</v>
      </c>
      <c r="C763" s="37" t="s">
        <v>748</v>
      </c>
      <c r="D763" s="37" t="s">
        <v>639</v>
      </c>
      <c r="E763" s="37" t="s">
        <v>640</v>
      </c>
      <c r="F763" s="37" t="s">
        <v>641</v>
      </c>
      <c r="G763" s="37" t="s">
        <v>654</v>
      </c>
      <c r="H763" s="37" t="s">
        <v>650</v>
      </c>
      <c r="I763" s="37" t="s">
        <v>792</v>
      </c>
      <c r="J763" s="37" t="s">
        <v>644</v>
      </c>
      <c r="K763" s="37" t="s">
        <v>14</v>
      </c>
      <c r="L763" s="47">
        <v>-130657.48</v>
      </c>
      <c r="M763" s="47">
        <v>-123261.77</v>
      </c>
      <c r="N763" s="47">
        <v>-7395.71</v>
      </c>
      <c r="O763" s="37" t="s">
        <v>1490</v>
      </c>
    </row>
    <row r="764" customHeight="1" spans="1:15">
      <c r="A764" s="37" t="s">
        <v>637</v>
      </c>
      <c r="B764" s="38">
        <v>45169</v>
      </c>
      <c r="C764" s="37" t="s">
        <v>748</v>
      </c>
      <c r="D764" s="37" t="s">
        <v>639</v>
      </c>
      <c r="E764" s="37" t="s">
        <v>640</v>
      </c>
      <c r="F764" s="37" t="s">
        <v>641</v>
      </c>
      <c r="G764" s="37" t="s">
        <v>642</v>
      </c>
      <c r="H764" s="37" t="s">
        <v>650</v>
      </c>
      <c r="I764" s="37" t="s">
        <v>792</v>
      </c>
      <c r="J764" s="37" t="s">
        <v>644</v>
      </c>
      <c r="K764" s="37" t="s">
        <v>14</v>
      </c>
      <c r="L764" s="47">
        <v>59700</v>
      </c>
      <c r="M764" s="47">
        <v>56320.75</v>
      </c>
      <c r="N764" s="47">
        <v>3379.25</v>
      </c>
      <c r="O764" s="37" t="s">
        <v>1491</v>
      </c>
    </row>
    <row r="765" customHeight="1" spans="1:15">
      <c r="A765" s="37" t="s">
        <v>637</v>
      </c>
      <c r="B765" s="38">
        <v>45169</v>
      </c>
      <c r="C765" s="37" t="s">
        <v>748</v>
      </c>
      <c r="D765" s="37" t="s">
        <v>682</v>
      </c>
      <c r="E765" s="37" t="s">
        <v>640</v>
      </c>
      <c r="F765" s="37" t="s">
        <v>641</v>
      </c>
      <c r="G765" s="37" t="s">
        <v>648</v>
      </c>
      <c r="H765" s="37" t="s">
        <v>650</v>
      </c>
      <c r="I765" s="37" t="s">
        <v>742</v>
      </c>
      <c r="J765" s="37" t="s">
        <v>656</v>
      </c>
      <c r="K765" s="37" t="s">
        <v>13</v>
      </c>
      <c r="L765" s="47">
        <v>-310903.37</v>
      </c>
      <c r="M765" s="47">
        <v>-293305.07</v>
      </c>
      <c r="N765" s="47">
        <v>-17598.3</v>
      </c>
      <c r="O765" s="37" t="s">
        <v>1492</v>
      </c>
    </row>
    <row r="766" customHeight="1" spans="1:15">
      <c r="A766" s="44" t="s">
        <v>637</v>
      </c>
      <c r="B766" s="86">
        <v>45199</v>
      </c>
      <c r="C766" s="44" t="s">
        <v>811</v>
      </c>
      <c r="D766" s="44" t="s">
        <v>639</v>
      </c>
      <c r="E766" s="44" t="s">
        <v>640</v>
      </c>
      <c r="F766" s="44" t="s">
        <v>641</v>
      </c>
      <c r="G766" s="44" t="s">
        <v>642</v>
      </c>
      <c r="H766" s="44" t="s">
        <v>643</v>
      </c>
      <c r="I766" s="44" t="s">
        <v>430</v>
      </c>
      <c r="J766" s="44" t="s">
        <v>656</v>
      </c>
      <c r="K766" s="44" t="s">
        <v>14</v>
      </c>
      <c r="L766" s="48">
        <v>102739.17</v>
      </c>
      <c r="M766" s="48">
        <v>96923.75</v>
      </c>
      <c r="N766" s="48">
        <v>5815.42</v>
      </c>
      <c r="O766" s="44" t="s">
        <v>1493</v>
      </c>
    </row>
    <row r="767" customHeight="1" spans="1:15">
      <c r="A767" s="44" t="s">
        <v>637</v>
      </c>
      <c r="B767" s="86">
        <v>45199</v>
      </c>
      <c r="C767" s="44" t="s">
        <v>730</v>
      </c>
      <c r="D767" s="44" t="s">
        <v>653</v>
      </c>
      <c r="E767" s="44" t="s">
        <v>640</v>
      </c>
      <c r="F767" s="44" t="s">
        <v>659</v>
      </c>
      <c r="G767" s="44" t="s">
        <v>654</v>
      </c>
      <c r="H767" s="44" t="s">
        <v>650</v>
      </c>
      <c r="I767" s="44" t="s">
        <v>719</v>
      </c>
      <c r="J767" s="44" t="s">
        <v>656</v>
      </c>
      <c r="K767" s="44" t="s">
        <v>166</v>
      </c>
      <c r="L767" s="48">
        <v>466.98</v>
      </c>
      <c r="M767" s="48">
        <v>440.55</v>
      </c>
      <c r="N767" s="48">
        <v>26.43</v>
      </c>
      <c r="O767" s="44" t="s">
        <v>1494</v>
      </c>
    </row>
    <row r="768" customHeight="1" spans="1:15">
      <c r="A768" s="44" t="s">
        <v>637</v>
      </c>
      <c r="B768" s="86">
        <v>45199</v>
      </c>
      <c r="C768" s="44" t="s">
        <v>811</v>
      </c>
      <c r="D768" s="44" t="s">
        <v>639</v>
      </c>
      <c r="E768" s="44" t="s">
        <v>640</v>
      </c>
      <c r="F768" s="44" t="s">
        <v>641</v>
      </c>
      <c r="G768" s="44" t="s">
        <v>648</v>
      </c>
      <c r="H768" s="44" t="s">
        <v>643</v>
      </c>
      <c r="I768" s="44" t="s">
        <v>430</v>
      </c>
      <c r="J768" s="44" t="s">
        <v>656</v>
      </c>
      <c r="K768" s="44" t="s">
        <v>14</v>
      </c>
      <c r="L768" s="48">
        <v>-136146</v>
      </c>
      <c r="M768" s="48">
        <v>-128439.62</v>
      </c>
      <c r="N768" s="48">
        <v>-7706.38</v>
      </c>
      <c r="O768" s="44" t="s">
        <v>1495</v>
      </c>
    </row>
    <row r="769" customHeight="1" spans="1:15">
      <c r="A769" s="44" t="s">
        <v>637</v>
      </c>
      <c r="B769" s="86">
        <v>45199</v>
      </c>
      <c r="C769" s="44" t="s">
        <v>715</v>
      </c>
      <c r="D769" s="44" t="s">
        <v>653</v>
      </c>
      <c r="E769" s="44" t="s">
        <v>647</v>
      </c>
      <c r="F769" s="44" t="s">
        <v>659</v>
      </c>
      <c r="G769" s="44" t="s">
        <v>648</v>
      </c>
      <c r="H769" s="44" t="s">
        <v>650</v>
      </c>
      <c r="I769" s="44" t="s">
        <v>716</v>
      </c>
      <c r="J769" s="44" t="s">
        <v>656</v>
      </c>
      <c r="K769" s="44" t="s">
        <v>166</v>
      </c>
      <c r="L769" s="48">
        <v>255.69</v>
      </c>
      <c r="M769" s="48">
        <v>241.18</v>
      </c>
      <c r="N769" s="48">
        <v>14.51</v>
      </c>
      <c r="O769" s="44"/>
    </row>
    <row r="770" customHeight="1" spans="1:15">
      <c r="A770" s="44" t="s">
        <v>637</v>
      </c>
      <c r="B770" s="86">
        <v>45199</v>
      </c>
      <c r="C770" s="44" t="s">
        <v>710</v>
      </c>
      <c r="D770" s="44" t="s">
        <v>639</v>
      </c>
      <c r="E770" s="44" t="s">
        <v>640</v>
      </c>
      <c r="F770" s="44" t="s">
        <v>707</v>
      </c>
      <c r="G770" s="44" t="s">
        <v>648</v>
      </c>
      <c r="H770" s="44" t="s">
        <v>650</v>
      </c>
      <c r="I770" s="44" t="s">
        <v>723</v>
      </c>
      <c r="J770" s="44" t="s">
        <v>644</v>
      </c>
      <c r="K770" s="44" t="s">
        <v>165</v>
      </c>
      <c r="L770" s="48">
        <v>-30121.5</v>
      </c>
      <c r="M770" s="48">
        <v>-28416.51</v>
      </c>
      <c r="N770" s="48">
        <v>-1704.99</v>
      </c>
      <c r="O770" s="44" t="s">
        <v>1496</v>
      </c>
    </row>
    <row r="771" customHeight="1" spans="1:15">
      <c r="A771" s="44" t="s">
        <v>637</v>
      </c>
      <c r="B771" s="86">
        <v>45199</v>
      </c>
      <c r="C771" s="44" t="s">
        <v>710</v>
      </c>
      <c r="D771" s="44" t="s">
        <v>639</v>
      </c>
      <c r="E771" s="44" t="s">
        <v>647</v>
      </c>
      <c r="F771" s="44" t="s">
        <v>707</v>
      </c>
      <c r="G771" s="44" t="s">
        <v>648</v>
      </c>
      <c r="H771" s="44" t="s">
        <v>650</v>
      </c>
      <c r="I771" s="44" t="s">
        <v>723</v>
      </c>
      <c r="J771" s="44" t="s">
        <v>644</v>
      </c>
      <c r="K771" s="44" t="s">
        <v>165</v>
      </c>
      <c r="L771" s="48">
        <v>600071.5</v>
      </c>
      <c r="M771" s="48">
        <v>566105.18</v>
      </c>
      <c r="N771" s="48">
        <v>33966.32</v>
      </c>
      <c r="O771" s="44"/>
    </row>
    <row r="772" customHeight="1" spans="1:15">
      <c r="A772" s="44" t="s">
        <v>637</v>
      </c>
      <c r="B772" s="86">
        <v>45199</v>
      </c>
      <c r="C772" s="44" t="s">
        <v>646</v>
      </c>
      <c r="D772" s="44" t="s">
        <v>682</v>
      </c>
      <c r="E772" s="44" t="s">
        <v>640</v>
      </c>
      <c r="F772" s="44" t="s">
        <v>641</v>
      </c>
      <c r="G772" s="44" t="s">
        <v>642</v>
      </c>
      <c r="H772" s="44" t="s">
        <v>650</v>
      </c>
      <c r="I772" s="44" t="s">
        <v>743</v>
      </c>
      <c r="J772" s="44" t="s">
        <v>656</v>
      </c>
      <c r="K772" s="44" t="s">
        <v>13</v>
      </c>
      <c r="L772" s="48">
        <v>4815</v>
      </c>
      <c r="M772" s="48">
        <v>4542.45</v>
      </c>
      <c r="N772" s="48">
        <v>272.55</v>
      </c>
      <c r="O772" s="44" t="s">
        <v>1497</v>
      </c>
    </row>
    <row r="773" customHeight="1" spans="1:15">
      <c r="A773" s="44" t="s">
        <v>637</v>
      </c>
      <c r="B773" s="86">
        <v>45199</v>
      </c>
      <c r="C773" s="44" t="s">
        <v>646</v>
      </c>
      <c r="D773" s="44" t="s">
        <v>639</v>
      </c>
      <c r="E773" s="44" t="s">
        <v>640</v>
      </c>
      <c r="F773" s="44" t="s">
        <v>689</v>
      </c>
      <c r="G773" s="44" t="s">
        <v>648</v>
      </c>
      <c r="H773" s="44" t="s">
        <v>650</v>
      </c>
      <c r="I773" s="44" t="s">
        <v>690</v>
      </c>
      <c r="J773" s="44" t="s">
        <v>656</v>
      </c>
      <c r="K773" s="44" t="s">
        <v>165</v>
      </c>
      <c r="L773" s="48">
        <v>2470</v>
      </c>
      <c r="M773" s="48">
        <v>2330.19</v>
      </c>
      <c r="N773" s="48">
        <v>139.81</v>
      </c>
      <c r="O773" s="44" t="s">
        <v>1498</v>
      </c>
    </row>
    <row r="774" customHeight="1" spans="1:15">
      <c r="A774" s="44" t="s">
        <v>637</v>
      </c>
      <c r="B774" s="86">
        <v>45199</v>
      </c>
      <c r="C774" s="44" t="s">
        <v>646</v>
      </c>
      <c r="D774" s="44" t="s">
        <v>639</v>
      </c>
      <c r="E774" s="44" t="s">
        <v>640</v>
      </c>
      <c r="F774" s="44" t="s">
        <v>689</v>
      </c>
      <c r="G774" s="44" t="s">
        <v>654</v>
      </c>
      <c r="H774" s="44" t="s">
        <v>697</v>
      </c>
      <c r="I774" s="44" t="s">
        <v>658</v>
      </c>
      <c r="J774" s="44" t="s">
        <v>656</v>
      </c>
      <c r="K774" s="44" t="s">
        <v>350</v>
      </c>
      <c r="L774" s="48">
        <v>-889767</v>
      </c>
      <c r="M774" s="48">
        <v>-839402.83</v>
      </c>
      <c r="N774" s="48">
        <v>-50364.17</v>
      </c>
      <c r="O774" s="44" t="s">
        <v>1499</v>
      </c>
    </row>
    <row r="775" customHeight="1" spans="1:15">
      <c r="A775" s="44" t="s">
        <v>637</v>
      </c>
      <c r="B775" s="86">
        <v>45199</v>
      </c>
      <c r="C775" s="44" t="s">
        <v>646</v>
      </c>
      <c r="D775" s="44" t="s">
        <v>639</v>
      </c>
      <c r="E775" s="44" t="s">
        <v>640</v>
      </c>
      <c r="F775" s="44" t="s">
        <v>689</v>
      </c>
      <c r="G775" s="44" t="s">
        <v>654</v>
      </c>
      <c r="H775" s="44" t="s">
        <v>697</v>
      </c>
      <c r="I775" s="44" t="s">
        <v>658</v>
      </c>
      <c r="J775" s="44" t="s">
        <v>656</v>
      </c>
      <c r="K775" s="44" t="s">
        <v>350</v>
      </c>
      <c r="L775" s="48">
        <v>45000</v>
      </c>
      <c r="M775" s="48">
        <v>42452.83</v>
      </c>
      <c r="N775" s="48">
        <v>2547.17</v>
      </c>
      <c r="O775" s="44" t="s">
        <v>1500</v>
      </c>
    </row>
    <row r="776" customHeight="1" spans="1:15">
      <c r="A776" s="44" t="s">
        <v>637</v>
      </c>
      <c r="B776" s="86">
        <v>45199</v>
      </c>
      <c r="C776" s="44" t="s">
        <v>646</v>
      </c>
      <c r="D776" s="44" t="s">
        <v>639</v>
      </c>
      <c r="E776" s="44" t="s">
        <v>640</v>
      </c>
      <c r="F776" s="44" t="s">
        <v>641</v>
      </c>
      <c r="G776" s="44" t="s">
        <v>642</v>
      </c>
      <c r="H776" s="44" t="s">
        <v>643</v>
      </c>
      <c r="I776" s="44" t="s">
        <v>430</v>
      </c>
      <c r="J776" s="44" t="s">
        <v>644</v>
      </c>
      <c r="K776" s="44" t="s">
        <v>14</v>
      </c>
      <c r="L776" s="48">
        <v>-6942.84</v>
      </c>
      <c r="M776" s="48">
        <v>-6549.85</v>
      </c>
      <c r="N776" s="48">
        <v>-392.99</v>
      </c>
      <c r="O776" s="44" t="s">
        <v>1501</v>
      </c>
    </row>
    <row r="777" customHeight="1" spans="1:15">
      <c r="A777" s="44" t="s">
        <v>637</v>
      </c>
      <c r="B777" s="86">
        <v>45199</v>
      </c>
      <c r="C777" s="44" t="s">
        <v>646</v>
      </c>
      <c r="D777" s="44" t="s">
        <v>639</v>
      </c>
      <c r="E777" s="44" t="s">
        <v>640</v>
      </c>
      <c r="F777" s="44" t="s">
        <v>641</v>
      </c>
      <c r="G777" s="44" t="s">
        <v>648</v>
      </c>
      <c r="H777" s="44" t="s">
        <v>643</v>
      </c>
      <c r="I777" s="44" t="s">
        <v>430</v>
      </c>
      <c r="J777" s="44" t="s">
        <v>644</v>
      </c>
      <c r="K777" s="44" t="s">
        <v>14</v>
      </c>
      <c r="L777" s="48">
        <v>65026.22</v>
      </c>
      <c r="M777" s="48">
        <v>61345.49</v>
      </c>
      <c r="N777" s="48">
        <v>3680.73</v>
      </c>
      <c r="O777" s="44" t="s">
        <v>1502</v>
      </c>
    </row>
    <row r="778" customHeight="1" spans="1:15">
      <c r="A778" s="44" t="s">
        <v>637</v>
      </c>
      <c r="B778" s="86">
        <v>45199</v>
      </c>
      <c r="C778" s="44" t="s">
        <v>646</v>
      </c>
      <c r="D778" s="44" t="s">
        <v>653</v>
      </c>
      <c r="E778" s="44" t="s">
        <v>640</v>
      </c>
      <c r="F778" s="44" t="s">
        <v>641</v>
      </c>
      <c r="G778" s="44" t="s">
        <v>642</v>
      </c>
      <c r="H778" s="44" t="s">
        <v>643</v>
      </c>
      <c r="I778" s="44" t="s">
        <v>462</v>
      </c>
      <c r="J778" s="44" t="s">
        <v>656</v>
      </c>
      <c r="K778" s="44" t="s">
        <v>166</v>
      </c>
      <c r="L778" s="48">
        <v>998000</v>
      </c>
      <c r="M778" s="48">
        <v>941509.43</v>
      </c>
      <c r="N778" s="48">
        <v>56490.57</v>
      </c>
      <c r="O778" s="44" t="s">
        <v>1503</v>
      </c>
    </row>
    <row r="779" customHeight="1" spans="1:15">
      <c r="A779" s="44" t="s">
        <v>637</v>
      </c>
      <c r="B779" s="86">
        <v>45199</v>
      </c>
      <c r="C779" s="44" t="s">
        <v>646</v>
      </c>
      <c r="D779" s="44" t="s">
        <v>653</v>
      </c>
      <c r="E779" s="44" t="s">
        <v>640</v>
      </c>
      <c r="F779" s="44" t="s">
        <v>659</v>
      </c>
      <c r="G779" s="44" t="s">
        <v>648</v>
      </c>
      <c r="H779" s="44" t="s">
        <v>650</v>
      </c>
      <c r="I779" s="44" t="s">
        <v>462</v>
      </c>
      <c r="J779" s="44" t="s">
        <v>656</v>
      </c>
      <c r="K779" s="44" t="s">
        <v>166</v>
      </c>
      <c r="L779" s="48">
        <v>256029.96</v>
      </c>
      <c r="M779" s="48">
        <v>241537.7</v>
      </c>
      <c r="N779" s="48">
        <v>14492.26</v>
      </c>
      <c r="O779" s="44" t="s">
        <v>1504</v>
      </c>
    </row>
    <row r="780" customHeight="1" spans="1:15">
      <c r="A780" s="44" t="s">
        <v>637</v>
      </c>
      <c r="B780" s="86">
        <v>45199</v>
      </c>
      <c r="C780" s="44" t="s">
        <v>646</v>
      </c>
      <c r="D780" s="44" t="s">
        <v>653</v>
      </c>
      <c r="E780" s="44" t="s">
        <v>640</v>
      </c>
      <c r="F780" s="44" t="s">
        <v>641</v>
      </c>
      <c r="G780" s="44" t="s">
        <v>648</v>
      </c>
      <c r="H780" s="44" t="s">
        <v>697</v>
      </c>
      <c r="I780" s="44" t="s">
        <v>462</v>
      </c>
      <c r="J780" s="44" t="s">
        <v>656</v>
      </c>
      <c r="K780" s="44" t="s">
        <v>166</v>
      </c>
      <c r="L780" s="48">
        <v>116120.9</v>
      </c>
      <c r="M780" s="48">
        <v>109548.02</v>
      </c>
      <c r="N780" s="48">
        <v>6572.88</v>
      </c>
      <c r="O780" s="44" t="s">
        <v>1505</v>
      </c>
    </row>
    <row r="781" customHeight="1" spans="1:15">
      <c r="A781" s="44" t="s">
        <v>637</v>
      </c>
      <c r="B781" s="86">
        <v>45199</v>
      </c>
      <c r="C781" s="44" t="s">
        <v>646</v>
      </c>
      <c r="D781" s="44" t="s">
        <v>653</v>
      </c>
      <c r="E781" s="44" t="s">
        <v>640</v>
      </c>
      <c r="F781" s="44" t="s">
        <v>659</v>
      </c>
      <c r="G781" s="44" t="s">
        <v>648</v>
      </c>
      <c r="H781" s="44" t="s">
        <v>650</v>
      </c>
      <c r="I781" s="44" t="s">
        <v>462</v>
      </c>
      <c r="J781" s="44" t="s">
        <v>656</v>
      </c>
      <c r="K781" s="44" t="s">
        <v>166</v>
      </c>
      <c r="L781" s="48">
        <v>464483.61</v>
      </c>
      <c r="M781" s="48">
        <v>438192.08</v>
      </c>
      <c r="N781" s="48">
        <v>26291.53</v>
      </c>
      <c r="O781" s="44" t="s">
        <v>1506</v>
      </c>
    </row>
    <row r="782" customHeight="1" spans="1:15">
      <c r="A782" s="44" t="s">
        <v>637</v>
      </c>
      <c r="B782" s="86">
        <v>45199</v>
      </c>
      <c r="C782" s="44" t="s">
        <v>646</v>
      </c>
      <c r="D782" s="44" t="s">
        <v>639</v>
      </c>
      <c r="E782" s="44" t="s">
        <v>640</v>
      </c>
      <c r="F782" s="44" t="s">
        <v>641</v>
      </c>
      <c r="G782" s="44" t="s">
        <v>642</v>
      </c>
      <c r="H782" s="44" t="s">
        <v>643</v>
      </c>
      <c r="I782" s="44" t="s">
        <v>678</v>
      </c>
      <c r="J782" s="44" t="s">
        <v>656</v>
      </c>
      <c r="K782" s="44" t="s">
        <v>350</v>
      </c>
      <c r="L782" s="48">
        <v>252</v>
      </c>
      <c r="M782" s="48">
        <v>237.74</v>
      </c>
      <c r="N782" s="48">
        <v>14.26</v>
      </c>
      <c r="O782" s="44" t="s">
        <v>1507</v>
      </c>
    </row>
    <row r="783" customHeight="1" spans="1:15">
      <c r="A783" s="44" t="s">
        <v>637</v>
      </c>
      <c r="B783" s="86">
        <v>45199</v>
      </c>
      <c r="C783" s="44" t="s">
        <v>811</v>
      </c>
      <c r="D783" s="44" t="s">
        <v>726</v>
      </c>
      <c r="E783" s="44" t="s">
        <v>647</v>
      </c>
      <c r="F783" s="44" t="s">
        <v>641</v>
      </c>
      <c r="G783" s="44" t="s">
        <v>648</v>
      </c>
      <c r="H783" s="44" t="s">
        <v>643</v>
      </c>
      <c r="I783" s="44" t="s">
        <v>430</v>
      </c>
      <c r="J783" s="44" t="s">
        <v>644</v>
      </c>
      <c r="K783" s="44" t="s">
        <v>14</v>
      </c>
      <c r="L783" s="48">
        <v>975332.88</v>
      </c>
      <c r="M783" s="48">
        <v>920125.34</v>
      </c>
      <c r="N783" s="48">
        <v>55207.54</v>
      </c>
      <c r="O783" s="44"/>
    </row>
    <row r="784" customHeight="1" spans="1:15">
      <c r="A784" s="44" t="s">
        <v>637</v>
      </c>
      <c r="B784" s="86">
        <v>45199</v>
      </c>
      <c r="C784" s="44" t="s">
        <v>992</v>
      </c>
      <c r="D784" s="44" t="s">
        <v>639</v>
      </c>
      <c r="E784" s="44" t="s">
        <v>647</v>
      </c>
      <c r="F784" s="44" t="s">
        <v>641</v>
      </c>
      <c r="G784" s="44" t="s">
        <v>648</v>
      </c>
      <c r="H784" s="44" t="s">
        <v>643</v>
      </c>
      <c r="I784" s="44" t="s">
        <v>430</v>
      </c>
      <c r="J784" s="44" t="s">
        <v>644</v>
      </c>
      <c r="K784" s="44" t="s">
        <v>14</v>
      </c>
      <c r="L784" s="48">
        <v>139472</v>
      </c>
      <c r="M784" s="48">
        <v>131577.37</v>
      </c>
      <c r="N784" s="48">
        <v>7894.63</v>
      </c>
      <c r="O784" s="44"/>
    </row>
    <row r="785" customHeight="1" spans="1:15">
      <c r="A785" s="44" t="s">
        <v>637</v>
      </c>
      <c r="B785" s="86">
        <v>45199</v>
      </c>
      <c r="C785" s="44" t="s">
        <v>811</v>
      </c>
      <c r="D785" s="44" t="s">
        <v>639</v>
      </c>
      <c r="E785" s="44" t="s">
        <v>647</v>
      </c>
      <c r="F785" s="44" t="s">
        <v>641</v>
      </c>
      <c r="G785" s="44" t="s">
        <v>642</v>
      </c>
      <c r="H785" s="44" t="s">
        <v>650</v>
      </c>
      <c r="I785" s="44" t="s">
        <v>430</v>
      </c>
      <c r="J785" s="44" t="s">
        <v>644</v>
      </c>
      <c r="K785" s="44" t="s">
        <v>14</v>
      </c>
      <c r="L785" s="48">
        <v>35679.84</v>
      </c>
      <c r="M785" s="48">
        <v>33660.22</v>
      </c>
      <c r="N785" s="48">
        <v>2019.62</v>
      </c>
      <c r="O785" s="44"/>
    </row>
    <row r="786" customHeight="1" spans="1:15">
      <c r="A786" s="44" t="s">
        <v>637</v>
      </c>
      <c r="B786" s="86">
        <v>45199</v>
      </c>
      <c r="C786" s="44" t="s">
        <v>646</v>
      </c>
      <c r="D786" s="44" t="s">
        <v>639</v>
      </c>
      <c r="E786" s="44" t="s">
        <v>647</v>
      </c>
      <c r="F786" s="44" t="s">
        <v>641</v>
      </c>
      <c r="G786" s="44" t="s">
        <v>654</v>
      </c>
      <c r="H786" s="44" t="s">
        <v>643</v>
      </c>
      <c r="I786" s="44" t="s">
        <v>661</v>
      </c>
      <c r="J786" s="44" t="s">
        <v>656</v>
      </c>
      <c r="K786" s="44" t="s">
        <v>350</v>
      </c>
      <c r="L786" s="48">
        <v>310.5</v>
      </c>
      <c r="M786" s="48">
        <v>292.92</v>
      </c>
      <c r="N786" s="48">
        <v>17.58</v>
      </c>
      <c r="O786" s="44"/>
    </row>
    <row r="787" customHeight="1" spans="1:15">
      <c r="A787" s="44" t="s">
        <v>637</v>
      </c>
      <c r="B787" s="86">
        <v>45199</v>
      </c>
      <c r="C787" s="44" t="s">
        <v>646</v>
      </c>
      <c r="D787" s="44" t="s">
        <v>639</v>
      </c>
      <c r="E787" s="44" t="s">
        <v>647</v>
      </c>
      <c r="F787" s="44" t="s">
        <v>641</v>
      </c>
      <c r="G787" s="44" t="s">
        <v>642</v>
      </c>
      <c r="H787" s="44" t="s">
        <v>650</v>
      </c>
      <c r="I787" s="44" t="s">
        <v>430</v>
      </c>
      <c r="J787" s="44" t="s">
        <v>644</v>
      </c>
      <c r="K787" s="44" t="s">
        <v>14</v>
      </c>
      <c r="L787" s="48">
        <v>2393724.34</v>
      </c>
      <c r="M787" s="48">
        <v>2258230.47</v>
      </c>
      <c r="N787" s="48">
        <v>135493.87</v>
      </c>
      <c r="O787" s="44"/>
    </row>
    <row r="788" customHeight="1" spans="1:15">
      <c r="A788" s="44" t="s">
        <v>637</v>
      </c>
      <c r="B788" s="86">
        <v>45199</v>
      </c>
      <c r="C788" s="44" t="s">
        <v>646</v>
      </c>
      <c r="D788" s="44" t="s">
        <v>639</v>
      </c>
      <c r="E788" s="44" t="s">
        <v>647</v>
      </c>
      <c r="F788" s="44" t="s">
        <v>689</v>
      </c>
      <c r="G788" s="44" t="s">
        <v>654</v>
      </c>
      <c r="H788" s="44" t="s">
        <v>697</v>
      </c>
      <c r="I788" s="44" t="s">
        <v>658</v>
      </c>
      <c r="J788" s="44" t="s">
        <v>656</v>
      </c>
      <c r="K788" s="44" t="s">
        <v>350</v>
      </c>
      <c r="L788" s="48">
        <v>4000</v>
      </c>
      <c r="M788" s="48">
        <v>3773.59</v>
      </c>
      <c r="N788" s="48">
        <v>226.41</v>
      </c>
      <c r="O788" s="44"/>
    </row>
    <row r="789" customHeight="1" spans="1:15">
      <c r="A789" s="44" t="s">
        <v>637</v>
      </c>
      <c r="B789" s="86">
        <v>45199</v>
      </c>
      <c r="C789" s="44" t="s">
        <v>646</v>
      </c>
      <c r="D789" s="44" t="s">
        <v>639</v>
      </c>
      <c r="E789" s="44" t="s">
        <v>647</v>
      </c>
      <c r="F789" s="44" t="s">
        <v>641</v>
      </c>
      <c r="G789" s="44" t="s">
        <v>648</v>
      </c>
      <c r="H789" s="44" t="s">
        <v>643</v>
      </c>
      <c r="I789" s="44" t="s">
        <v>430</v>
      </c>
      <c r="J789" s="44" t="s">
        <v>644</v>
      </c>
      <c r="K789" s="44" t="s">
        <v>14</v>
      </c>
      <c r="L789" s="48">
        <v>20100.37</v>
      </c>
      <c r="M789" s="48">
        <v>18962.56</v>
      </c>
      <c r="N789" s="48">
        <v>1137.81</v>
      </c>
      <c r="O789" s="44"/>
    </row>
    <row r="790" customHeight="1" spans="1:15">
      <c r="A790" s="44" t="s">
        <v>637</v>
      </c>
      <c r="B790" s="86">
        <v>45199</v>
      </c>
      <c r="C790" s="44" t="s">
        <v>811</v>
      </c>
      <c r="D790" s="44" t="s">
        <v>1284</v>
      </c>
      <c r="E790" s="44" t="s">
        <v>647</v>
      </c>
      <c r="F790" s="44" t="s">
        <v>641</v>
      </c>
      <c r="G790" s="44" t="s">
        <v>648</v>
      </c>
      <c r="H790" s="44" t="s">
        <v>643</v>
      </c>
      <c r="I790" s="44" t="s">
        <v>430</v>
      </c>
      <c r="J790" s="44" t="s">
        <v>644</v>
      </c>
      <c r="K790" s="44" t="s">
        <v>14</v>
      </c>
      <c r="L790" s="48">
        <v>360023.4</v>
      </c>
      <c r="M790" s="48">
        <v>339644.72</v>
      </c>
      <c r="N790" s="48">
        <v>20378.68</v>
      </c>
      <c r="O790" s="44"/>
    </row>
    <row r="791" customHeight="1" spans="1:15">
      <c r="A791" s="44" t="s">
        <v>637</v>
      </c>
      <c r="B791" s="86">
        <v>45199</v>
      </c>
      <c r="C791" s="44" t="s">
        <v>811</v>
      </c>
      <c r="D791" s="44" t="s">
        <v>1296</v>
      </c>
      <c r="E791" s="44" t="s">
        <v>647</v>
      </c>
      <c r="F791" s="44" t="s">
        <v>641</v>
      </c>
      <c r="G791" s="44" t="s">
        <v>648</v>
      </c>
      <c r="H791" s="44" t="s">
        <v>643</v>
      </c>
      <c r="I791" s="44" t="s">
        <v>430</v>
      </c>
      <c r="J791" s="44" t="s">
        <v>644</v>
      </c>
      <c r="K791" s="44" t="s">
        <v>14</v>
      </c>
      <c r="L791" s="48">
        <v>990516.46</v>
      </c>
      <c r="M791" s="48">
        <v>934449.51</v>
      </c>
      <c r="N791" s="48">
        <v>56066.95</v>
      </c>
      <c r="O791" s="44"/>
    </row>
    <row r="792" customHeight="1" spans="1:15">
      <c r="A792" s="44" t="s">
        <v>637</v>
      </c>
      <c r="B792" s="86">
        <v>45199</v>
      </c>
      <c r="C792" s="44" t="s">
        <v>700</v>
      </c>
      <c r="D792" s="44" t="s">
        <v>639</v>
      </c>
      <c r="E792" s="44" t="s">
        <v>640</v>
      </c>
      <c r="F792" s="44" t="s">
        <v>641</v>
      </c>
      <c r="G792" s="44" t="s">
        <v>648</v>
      </c>
      <c r="H792" s="44" t="s">
        <v>650</v>
      </c>
      <c r="I792" s="44" t="s">
        <v>779</v>
      </c>
      <c r="J792" s="44" t="s">
        <v>644</v>
      </c>
      <c r="K792" s="44" t="s">
        <v>14</v>
      </c>
      <c r="L792" s="48">
        <v>4272.6</v>
      </c>
      <c r="M792" s="48">
        <v>4030.75</v>
      </c>
      <c r="N792" s="48">
        <v>241.85</v>
      </c>
      <c r="O792" s="44" t="s">
        <v>1508</v>
      </c>
    </row>
    <row r="793" customHeight="1" spans="1:15">
      <c r="A793" s="44" t="s">
        <v>637</v>
      </c>
      <c r="B793" s="86">
        <v>45199</v>
      </c>
      <c r="C793" s="44" t="s">
        <v>700</v>
      </c>
      <c r="D793" s="44" t="s">
        <v>639</v>
      </c>
      <c r="E793" s="44" t="s">
        <v>647</v>
      </c>
      <c r="F793" s="44" t="s">
        <v>641</v>
      </c>
      <c r="G793" s="44" t="s">
        <v>648</v>
      </c>
      <c r="H793" s="44" t="s">
        <v>643</v>
      </c>
      <c r="I793" s="44" t="s">
        <v>430</v>
      </c>
      <c r="J793" s="44" t="s">
        <v>644</v>
      </c>
      <c r="K793" s="44" t="s">
        <v>14</v>
      </c>
      <c r="L793" s="48">
        <v>339767.82</v>
      </c>
      <c r="M793" s="48">
        <v>320535.65</v>
      </c>
      <c r="N793" s="48">
        <v>19232.17</v>
      </c>
      <c r="O793" s="44"/>
    </row>
    <row r="794" customHeight="1" spans="1:15">
      <c r="A794" s="44" t="s">
        <v>637</v>
      </c>
      <c r="B794" s="86">
        <v>45199</v>
      </c>
      <c r="C794" s="44" t="s">
        <v>700</v>
      </c>
      <c r="D794" s="44" t="s">
        <v>639</v>
      </c>
      <c r="E794" s="44" t="s">
        <v>647</v>
      </c>
      <c r="F794" s="44" t="s">
        <v>659</v>
      </c>
      <c r="G794" s="44" t="s">
        <v>642</v>
      </c>
      <c r="H794" s="44" t="s">
        <v>650</v>
      </c>
      <c r="I794" s="44" t="s">
        <v>442</v>
      </c>
      <c r="J794" s="44" t="s">
        <v>644</v>
      </c>
      <c r="K794" s="44" t="s">
        <v>14</v>
      </c>
      <c r="L794" s="48">
        <v>38808.28</v>
      </c>
      <c r="M794" s="48">
        <v>36611.6</v>
      </c>
      <c r="N794" s="48">
        <v>2196.68</v>
      </c>
      <c r="O794" s="44"/>
    </row>
    <row r="795" customHeight="1" spans="1:15">
      <c r="A795" s="44" t="s">
        <v>637</v>
      </c>
      <c r="B795" s="86">
        <v>45199</v>
      </c>
      <c r="C795" s="44" t="s">
        <v>700</v>
      </c>
      <c r="D795" s="44" t="s">
        <v>639</v>
      </c>
      <c r="E795" s="44" t="s">
        <v>647</v>
      </c>
      <c r="F795" s="44" t="s">
        <v>641</v>
      </c>
      <c r="G795" s="44" t="s">
        <v>648</v>
      </c>
      <c r="H795" s="44" t="s">
        <v>643</v>
      </c>
      <c r="I795" s="44" t="s">
        <v>442</v>
      </c>
      <c r="J795" s="44" t="s">
        <v>644</v>
      </c>
      <c r="K795" s="44" t="s">
        <v>14</v>
      </c>
      <c r="L795" s="48">
        <v>929318.89</v>
      </c>
      <c r="M795" s="48">
        <v>876715.94</v>
      </c>
      <c r="N795" s="48">
        <v>52602.95</v>
      </c>
      <c r="O795" s="44"/>
    </row>
    <row r="796" customHeight="1" spans="1:15">
      <c r="A796" s="44" t="s">
        <v>637</v>
      </c>
      <c r="B796" s="86">
        <v>45199</v>
      </c>
      <c r="C796" s="44" t="s">
        <v>700</v>
      </c>
      <c r="D796" s="44" t="s">
        <v>639</v>
      </c>
      <c r="E796" s="44" t="s">
        <v>647</v>
      </c>
      <c r="F796" s="44" t="s">
        <v>641</v>
      </c>
      <c r="G796" s="44" t="s">
        <v>648</v>
      </c>
      <c r="H796" s="44" t="s">
        <v>650</v>
      </c>
      <c r="I796" s="44" t="s">
        <v>460</v>
      </c>
      <c r="J796" s="44" t="s">
        <v>644</v>
      </c>
      <c r="K796" s="44" t="s">
        <v>14</v>
      </c>
      <c r="L796" s="48">
        <v>669376.55</v>
      </c>
      <c r="M796" s="48">
        <v>631487.33</v>
      </c>
      <c r="N796" s="48">
        <v>37889.22</v>
      </c>
      <c r="O796" s="44"/>
    </row>
    <row r="797" customHeight="1" spans="1:15">
      <c r="A797" s="44" t="s">
        <v>637</v>
      </c>
      <c r="B797" s="86">
        <v>45199</v>
      </c>
      <c r="C797" s="44" t="s">
        <v>1273</v>
      </c>
      <c r="D797" s="44" t="s">
        <v>653</v>
      </c>
      <c r="E797" s="44" t="s">
        <v>640</v>
      </c>
      <c r="F797" s="44" t="s">
        <v>659</v>
      </c>
      <c r="G797" s="44" t="s">
        <v>648</v>
      </c>
      <c r="H797" s="44" t="s">
        <v>650</v>
      </c>
      <c r="I797" s="44" t="s">
        <v>728</v>
      </c>
      <c r="J797" s="44" t="s">
        <v>656</v>
      </c>
      <c r="K797" s="44" t="s">
        <v>166</v>
      </c>
      <c r="L797" s="48">
        <v>-357.1</v>
      </c>
      <c r="M797" s="48">
        <v>-336.89</v>
      </c>
      <c r="N797" s="48">
        <v>-20.21</v>
      </c>
      <c r="O797" s="44" t="s">
        <v>1509</v>
      </c>
    </row>
    <row r="798" customHeight="1" spans="1:15">
      <c r="A798" s="44" t="s">
        <v>637</v>
      </c>
      <c r="B798" s="86">
        <v>45199</v>
      </c>
      <c r="C798" s="44" t="s">
        <v>1273</v>
      </c>
      <c r="D798" s="44" t="s">
        <v>653</v>
      </c>
      <c r="E798" s="44" t="s">
        <v>640</v>
      </c>
      <c r="F798" s="44" t="s">
        <v>659</v>
      </c>
      <c r="G798" s="44" t="s">
        <v>648</v>
      </c>
      <c r="H798" s="44" t="s">
        <v>650</v>
      </c>
      <c r="I798" s="44" t="s">
        <v>728</v>
      </c>
      <c r="J798" s="44" t="s">
        <v>656</v>
      </c>
      <c r="K798" s="44" t="s">
        <v>166</v>
      </c>
      <c r="L798" s="48">
        <v>1645.84</v>
      </c>
      <c r="M798" s="48">
        <v>1552.68</v>
      </c>
      <c r="N798" s="48">
        <v>93.16</v>
      </c>
      <c r="O798" s="44" t="s">
        <v>1510</v>
      </c>
    </row>
    <row r="799" customHeight="1" spans="1:15">
      <c r="A799" s="44" t="s">
        <v>637</v>
      </c>
      <c r="B799" s="86">
        <v>45199</v>
      </c>
      <c r="C799" s="44" t="s">
        <v>1382</v>
      </c>
      <c r="D799" s="44" t="s">
        <v>639</v>
      </c>
      <c r="E799" s="44" t="s">
        <v>640</v>
      </c>
      <c r="F799" s="44" t="s">
        <v>689</v>
      </c>
      <c r="G799" s="44" t="s">
        <v>654</v>
      </c>
      <c r="H799" s="44" t="s">
        <v>697</v>
      </c>
      <c r="I799" s="44" t="s">
        <v>665</v>
      </c>
      <c r="J799" s="44" t="s">
        <v>656</v>
      </c>
      <c r="K799" s="44" t="s">
        <v>350</v>
      </c>
      <c r="L799" s="48">
        <v>2670</v>
      </c>
      <c r="M799" s="48">
        <v>2518.87</v>
      </c>
      <c r="N799" s="48">
        <v>151.13</v>
      </c>
      <c r="O799" s="44" t="s">
        <v>1511</v>
      </c>
    </row>
    <row r="800" customHeight="1" spans="1:15">
      <c r="A800" s="44" t="s">
        <v>637</v>
      </c>
      <c r="B800" s="86">
        <v>45199</v>
      </c>
      <c r="C800" s="44" t="s">
        <v>638</v>
      </c>
      <c r="D800" s="44" t="s">
        <v>639</v>
      </c>
      <c r="E800" s="44" t="s">
        <v>647</v>
      </c>
      <c r="F800" s="44" t="s">
        <v>641</v>
      </c>
      <c r="G800" s="44" t="s">
        <v>648</v>
      </c>
      <c r="H800" s="44" t="s">
        <v>697</v>
      </c>
      <c r="I800" s="44" t="s">
        <v>430</v>
      </c>
      <c r="J800" s="44" t="s">
        <v>644</v>
      </c>
      <c r="K800" s="44" t="s">
        <v>14</v>
      </c>
      <c r="L800" s="48">
        <v>105108</v>
      </c>
      <c r="M800" s="48">
        <v>99158.51</v>
      </c>
      <c r="N800" s="48">
        <v>5949.49</v>
      </c>
      <c r="O800" s="44"/>
    </row>
    <row r="801" customHeight="1" spans="1:15">
      <c r="A801" s="44" t="s">
        <v>637</v>
      </c>
      <c r="B801" s="86">
        <v>45199</v>
      </c>
      <c r="C801" s="44" t="s">
        <v>638</v>
      </c>
      <c r="D801" s="44" t="s">
        <v>639</v>
      </c>
      <c r="E801" s="44" t="s">
        <v>647</v>
      </c>
      <c r="F801" s="44" t="s">
        <v>641</v>
      </c>
      <c r="G801" s="44" t="s">
        <v>642</v>
      </c>
      <c r="H801" s="44" t="s">
        <v>650</v>
      </c>
      <c r="I801" s="44" t="s">
        <v>430</v>
      </c>
      <c r="J801" s="44" t="s">
        <v>644</v>
      </c>
      <c r="K801" s="44" t="s">
        <v>14</v>
      </c>
      <c r="L801" s="48">
        <v>2572304.7</v>
      </c>
      <c r="M801" s="48">
        <v>2426702.56</v>
      </c>
      <c r="N801" s="48">
        <v>145602.14</v>
      </c>
      <c r="O801" s="44"/>
    </row>
    <row r="802" customHeight="1" spans="1:15">
      <c r="A802" s="44" t="s">
        <v>637</v>
      </c>
      <c r="B802" s="86">
        <v>45199</v>
      </c>
      <c r="C802" s="44" t="s">
        <v>638</v>
      </c>
      <c r="D802" s="44" t="s">
        <v>639</v>
      </c>
      <c r="E802" s="44" t="s">
        <v>647</v>
      </c>
      <c r="F802" s="44" t="s">
        <v>641</v>
      </c>
      <c r="G802" s="44" t="s">
        <v>648</v>
      </c>
      <c r="H802" s="44" t="s">
        <v>643</v>
      </c>
      <c r="I802" s="44" t="s">
        <v>430</v>
      </c>
      <c r="J802" s="44" t="s">
        <v>644</v>
      </c>
      <c r="K802" s="44" t="s">
        <v>14</v>
      </c>
      <c r="L802" s="48">
        <v>511299.37</v>
      </c>
      <c r="M802" s="48">
        <v>482357.9</v>
      </c>
      <c r="N802" s="48">
        <v>28941.47</v>
      </c>
      <c r="O802" s="44"/>
    </row>
    <row r="803" customHeight="1" spans="1:15">
      <c r="A803" s="44" t="s">
        <v>637</v>
      </c>
      <c r="B803" s="86">
        <v>45199</v>
      </c>
      <c r="C803" s="44" t="s">
        <v>638</v>
      </c>
      <c r="D803" s="44" t="s">
        <v>639</v>
      </c>
      <c r="E803" s="44" t="s">
        <v>640</v>
      </c>
      <c r="F803" s="44" t="s">
        <v>641</v>
      </c>
      <c r="G803" s="44" t="s">
        <v>642</v>
      </c>
      <c r="H803" s="44" t="s">
        <v>643</v>
      </c>
      <c r="I803" s="44" t="s">
        <v>430</v>
      </c>
      <c r="J803" s="44" t="s">
        <v>644</v>
      </c>
      <c r="K803" s="44" t="s">
        <v>14</v>
      </c>
      <c r="L803" s="48">
        <v>141122.73</v>
      </c>
      <c r="M803" s="48">
        <v>133134.65</v>
      </c>
      <c r="N803" s="48">
        <v>7988.08</v>
      </c>
      <c r="O803" s="44" t="s">
        <v>1512</v>
      </c>
    </row>
    <row r="804" customHeight="1" spans="1:15">
      <c r="A804" s="44" t="s">
        <v>637</v>
      </c>
      <c r="B804" s="86">
        <v>45199</v>
      </c>
      <c r="C804" s="44" t="s">
        <v>638</v>
      </c>
      <c r="D804" s="44" t="s">
        <v>639</v>
      </c>
      <c r="E804" s="44" t="s">
        <v>647</v>
      </c>
      <c r="F804" s="44" t="s">
        <v>641</v>
      </c>
      <c r="G804" s="44" t="s">
        <v>648</v>
      </c>
      <c r="H804" s="44" t="s">
        <v>643</v>
      </c>
      <c r="I804" s="44" t="s">
        <v>430</v>
      </c>
      <c r="J804" s="44" t="s">
        <v>644</v>
      </c>
      <c r="K804" s="44" t="s">
        <v>14</v>
      </c>
      <c r="L804" s="48">
        <v>302671.1</v>
      </c>
      <c r="M804" s="48">
        <v>285538.75</v>
      </c>
      <c r="N804" s="48">
        <v>17132.35</v>
      </c>
      <c r="O804" s="44"/>
    </row>
    <row r="805" customHeight="1" spans="1:15">
      <c r="A805" s="44" t="s">
        <v>637</v>
      </c>
      <c r="B805" s="86">
        <v>45199</v>
      </c>
      <c r="C805" s="44" t="s">
        <v>638</v>
      </c>
      <c r="D805" s="44" t="s">
        <v>639</v>
      </c>
      <c r="E805" s="44" t="s">
        <v>640</v>
      </c>
      <c r="F805" s="44" t="s">
        <v>641</v>
      </c>
      <c r="G805" s="44" t="s">
        <v>648</v>
      </c>
      <c r="H805" s="44" t="s">
        <v>643</v>
      </c>
      <c r="I805" s="44" t="s">
        <v>430</v>
      </c>
      <c r="J805" s="44" t="s">
        <v>644</v>
      </c>
      <c r="K805" s="44" t="s">
        <v>14</v>
      </c>
      <c r="L805" s="48">
        <v>-191375.71</v>
      </c>
      <c r="M805" s="48">
        <v>-180543.12</v>
      </c>
      <c r="N805" s="48">
        <v>-10832.59</v>
      </c>
      <c r="O805" s="44" t="s">
        <v>1513</v>
      </c>
    </row>
    <row r="806" customHeight="1" spans="1:15">
      <c r="A806" s="44" t="s">
        <v>637</v>
      </c>
      <c r="B806" s="86">
        <v>45199</v>
      </c>
      <c r="C806" s="44" t="s">
        <v>748</v>
      </c>
      <c r="D806" s="44" t="s">
        <v>639</v>
      </c>
      <c r="E806" s="44" t="s">
        <v>640</v>
      </c>
      <c r="F806" s="44" t="s">
        <v>641</v>
      </c>
      <c r="G806" s="44" t="s">
        <v>642</v>
      </c>
      <c r="H806" s="44" t="s">
        <v>643</v>
      </c>
      <c r="I806" s="44" t="s">
        <v>676</v>
      </c>
      <c r="J806" s="44" t="s">
        <v>644</v>
      </c>
      <c r="K806" s="44" t="s">
        <v>350</v>
      </c>
      <c r="L806" s="48">
        <v>-25.81</v>
      </c>
      <c r="M806" s="48">
        <v>-24.35</v>
      </c>
      <c r="N806" s="48">
        <v>-1.46</v>
      </c>
      <c r="O806" s="44" t="s">
        <v>1514</v>
      </c>
    </row>
    <row r="807" customHeight="1" spans="1:15">
      <c r="A807" s="44" t="s">
        <v>637</v>
      </c>
      <c r="B807" s="86">
        <v>45199</v>
      </c>
      <c r="C807" s="44" t="s">
        <v>748</v>
      </c>
      <c r="D807" s="44" t="s">
        <v>639</v>
      </c>
      <c r="E807" s="44" t="s">
        <v>640</v>
      </c>
      <c r="F807" s="44" t="s">
        <v>641</v>
      </c>
      <c r="G807" s="44" t="s">
        <v>642</v>
      </c>
      <c r="H807" s="44" t="s">
        <v>650</v>
      </c>
      <c r="I807" s="44" t="s">
        <v>436</v>
      </c>
      <c r="J807" s="44" t="s">
        <v>644</v>
      </c>
      <c r="K807" s="44" t="s">
        <v>350</v>
      </c>
      <c r="L807" s="48">
        <v>-64.6</v>
      </c>
      <c r="M807" s="48">
        <v>-60.94</v>
      </c>
      <c r="N807" s="48">
        <v>-3.66</v>
      </c>
      <c r="O807" s="44" t="s">
        <v>1515</v>
      </c>
    </row>
    <row r="808" customHeight="1" spans="1:15">
      <c r="A808" s="44" t="s">
        <v>637</v>
      </c>
      <c r="B808" s="86">
        <v>45199</v>
      </c>
      <c r="C808" s="44" t="s">
        <v>748</v>
      </c>
      <c r="D808" s="44" t="s">
        <v>639</v>
      </c>
      <c r="E808" s="44" t="s">
        <v>640</v>
      </c>
      <c r="F808" s="44" t="s">
        <v>749</v>
      </c>
      <c r="G808" s="44" t="s">
        <v>642</v>
      </c>
      <c r="H808" s="44" t="s">
        <v>643</v>
      </c>
      <c r="I808" s="44" t="s">
        <v>662</v>
      </c>
      <c r="J808" s="44" t="s">
        <v>644</v>
      </c>
      <c r="K808" s="44" t="s">
        <v>350</v>
      </c>
      <c r="L808" s="48">
        <v>78136.66</v>
      </c>
      <c r="M808" s="48">
        <v>73713.83</v>
      </c>
      <c r="N808" s="48">
        <v>4422.83</v>
      </c>
      <c r="O808" s="44" t="s">
        <v>1516</v>
      </c>
    </row>
    <row r="809" customHeight="1" spans="1:15">
      <c r="A809" s="44" t="s">
        <v>637</v>
      </c>
      <c r="B809" s="86">
        <v>45199</v>
      </c>
      <c r="C809" s="44" t="s">
        <v>748</v>
      </c>
      <c r="D809" s="44" t="s">
        <v>653</v>
      </c>
      <c r="E809" s="44" t="s">
        <v>640</v>
      </c>
      <c r="F809" s="44" t="s">
        <v>659</v>
      </c>
      <c r="G809" s="44" t="s">
        <v>642</v>
      </c>
      <c r="H809" s="44" t="s">
        <v>650</v>
      </c>
      <c r="I809" s="44" t="s">
        <v>429</v>
      </c>
      <c r="J809" s="44" t="s">
        <v>656</v>
      </c>
      <c r="K809" s="44" t="s">
        <v>166</v>
      </c>
      <c r="L809" s="48">
        <v>-238.06</v>
      </c>
      <c r="M809" s="48">
        <v>-224.58</v>
      </c>
      <c r="N809" s="48">
        <v>-13.48</v>
      </c>
      <c r="O809" s="44" t="s">
        <v>1517</v>
      </c>
    </row>
    <row r="810" customHeight="1" spans="1:15">
      <c r="A810" s="44" t="s">
        <v>637</v>
      </c>
      <c r="B810" s="86">
        <v>45199</v>
      </c>
      <c r="C810" s="44" t="s">
        <v>748</v>
      </c>
      <c r="D810" s="44" t="s">
        <v>653</v>
      </c>
      <c r="E810" s="44" t="s">
        <v>640</v>
      </c>
      <c r="F810" s="44" t="s">
        <v>659</v>
      </c>
      <c r="G810" s="44" t="s">
        <v>642</v>
      </c>
      <c r="H810" s="44" t="s">
        <v>650</v>
      </c>
      <c r="I810" s="44" t="s">
        <v>728</v>
      </c>
      <c r="J810" s="44" t="s">
        <v>656</v>
      </c>
      <c r="K810" s="44" t="s">
        <v>166</v>
      </c>
      <c r="L810" s="48">
        <v>-2220.26</v>
      </c>
      <c r="M810" s="48">
        <v>-2094.58</v>
      </c>
      <c r="N810" s="48">
        <v>-125.68</v>
      </c>
      <c r="O810" s="44" t="s">
        <v>1518</v>
      </c>
    </row>
    <row r="811" customHeight="1" spans="1:15">
      <c r="A811" s="44" t="s">
        <v>637</v>
      </c>
      <c r="B811" s="86">
        <v>45199</v>
      </c>
      <c r="C811" s="44" t="s">
        <v>748</v>
      </c>
      <c r="D811" s="44" t="s">
        <v>682</v>
      </c>
      <c r="E811" s="44" t="s">
        <v>640</v>
      </c>
      <c r="F811" s="44" t="s">
        <v>641</v>
      </c>
      <c r="G811" s="44" t="s">
        <v>642</v>
      </c>
      <c r="H811" s="44" t="s">
        <v>650</v>
      </c>
      <c r="I811" s="44" t="s">
        <v>742</v>
      </c>
      <c r="J811" s="44" t="s">
        <v>656</v>
      </c>
      <c r="K811" s="44" t="s">
        <v>13</v>
      </c>
      <c r="L811" s="48">
        <v>50719.21</v>
      </c>
      <c r="M811" s="48">
        <v>47848.31</v>
      </c>
      <c r="N811" s="48">
        <v>2870.9</v>
      </c>
      <c r="O811" s="44" t="s">
        <v>1519</v>
      </c>
    </row>
    <row r="812" customHeight="1" spans="1:15">
      <c r="A812" s="44" t="s">
        <v>637</v>
      </c>
      <c r="B812" s="86">
        <v>45199</v>
      </c>
      <c r="C812" s="44" t="s">
        <v>748</v>
      </c>
      <c r="D812" s="44" t="s">
        <v>639</v>
      </c>
      <c r="E812" s="44" t="s">
        <v>640</v>
      </c>
      <c r="F812" s="44" t="s">
        <v>641</v>
      </c>
      <c r="G812" s="44" t="s">
        <v>642</v>
      </c>
      <c r="H812" s="44" t="s">
        <v>650</v>
      </c>
      <c r="I812" s="44" t="s">
        <v>699</v>
      </c>
      <c r="J812" s="44" t="s">
        <v>644</v>
      </c>
      <c r="K812" s="44" t="s">
        <v>350</v>
      </c>
      <c r="L812" s="48">
        <v>18393</v>
      </c>
      <c r="M812" s="48">
        <v>17351.89</v>
      </c>
      <c r="N812" s="48">
        <v>1041.11</v>
      </c>
      <c r="O812" s="44" t="s">
        <v>1520</v>
      </c>
    </row>
    <row r="813" customHeight="1" spans="1:15">
      <c r="A813" s="44" t="s">
        <v>637</v>
      </c>
      <c r="B813" s="86">
        <v>45199</v>
      </c>
      <c r="C813" s="44" t="s">
        <v>748</v>
      </c>
      <c r="D813" s="44" t="s">
        <v>682</v>
      </c>
      <c r="E813" s="44" t="s">
        <v>640</v>
      </c>
      <c r="F813" s="44" t="s">
        <v>641</v>
      </c>
      <c r="G813" s="44" t="s">
        <v>642</v>
      </c>
      <c r="H813" s="44" t="s">
        <v>650</v>
      </c>
      <c r="I813" s="44" t="s">
        <v>747</v>
      </c>
      <c r="J813" s="44" t="s">
        <v>656</v>
      </c>
      <c r="K813" s="44" t="s">
        <v>13</v>
      </c>
      <c r="L813" s="48">
        <v>48262.99</v>
      </c>
      <c r="M813" s="48">
        <v>45531.12</v>
      </c>
      <c r="N813" s="48">
        <v>2731.87</v>
      </c>
      <c r="O813" s="44" t="s">
        <v>1521</v>
      </c>
    </row>
    <row r="814" customHeight="1" spans="1:15">
      <c r="A814" s="44" t="s">
        <v>637</v>
      </c>
      <c r="B814" s="86">
        <v>45199</v>
      </c>
      <c r="C814" s="44" t="s">
        <v>748</v>
      </c>
      <c r="D814" s="44" t="s">
        <v>639</v>
      </c>
      <c r="E814" s="44" t="s">
        <v>640</v>
      </c>
      <c r="F814" s="44" t="s">
        <v>707</v>
      </c>
      <c r="G814" s="44" t="s">
        <v>642</v>
      </c>
      <c r="H814" s="44" t="s">
        <v>650</v>
      </c>
      <c r="I814" s="44" t="s">
        <v>769</v>
      </c>
      <c r="J814" s="44" t="s">
        <v>644</v>
      </c>
      <c r="K814" s="44" t="s">
        <v>14</v>
      </c>
      <c r="L814" s="48">
        <v>-170.7</v>
      </c>
      <c r="M814" s="48">
        <v>-161.04</v>
      </c>
      <c r="N814" s="48">
        <v>-9.66</v>
      </c>
      <c r="O814" s="44" t="s">
        <v>1522</v>
      </c>
    </row>
    <row r="815" customHeight="1" spans="1:15">
      <c r="A815" s="44" t="s">
        <v>637</v>
      </c>
      <c r="B815" s="86">
        <v>45199</v>
      </c>
      <c r="C815" s="44" t="s">
        <v>748</v>
      </c>
      <c r="D815" s="44" t="s">
        <v>639</v>
      </c>
      <c r="E815" s="44" t="s">
        <v>640</v>
      </c>
      <c r="F815" s="44" t="s">
        <v>707</v>
      </c>
      <c r="G815" s="44" t="s">
        <v>654</v>
      </c>
      <c r="H815" s="44" t="s">
        <v>650</v>
      </c>
      <c r="I815" s="44" t="s">
        <v>754</v>
      </c>
      <c r="J815" s="44" t="s">
        <v>644</v>
      </c>
      <c r="K815" s="44" t="s">
        <v>14</v>
      </c>
      <c r="L815" s="48">
        <v>85367</v>
      </c>
      <c r="M815" s="48">
        <v>80534.91</v>
      </c>
      <c r="N815" s="48">
        <v>4832.09</v>
      </c>
      <c r="O815" s="44" t="s">
        <v>1523</v>
      </c>
    </row>
    <row r="816" customHeight="1" spans="1:15">
      <c r="A816" s="44" t="s">
        <v>637</v>
      </c>
      <c r="B816" s="86">
        <v>45199</v>
      </c>
      <c r="C816" s="44" t="s">
        <v>748</v>
      </c>
      <c r="D816" s="44" t="s">
        <v>639</v>
      </c>
      <c r="E816" s="44" t="s">
        <v>640</v>
      </c>
      <c r="F816" s="44" t="s">
        <v>749</v>
      </c>
      <c r="G816" s="44" t="s">
        <v>642</v>
      </c>
      <c r="H816" s="44" t="s">
        <v>643</v>
      </c>
      <c r="I816" s="44" t="s">
        <v>779</v>
      </c>
      <c r="J816" s="44" t="s">
        <v>644</v>
      </c>
      <c r="K816" s="44" t="s">
        <v>14</v>
      </c>
      <c r="L816" s="48">
        <v>15504.37</v>
      </c>
      <c r="M816" s="48">
        <v>14626.76</v>
      </c>
      <c r="N816" s="48">
        <v>877.61</v>
      </c>
      <c r="O816" s="44" t="s">
        <v>1524</v>
      </c>
    </row>
    <row r="817" customHeight="1" spans="1:15">
      <c r="A817" s="44" t="s">
        <v>637</v>
      </c>
      <c r="B817" s="86">
        <v>45199</v>
      </c>
      <c r="C817" s="44" t="s">
        <v>748</v>
      </c>
      <c r="D817" s="44" t="s">
        <v>639</v>
      </c>
      <c r="E817" s="44" t="s">
        <v>640</v>
      </c>
      <c r="F817" s="44" t="s">
        <v>641</v>
      </c>
      <c r="G817" s="44" t="s">
        <v>642</v>
      </c>
      <c r="H817" s="44" t="s">
        <v>650</v>
      </c>
      <c r="I817" s="44" t="s">
        <v>460</v>
      </c>
      <c r="J817" s="44" t="s">
        <v>644</v>
      </c>
      <c r="K817" s="44" t="s">
        <v>14</v>
      </c>
      <c r="L817" s="48">
        <v>63713.8</v>
      </c>
      <c r="M817" s="48">
        <v>60107.36</v>
      </c>
      <c r="N817" s="48">
        <v>3606.44</v>
      </c>
      <c r="O817" s="44" t="s">
        <v>1525</v>
      </c>
    </row>
    <row r="818" customHeight="1" spans="1:15">
      <c r="A818" s="44" t="s">
        <v>637</v>
      </c>
      <c r="B818" s="86">
        <v>45199</v>
      </c>
      <c r="C818" s="44" t="s">
        <v>748</v>
      </c>
      <c r="D818" s="44" t="s">
        <v>639</v>
      </c>
      <c r="E818" s="44" t="s">
        <v>640</v>
      </c>
      <c r="F818" s="44" t="s">
        <v>707</v>
      </c>
      <c r="G818" s="44" t="s">
        <v>642</v>
      </c>
      <c r="H818" s="44" t="s">
        <v>650</v>
      </c>
      <c r="I818" s="44" t="s">
        <v>460</v>
      </c>
      <c r="J818" s="44" t="s">
        <v>644</v>
      </c>
      <c r="K818" s="44" t="s">
        <v>14</v>
      </c>
      <c r="L818" s="48">
        <v>43510</v>
      </c>
      <c r="M818" s="48">
        <v>41047.17</v>
      </c>
      <c r="N818" s="48">
        <v>2462.83</v>
      </c>
      <c r="O818" s="44" t="s">
        <v>1526</v>
      </c>
    </row>
    <row r="819" customHeight="1" spans="1:15">
      <c r="A819" s="44" t="s">
        <v>637</v>
      </c>
      <c r="B819" s="86">
        <v>45199</v>
      </c>
      <c r="C819" s="44" t="s">
        <v>748</v>
      </c>
      <c r="D819" s="44" t="s">
        <v>639</v>
      </c>
      <c r="E819" s="44" t="s">
        <v>640</v>
      </c>
      <c r="F819" s="44" t="s">
        <v>641</v>
      </c>
      <c r="G819" s="44" t="s">
        <v>648</v>
      </c>
      <c r="H819" s="44" t="s">
        <v>697</v>
      </c>
      <c r="I819" s="44" t="s">
        <v>444</v>
      </c>
      <c r="J819" s="44" t="s">
        <v>644</v>
      </c>
      <c r="K819" s="44" t="s">
        <v>14</v>
      </c>
      <c r="L819" s="48">
        <v>44407.65</v>
      </c>
      <c r="M819" s="48">
        <v>41894.01</v>
      </c>
      <c r="N819" s="48">
        <v>2513.64</v>
      </c>
      <c r="O819" s="44" t="s">
        <v>1527</v>
      </c>
    </row>
    <row r="820" customHeight="1" spans="1:15">
      <c r="A820" s="44" t="s">
        <v>637</v>
      </c>
      <c r="B820" s="86">
        <v>45199</v>
      </c>
      <c r="C820" s="44" t="s">
        <v>748</v>
      </c>
      <c r="D820" s="44" t="s">
        <v>653</v>
      </c>
      <c r="E820" s="44" t="s">
        <v>640</v>
      </c>
      <c r="F820" s="44" t="s">
        <v>659</v>
      </c>
      <c r="G820" s="44" t="s">
        <v>642</v>
      </c>
      <c r="H820" s="44" t="s">
        <v>650</v>
      </c>
      <c r="I820" s="44" t="s">
        <v>728</v>
      </c>
      <c r="J820" s="44" t="s">
        <v>656</v>
      </c>
      <c r="K820" s="44" t="s">
        <v>166</v>
      </c>
      <c r="L820" s="48">
        <v>1463.67</v>
      </c>
      <c r="M820" s="48">
        <v>1380.82</v>
      </c>
      <c r="N820" s="48">
        <v>82.85</v>
      </c>
      <c r="O820" s="44" t="s">
        <v>1528</v>
      </c>
    </row>
    <row r="821" customHeight="1" spans="1:15">
      <c r="A821" s="44" t="s">
        <v>637</v>
      </c>
      <c r="B821" s="86">
        <v>45199</v>
      </c>
      <c r="C821" s="44" t="s">
        <v>748</v>
      </c>
      <c r="D821" s="44" t="s">
        <v>639</v>
      </c>
      <c r="E821" s="44" t="s">
        <v>640</v>
      </c>
      <c r="F821" s="44" t="s">
        <v>707</v>
      </c>
      <c r="G821" s="44" t="s">
        <v>654</v>
      </c>
      <c r="H821" s="44" t="s">
        <v>650</v>
      </c>
      <c r="I821" s="44" t="s">
        <v>754</v>
      </c>
      <c r="J821" s="44" t="s">
        <v>644</v>
      </c>
      <c r="K821" s="44" t="s">
        <v>14</v>
      </c>
      <c r="L821" s="48">
        <v>24748</v>
      </c>
      <c r="M821" s="48">
        <v>23347.17</v>
      </c>
      <c r="N821" s="48">
        <v>1400.83</v>
      </c>
      <c r="O821" s="44" t="s">
        <v>1529</v>
      </c>
    </row>
    <row r="822" customHeight="1" spans="1:15">
      <c r="A822" s="44" t="s">
        <v>637</v>
      </c>
      <c r="B822" s="86">
        <v>45199</v>
      </c>
      <c r="C822" s="44" t="s">
        <v>748</v>
      </c>
      <c r="D822" s="44" t="s">
        <v>639</v>
      </c>
      <c r="E822" s="44" t="s">
        <v>640</v>
      </c>
      <c r="F822" s="44" t="s">
        <v>641</v>
      </c>
      <c r="G822" s="44" t="s">
        <v>648</v>
      </c>
      <c r="H822" s="44" t="s">
        <v>643</v>
      </c>
      <c r="I822" s="44" t="s">
        <v>441</v>
      </c>
      <c r="J822" s="44" t="s">
        <v>644</v>
      </c>
      <c r="K822" s="44" t="s">
        <v>14</v>
      </c>
      <c r="L822" s="48">
        <v>84891.25</v>
      </c>
      <c r="M822" s="48">
        <v>80086.08</v>
      </c>
      <c r="N822" s="48">
        <v>4805.17</v>
      </c>
      <c r="O822" s="44" t="s">
        <v>1530</v>
      </c>
    </row>
    <row r="823" customHeight="1" spans="1:15">
      <c r="A823" s="44" t="s">
        <v>637</v>
      </c>
      <c r="B823" s="86">
        <v>45199</v>
      </c>
      <c r="C823" s="44" t="s">
        <v>748</v>
      </c>
      <c r="D823" s="44" t="s">
        <v>639</v>
      </c>
      <c r="E823" s="44" t="s">
        <v>640</v>
      </c>
      <c r="F823" s="44" t="s">
        <v>707</v>
      </c>
      <c r="G823" s="44" t="s">
        <v>648</v>
      </c>
      <c r="H823" s="44" t="s">
        <v>650</v>
      </c>
      <c r="I823" s="44" t="s">
        <v>769</v>
      </c>
      <c r="J823" s="44" t="s">
        <v>644</v>
      </c>
      <c r="K823" s="44" t="s">
        <v>14</v>
      </c>
      <c r="L823" s="48">
        <v>163388.25</v>
      </c>
      <c r="M823" s="48">
        <v>154139.86</v>
      </c>
      <c r="N823" s="48">
        <v>9248.39</v>
      </c>
      <c r="O823" s="44" t="s">
        <v>1531</v>
      </c>
    </row>
    <row r="824" customHeight="1" spans="1:15">
      <c r="A824" s="44" t="s">
        <v>637</v>
      </c>
      <c r="B824" s="86">
        <v>45199</v>
      </c>
      <c r="C824" s="44" t="s">
        <v>748</v>
      </c>
      <c r="D824" s="44" t="s">
        <v>639</v>
      </c>
      <c r="E824" s="44" t="s">
        <v>640</v>
      </c>
      <c r="F824" s="44" t="s">
        <v>641</v>
      </c>
      <c r="G824" s="44" t="s">
        <v>654</v>
      </c>
      <c r="H824" s="44" t="s">
        <v>650</v>
      </c>
      <c r="I824" s="44" t="s">
        <v>792</v>
      </c>
      <c r="J824" s="44" t="s">
        <v>644</v>
      </c>
      <c r="K824" s="44" t="s">
        <v>14</v>
      </c>
      <c r="L824" s="48">
        <v>-107.27</v>
      </c>
      <c r="M824" s="48">
        <v>-101.2</v>
      </c>
      <c r="N824" s="48">
        <v>-6.07</v>
      </c>
      <c r="O824" s="44" t="s">
        <v>1532</v>
      </c>
    </row>
    <row r="825" customHeight="1" spans="1:15">
      <c r="A825" s="44" t="s">
        <v>637</v>
      </c>
      <c r="B825" s="86">
        <v>45199</v>
      </c>
      <c r="C825" s="44" t="s">
        <v>748</v>
      </c>
      <c r="D825" s="44" t="s">
        <v>653</v>
      </c>
      <c r="E825" s="44" t="s">
        <v>640</v>
      </c>
      <c r="F825" s="44" t="s">
        <v>659</v>
      </c>
      <c r="G825" s="44" t="s">
        <v>642</v>
      </c>
      <c r="H825" s="44" t="s">
        <v>650</v>
      </c>
      <c r="I825" s="44" t="s">
        <v>728</v>
      </c>
      <c r="J825" s="44" t="s">
        <v>656</v>
      </c>
      <c r="K825" s="44" t="s">
        <v>166</v>
      </c>
      <c r="L825" s="48">
        <v>36614</v>
      </c>
      <c r="M825" s="48">
        <v>34541.51</v>
      </c>
      <c r="N825" s="48">
        <v>2072.49</v>
      </c>
      <c r="O825" s="44" t="s">
        <v>1533</v>
      </c>
    </row>
    <row r="826" customHeight="1" spans="1:15">
      <c r="A826" s="44" t="s">
        <v>637</v>
      </c>
      <c r="B826" s="86">
        <v>45199</v>
      </c>
      <c r="C826" s="44" t="s">
        <v>748</v>
      </c>
      <c r="D826" s="44" t="s">
        <v>639</v>
      </c>
      <c r="E826" s="44" t="s">
        <v>640</v>
      </c>
      <c r="F826" s="44" t="s">
        <v>641</v>
      </c>
      <c r="G826" s="44" t="s">
        <v>648</v>
      </c>
      <c r="H826" s="44" t="s">
        <v>643</v>
      </c>
      <c r="I826" s="44" t="s">
        <v>430</v>
      </c>
      <c r="J826" s="44" t="s">
        <v>644</v>
      </c>
      <c r="K826" s="44" t="s">
        <v>14</v>
      </c>
      <c r="L826" s="48">
        <v>-3268.95</v>
      </c>
      <c r="M826" s="48">
        <v>-3083.92</v>
      </c>
      <c r="N826" s="48">
        <v>-185.03</v>
      </c>
      <c r="O826" s="44" t="s">
        <v>1534</v>
      </c>
    </row>
    <row r="827" customHeight="1" spans="1:15">
      <c r="A827" s="44" t="s">
        <v>637</v>
      </c>
      <c r="B827" s="86">
        <v>45199</v>
      </c>
      <c r="C827" s="44" t="s">
        <v>748</v>
      </c>
      <c r="D827" s="44" t="s">
        <v>653</v>
      </c>
      <c r="E827" s="44" t="s">
        <v>640</v>
      </c>
      <c r="F827" s="44" t="s">
        <v>659</v>
      </c>
      <c r="G827" s="44" t="s">
        <v>642</v>
      </c>
      <c r="H827" s="44" t="s">
        <v>650</v>
      </c>
      <c r="I827" s="44" t="s">
        <v>728</v>
      </c>
      <c r="J827" s="44" t="s">
        <v>656</v>
      </c>
      <c r="K827" s="44" t="s">
        <v>166</v>
      </c>
      <c r="L827" s="48">
        <v>-99.17</v>
      </c>
      <c r="M827" s="48">
        <v>-93.56</v>
      </c>
      <c r="N827" s="48">
        <v>-5.61</v>
      </c>
      <c r="O827" s="44" t="s">
        <v>1535</v>
      </c>
    </row>
    <row r="828" customHeight="1" spans="1:15">
      <c r="A828" s="44" t="s">
        <v>637</v>
      </c>
      <c r="B828" s="86">
        <v>45199</v>
      </c>
      <c r="C828" s="44" t="s">
        <v>748</v>
      </c>
      <c r="D828" s="44" t="s">
        <v>653</v>
      </c>
      <c r="E828" s="44" t="s">
        <v>640</v>
      </c>
      <c r="F828" s="44" t="s">
        <v>659</v>
      </c>
      <c r="G828" s="44" t="s">
        <v>642</v>
      </c>
      <c r="H828" s="44" t="s">
        <v>650</v>
      </c>
      <c r="I828" s="44" t="s">
        <v>429</v>
      </c>
      <c r="J828" s="44" t="s">
        <v>656</v>
      </c>
      <c r="K828" s="44" t="s">
        <v>166</v>
      </c>
      <c r="L828" s="48">
        <v>428</v>
      </c>
      <c r="M828" s="48">
        <v>403.77</v>
      </c>
      <c r="N828" s="48">
        <v>24.23</v>
      </c>
      <c r="O828" s="44" t="s">
        <v>1536</v>
      </c>
    </row>
    <row r="829" customHeight="1" spans="1:15">
      <c r="A829" s="44" t="s">
        <v>637</v>
      </c>
      <c r="B829" s="86">
        <v>45199</v>
      </c>
      <c r="C829" s="44" t="s">
        <v>748</v>
      </c>
      <c r="D829" s="44" t="s">
        <v>653</v>
      </c>
      <c r="E829" s="44" t="s">
        <v>640</v>
      </c>
      <c r="F829" s="44" t="s">
        <v>659</v>
      </c>
      <c r="G829" s="44" t="s">
        <v>642</v>
      </c>
      <c r="H829" s="44" t="s">
        <v>650</v>
      </c>
      <c r="I829" s="44" t="s">
        <v>429</v>
      </c>
      <c r="J829" s="44" t="s">
        <v>656</v>
      </c>
      <c r="K829" s="44" t="s">
        <v>166</v>
      </c>
      <c r="L829" s="48">
        <v>98.64</v>
      </c>
      <c r="M829" s="48">
        <v>93.06</v>
      </c>
      <c r="N829" s="48">
        <v>5.58</v>
      </c>
      <c r="O829" s="44" t="s">
        <v>1537</v>
      </c>
    </row>
    <row r="830" customHeight="1" spans="1:15">
      <c r="A830" s="44" t="s">
        <v>637</v>
      </c>
      <c r="B830" s="86">
        <v>45199</v>
      </c>
      <c r="C830" s="44" t="s">
        <v>748</v>
      </c>
      <c r="D830" s="44" t="s">
        <v>653</v>
      </c>
      <c r="E830" s="44" t="s">
        <v>640</v>
      </c>
      <c r="F830" s="44" t="s">
        <v>659</v>
      </c>
      <c r="G830" s="44" t="s">
        <v>642</v>
      </c>
      <c r="H830" s="44" t="s">
        <v>650</v>
      </c>
      <c r="I830" s="44" t="s">
        <v>429</v>
      </c>
      <c r="J830" s="44" t="s">
        <v>656</v>
      </c>
      <c r="K830" s="44" t="s">
        <v>166</v>
      </c>
      <c r="L830" s="48">
        <v>230.1</v>
      </c>
      <c r="M830" s="48">
        <v>217.08</v>
      </c>
      <c r="N830" s="48">
        <v>13.02</v>
      </c>
      <c r="O830" s="44" t="s">
        <v>1538</v>
      </c>
    </row>
    <row r="831" customHeight="1" spans="1:15">
      <c r="A831" s="44" t="s">
        <v>637</v>
      </c>
      <c r="B831" s="86">
        <v>45199</v>
      </c>
      <c r="C831" s="44" t="s">
        <v>748</v>
      </c>
      <c r="D831" s="44" t="s">
        <v>639</v>
      </c>
      <c r="E831" s="44" t="s">
        <v>640</v>
      </c>
      <c r="F831" s="44" t="s">
        <v>641</v>
      </c>
      <c r="G831" s="44" t="s">
        <v>642</v>
      </c>
      <c r="H831" s="44" t="s">
        <v>643</v>
      </c>
      <c r="I831" s="44" t="s">
        <v>430</v>
      </c>
      <c r="J831" s="44" t="s">
        <v>644</v>
      </c>
      <c r="K831" s="44" t="s">
        <v>14</v>
      </c>
      <c r="L831" s="48">
        <v>1926.84</v>
      </c>
      <c r="M831" s="48">
        <v>1817.77</v>
      </c>
      <c r="N831" s="48">
        <v>109.07</v>
      </c>
      <c r="O831" s="44" t="s">
        <v>1539</v>
      </c>
    </row>
    <row r="832" customHeight="1" spans="1:15">
      <c r="A832" s="44" t="s">
        <v>637</v>
      </c>
      <c r="B832" s="86">
        <v>45199</v>
      </c>
      <c r="C832" s="44" t="s">
        <v>748</v>
      </c>
      <c r="D832" s="44" t="s">
        <v>653</v>
      </c>
      <c r="E832" s="44" t="s">
        <v>640</v>
      </c>
      <c r="F832" s="44" t="s">
        <v>659</v>
      </c>
      <c r="G832" s="44" t="s">
        <v>642</v>
      </c>
      <c r="H832" s="44" t="s">
        <v>650</v>
      </c>
      <c r="I832" s="44" t="s">
        <v>728</v>
      </c>
      <c r="J832" s="44" t="s">
        <v>656</v>
      </c>
      <c r="K832" s="44" t="s">
        <v>166</v>
      </c>
      <c r="L832" s="48">
        <v>686.79</v>
      </c>
      <c r="M832" s="48">
        <v>647.92</v>
      </c>
      <c r="N832" s="48">
        <v>38.87</v>
      </c>
      <c r="O832" s="44" t="s">
        <v>1540</v>
      </c>
    </row>
    <row r="833" customHeight="1" spans="1:15">
      <c r="A833" s="44" t="s">
        <v>637</v>
      </c>
      <c r="B833" s="86">
        <v>45199</v>
      </c>
      <c r="C833" s="44" t="s">
        <v>748</v>
      </c>
      <c r="D833" s="44" t="s">
        <v>639</v>
      </c>
      <c r="E833" s="44" t="s">
        <v>647</v>
      </c>
      <c r="F833" s="44" t="s">
        <v>689</v>
      </c>
      <c r="G833" s="44" t="s">
        <v>654</v>
      </c>
      <c r="H833" s="44" t="s">
        <v>697</v>
      </c>
      <c r="I833" s="44" t="s">
        <v>669</v>
      </c>
      <c r="J833" s="44" t="s">
        <v>656</v>
      </c>
      <c r="K833" s="44" t="s">
        <v>350</v>
      </c>
      <c r="L833" s="48">
        <v>144904</v>
      </c>
      <c r="M833" s="48">
        <v>136701.88</v>
      </c>
      <c r="N833" s="48">
        <v>8202.12</v>
      </c>
      <c r="O833" s="44"/>
    </row>
    <row r="834" customHeight="1" spans="1:15">
      <c r="A834" s="44" t="s">
        <v>637</v>
      </c>
      <c r="B834" s="86">
        <v>45199</v>
      </c>
      <c r="C834" s="44" t="s">
        <v>748</v>
      </c>
      <c r="D834" s="44" t="s">
        <v>639</v>
      </c>
      <c r="E834" s="44" t="s">
        <v>647</v>
      </c>
      <c r="F834" s="44" t="s">
        <v>641</v>
      </c>
      <c r="G834" s="44" t="s">
        <v>654</v>
      </c>
      <c r="H834" s="44" t="s">
        <v>650</v>
      </c>
      <c r="I834" s="44" t="s">
        <v>776</v>
      </c>
      <c r="J834" s="44" t="s">
        <v>644</v>
      </c>
      <c r="K834" s="44" t="s">
        <v>14</v>
      </c>
      <c r="L834" s="48">
        <v>315000</v>
      </c>
      <c r="M834" s="48">
        <v>297169.8</v>
      </c>
      <c r="N834" s="48">
        <v>17830.2</v>
      </c>
      <c r="O834" s="44"/>
    </row>
    <row r="835" customHeight="1" spans="1:15">
      <c r="A835" s="44" t="s">
        <v>637</v>
      </c>
      <c r="B835" s="86">
        <v>45199</v>
      </c>
      <c r="C835" s="44" t="s">
        <v>748</v>
      </c>
      <c r="D835" s="44" t="s">
        <v>639</v>
      </c>
      <c r="E835" s="44" t="s">
        <v>640</v>
      </c>
      <c r="F835" s="44" t="s">
        <v>707</v>
      </c>
      <c r="G835" s="44" t="s">
        <v>642</v>
      </c>
      <c r="H835" s="44" t="s">
        <v>643</v>
      </c>
      <c r="I835" s="44" t="s">
        <v>429</v>
      </c>
      <c r="J835" s="44" t="s">
        <v>644</v>
      </c>
      <c r="K835" s="44" t="s">
        <v>14</v>
      </c>
      <c r="L835" s="48">
        <v>-68630.36</v>
      </c>
      <c r="M835" s="48">
        <v>-64745.62</v>
      </c>
      <c r="N835" s="48">
        <v>-3884.74</v>
      </c>
      <c r="O835" s="44" t="s">
        <v>1541</v>
      </c>
    </row>
    <row r="836" customHeight="1" spans="1:15">
      <c r="A836" s="44" t="s">
        <v>637</v>
      </c>
      <c r="B836" s="86">
        <v>45199</v>
      </c>
      <c r="C836" s="44" t="s">
        <v>748</v>
      </c>
      <c r="D836" s="44" t="s">
        <v>653</v>
      </c>
      <c r="E836" s="44" t="s">
        <v>640</v>
      </c>
      <c r="F836" s="44" t="s">
        <v>659</v>
      </c>
      <c r="G836" s="44" t="s">
        <v>642</v>
      </c>
      <c r="H836" s="44" t="s">
        <v>650</v>
      </c>
      <c r="I836" s="44" t="s">
        <v>429</v>
      </c>
      <c r="J836" s="44" t="s">
        <v>656</v>
      </c>
      <c r="K836" s="44" t="s">
        <v>166</v>
      </c>
      <c r="L836" s="48">
        <v>18995</v>
      </c>
      <c r="M836" s="48">
        <v>17919.81</v>
      </c>
      <c r="N836" s="48">
        <v>1075.19</v>
      </c>
      <c r="O836" s="44" t="s">
        <v>1542</v>
      </c>
    </row>
    <row r="837" customHeight="1" spans="1:15">
      <c r="A837" s="44" t="s">
        <v>637</v>
      </c>
      <c r="B837" s="86">
        <v>45199</v>
      </c>
      <c r="C837" s="44" t="s">
        <v>748</v>
      </c>
      <c r="D837" s="44" t="s">
        <v>639</v>
      </c>
      <c r="E837" s="44" t="s">
        <v>640</v>
      </c>
      <c r="F837" s="44" t="s">
        <v>707</v>
      </c>
      <c r="G837" s="44" t="s">
        <v>648</v>
      </c>
      <c r="H837" s="44" t="s">
        <v>643</v>
      </c>
      <c r="I837" s="44" t="s">
        <v>429</v>
      </c>
      <c r="J837" s="44" t="s">
        <v>644</v>
      </c>
      <c r="K837" s="44" t="s">
        <v>14</v>
      </c>
      <c r="L837" s="48">
        <v>-736732.1</v>
      </c>
      <c r="M837" s="48">
        <v>-695030.28</v>
      </c>
      <c r="N837" s="48">
        <v>-41701.82</v>
      </c>
      <c r="O837" s="44" t="s">
        <v>1543</v>
      </c>
    </row>
    <row r="838" customHeight="1" spans="1:15">
      <c r="A838" s="44" t="s">
        <v>637</v>
      </c>
      <c r="B838" s="86">
        <v>45199</v>
      </c>
      <c r="C838" s="44" t="s">
        <v>748</v>
      </c>
      <c r="D838" s="44" t="s">
        <v>653</v>
      </c>
      <c r="E838" s="44" t="s">
        <v>640</v>
      </c>
      <c r="F838" s="44" t="s">
        <v>641</v>
      </c>
      <c r="G838" s="44" t="s">
        <v>642</v>
      </c>
      <c r="H838" s="44" t="s">
        <v>650</v>
      </c>
      <c r="I838" s="44" t="s">
        <v>728</v>
      </c>
      <c r="J838" s="44" t="s">
        <v>644</v>
      </c>
      <c r="K838" s="44" t="s">
        <v>166</v>
      </c>
      <c r="L838" s="48">
        <v>2955.61</v>
      </c>
      <c r="M838" s="48">
        <v>2788.31</v>
      </c>
      <c r="N838" s="48">
        <v>167.3</v>
      </c>
      <c r="O838" s="44" t="s">
        <v>1544</v>
      </c>
    </row>
    <row r="839" customHeight="1" spans="1:15">
      <c r="A839" s="44" t="s">
        <v>637</v>
      </c>
      <c r="B839" s="86">
        <v>45199</v>
      </c>
      <c r="C839" s="44" t="s">
        <v>748</v>
      </c>
      <c r="D839" s="44" t="s">
        <v>639</v>
      </c>
      <c r="E839" s="44" t="s">
        <v>647</v>
      </c>
      <c r="F839" s="44" t="s">
        <v>707</v>
      </c>
      <c r="G839" s="44" t="s">
        <v>642</v>
      </c>
      <c r="H839" s="44" t="s">
        <v>650</v>
      </c>
      <c r="I839" s="44" t="s">
        <v>460</v>
      </c>
      <c r="J839" s="44" t="s">
        <v>644</v>
      </c>
      <c r="K839" s="44" t="s">
        <v>14</v>
      </c>
      <c r="L839" s="48">
        <v>150555.9</v>
      </c>
      <c r="M839" s="48">
        <v>142033.86</v>
      </c>
      <c r="N839" s="48">
        <v>8522.04</v>
      </c>
      <c r="O839" s="44"/>
    </row>
    <row r="840" customHeight="1" spans="1:15">
      <c r="A840" s="44" t="s">
        <v>637</v>
      </c>
      <c r="B840" s="86">
        <v>45199</v>
      </c>
      <c r="C840" s="44" t="s">
        <v>748</v>
      </c>
      <c r="D840" s="44" t="s">
        <v>639</v>
      </c>
      <c r="E840" s="44" t="s">
        <v>640</v>
      </c>
      <c r="F840" s="44" t="s">
        <v>707</v>
      </c>
      <c r="G840" s="44" t="s">
        <v>648</v>
      </c>
      <c r="H840" s="44" t="s">
        <v>643</v>
      </c>
      <c r="I840" s="44" t="s">
        <v>429</v>
      </c>
      <c r="J840" s="44" t="s">
        <v>644</v>
      </c>
      <c r="K840" s="44" t="s">
        <v>14</v>
      </c>
      <c r="L840" s="48">
        <v>736000</v>
      </c>
      <c r="M840" s="48">
        <v>694339.62</v>
      </c>
      <c r="N840" s="48">
        <v>41660.38</v>
      </c>
      <c r="O840" s="44" t="s">
        <v>1545</v>
      </c>
    </row>
    <row r="841" customHeight="1" spans="1:15">
      <c r="A841" s="44" t="s">
        <v>637</v>
      </c>
      <c r="B841" s="86">
        <v>45199</v>
      </c>
      <c r="C841" s="44" t="s">
        <v>748</v>
      </c>
      <c r="D841" s="44" t="s">
        <v>639</v>
      </c>
      <c r="E841" s="44" t="s">
        <v>647</v>
      </c>
      <c r="F841" s="44" t="s">
        <v>689</v>
      </c>
      <c r="G841" s="44" t="s">
        <v>654</v>
      </c>
      <c r="H841" s="44" t="s">
        <v>650</v>
      </c>
      <c r="I841" s="44" t="s">
        <v>664</v>
      </c>
      <c r="J841" s="44" t="s">
        <v>656</v>
      </c>
      <c r="K841" s="44" t="s">
        <v>350</v>
      </c>
      <c r="L841" s="48">
        <v>35990.9</v>
      </c>
      <c r="M841" s="48">
        <v>33953.68</v>
      </c>
      <c r="N841" s="48">
        <v>2037.22</v>
      </c>
      <c r="O841" s="44"/>
    </row>
    <row r="842" customHeight="1" spans="1:15">
      <c r="A842" s="44" t="s">
        <v>637</v>
      </c>
      <c r="B842" s="86">
        <v>45199</v>
      </c>
      <c r="C842" s="44" t="s">
        <v>748</v>
      </c>
      <c r="D842" s="44" t="s">
        <v>639</v>
      </c>
      <c r="E842" s="44" t="s">
        <v>647</v>
      </c>
      <c r="F842" s="44" t="s">
        <v>707</v>
      </c>
      <c r="G842" s="44" t="s">
        <v>642</v>
      </c>
      <c r="H842" s="44" t="s">
        <v>650</v>
      </c>
      <c r="I842" s="44" t="s">
        <v>429</v>
      </c>
      <c r="J842" s="44" t="s">
        <v>644</v>
      </c>
      <c r="K842" s="44" t="s">
        <v>165</v>
      </c>
      <c r="L842" s="48">
        <v>1706.43</v>
      </c>
      <c r="M842" s="48">
        <v>1609.83</v>
      </c>
      <c r="N842" s="48">
        <v>96.6</v>
      </c>
      <c r="O842" s="44"/>
    </row>
    <row r="843" customHeight="1" spans="1:15">
      <c r="A843" s="44" t="s">
        <v>637</v>
      </c>
      <c r="B843" s="86">
        <v>45199</v>
      </c>
      <c r="C843" s="44" t="s">
        <v>748</v>
      </c>
      <c r="D843" s="44" t="s">
        <v>639</v>
      </c>
      <c r="E843" s="44" t="s">
        <v>647</v>
      </c>
      <c r="F843" s="44" t="s">
        <v>641</v>
      </c>
      <c r="G843" s="44" t="s">
        <v>642</v>
      </c>
      <c r="H843" s="44" t="s">
        <v>650</v>
      </c>
      <c r="I843" s="44" t="s">
        <v>436</v>
      </c>
      <c r="J843" s="44" t="s">
        <v>644</v>
      </c>
      <c r="K843" s="44" t="s">
        <v>350</v>
      </c>
      <c r="L843" s="48">
        <v>531616.4</v>
      </c>
      <c r="M843" s="48">
        <v>501524.89</v>
      </c>
      <c r="N843" s="48">
        <v>30091.51</v>
      </c>
      <c r="O843" s="44"/>
    </row>
    <row r="844" customHeight="1" spans="1:15">
      <c r="A844" s="44" t="s">
        <v>637</v>
      </c>
      <c r="B844" s="86">
        <v>45199</v>
      </c>
      <c r="C844" s="44" t="s">
        <v>748</v>
      </c>
      <c r="D844" s="44" t="s">
        <v>639</v>
      </c>
      <c r="E844" s="44" t="s">
        <v>647</v>
      </c>
      <c r="F844" s="44" t="s">
        <v>689</v>
      </c>
      <c r="G844" s="44" t="s">
        <v>654</v>
      </c>
      <c r="H844" s="44" t="s">
        <v>697</v>
      </c>
      <c r="I844" s="44" t="s">
        <v>672</v>
      </c>
      <c r="J844" s="44" t="s">
        <v>656</v>
      </c>
      <c r="K844" s="44" t="s">
        <v>350</v>
      </c>
      <c r="L844" s="48">
        <v>233680</v>
      </c>
      <c r="M844" s="48">
        <v>220452.84</v>
      </c>
      <c r="N844" s="48">
        <v>13227.16</v>
      </c>
      <c r="O844" s="44"/>
    </row>
    <row r="845" customHeight="1" spans="1:15">
      <c r="A845" s="44" t="s">
        <v>637</v>
      </c>
      <c r="B845" s="86">
        <v>45199</v>
      </c>
      <c r="C845" s="44" t="s">
        <v>748</v>
      </c>
      <c r="D845" s="44" t="s">
        <v>639</v>
      </c>
      <c r="E845" s="44" t="s">
        <v>647</v>
      </c>
      <c r="F845" s="44" t="s">
        <v>641</v>
      </c>
      <c r="G845" s="44" t="s">
        <v>642</v>
      </c>
      <c r="H845" s="44" t="s">
        <v>650</v>
      </c>
      <c r="I845" s="44" t="s">
        <v>430</v>
      </c>
      <c r="J845" s="44" t="s">
        <v>644</v>
      </c>
      <c r="K845" s="44" t="s">
        <v>14</v>
      </c>
      <c r="L845" s="48">
        <v>4169.28</v>
      </c>
      <c r="M845" s="48">
        <v>3933.26</v>
      </c>
      <c r="N845" s="48">
        <v>236.02</v>
      </c>
      <c r="O845" s="44"/>
    </row>
    <row r="846" customHeight="1" spans="1:15">
      <c r="A846" s="44" t="s">
        <v>637</v>
      </c>
      <c r="B846" s="86">
        <v>45199</v>
      </c>
      <c r="C846" s="44" t="s">
        <v>748</v>
      </c>
      <c r="D846" s="44" t="s">
        <v>639</v>
      </c>
      <c r="E846" s="44" t="s">
        <v>647</v>
      </c>
      <c r="F846" s="44" t="s">
        <v>641</v>
      </c>
      <c r="G846" s="44" t="s">
        <v>654</v>
      </c>
      <c r="H846" s="44" t="s">
        <v>697</v>
      </c>
      <c r="I846" s="44" t="s">
        <v>792</v>
      </c>
      <c r="J846" s="44" t="s">
        <v>644</v>
      </c>
      <c r="K846" s="44" t="s">
        <v>14</v>
      </c>
      <c r="L846" s="48">
        <v>107.27</v>
      </c>
      <c r="M846" s="48">
        <v>101.2</v>
      </c>
      <c r="N846" s="48">
        <v>6.07</v>
      </c>
      <c r="O846" s="44"/>
    </row>
    <row r="847" customHeight="1" spans="1:15">
      <c r="A847" s="44" t="s">
        <v>637</v>
      </c>
      <c r="B847" s="86">
        <v>45199</v>
      </c>
      <c r="C847" s="44" t="s">
        <v>748</v>
      </c>
      <c r="D847" s="44" t="s">
        <v>639</v>
      </c>
      <c r="E847" s="44" t="s">
        <v>647</v>
      </c>
      <c r="F847" s="44" t="s">
        <v>707</v>
      </c>
      <c r="G847" s="44" t="s">
        <v>642</v>
      </c>
      <c r="H847" s="44" t="s">
        <v>650</v>
      </c>
      <c r="I847" s="44" t="s">
        <v>429</v>
      </c>
      <c r="J847" s="44" t="s">
        <v>644</v>
      </c>
      <c r="K847" s="44" t="s">
        <v>165</v>
      </c>
      <c r="L847" s="48">
        <v>53556.86</v>
      </c>
      <c r="M847" s="48">
        <v>50525.33</v>
      </c>
      <c r="N847" s="48">
        <v>3031.53</v>
      </c>
      <c r="O847" s="44"/>
    </row>
    <row r="848" customHeight="1" spans="1:15">
      <c r="A848" s="44" t="s">
        <v>637</v>
      </c>
      <c r="B848" s="86">
        <v>45199</v>
      </c>
      <c r="C848" s="44" t="s">
        <v>748</v>
      </c>
      <c r="D848" s="44" t="s">
        <v>639</v>
      </c>
      <c r="E848" s="44" t="s">
        <v>647</v>
      </c>
      <c r="F848" s="44" t="s">
        <v>749</v>
      </c>
      <c r="G848" s="44" t="s">
        <v>642</v>
      </c>
      <c r="H848" s="44" t="s">
        <v>650</v>
      </c>
      <c r="I848" s="44" t="s">
        <v>779</v>
      </c>
      <c r="J848" s="44" t="s">
        <v>644</v>
      </c>
      <c r="K848" s="44" t="s">
        <v>14</v>
      </c>
      <c r="L848" s="48">
        <v>10259.79</v>
      </c>
      <c r="M848" s="48">
        <v>9679.07</v>
      </c>
      <c r="N848" s="48">
        <v>580.72</v>
      </c>
      <c r="O848" s="44"/>
    </row>
    <row r="849" customHeight="1" spans="1:15">
      <c r="A849" s="44" t="s">
        <v>637</v>
      </c>
      <c r="B849" s="86">
        <v>45199</v>
      </c>
      <c r="C849" s="44" t="s">
        <v>748</v>
      </c>
      <c r="D849" s="44" t="s">
        <v>639</v>
      </c>
      <c r="E849" s="44" t="s">
        <v>647</v>
      </c>
      <c r="F849" s="44" t="s">
        <v>707</v>
      </c>
      <c r="G849" s="44" t="s">
        <v>654</v>
      </c>
      <c r="H849" s="44" t="s">
        <v>650</v>
      </c>
      <c r="I849" s="44" t="s">
        <v>754</v>
      </c>
      <c r="J849" s="44" t="s">
        <v>644</v>
      </c>
      <c r="K849" s="44" t="s">
        <v>14</v>
      </c>
      <c r="L849" s="48">
        <v>2465778</v>
      </c>
      <c r="M849" s="48">
        <v>2326205.68</v>
      </c>
      <c r="N849" s="48">
        <v>139572.32</v>
      </c>
      <c r="O849" s="44"/>
    </row>
    <row r="850" customHeight="1" spans="1:15">
      <c r="A850" s="44" t="s">
        <v>637</v>
      </c>
      <c r="B850" s="86">
        <v>45199</v>
      </c>
      <c r="C850" s="44" t="s">
        <v>748</v>
      </c>
      <c r="D850" s="44" t="s">
        <v>639</v>
      </c>
      <c r="E850" s="44" t="s">
        <v>647</v>
      </c>
      <c r="F850" s="44" t="s">
        <v>641</v>
      </c>
      <c r="G850" s="44" t="s">
        <v>648</v>
      </c>
      <c r="H850" s="44" t="s">
        <v>697</v>
      </c>
      <c r="I850" s="44" t="s">
        <v>441</v>
      </c>
      <c r="J850" s="44" t="s">
        <v>644</v>
      </c>
      <c r="K850" s="44" t="s">
        <v>14</v>
      </c>
      <c r="L850" s="48">
        <v>4453121</v>
      </c>
      <c r="M850" s="48">
        <v>4201057.54</v>
      </c>
      <c r="N850" s="48">
        <v>252063.46</v>
      </c>
      <c r="O850" s="44"/>
    </row>
    <row r="851" customHeight="1" spans="1:15">
      <c r="A851" s="44" t="s">
        <v>637</v>
      </c>
      <c r="B851" s="86">
        <v>45199</v>
      </c>
      <c r="C851" s="44" t="s">
        <v>748</v>
      </c>
      <c r="D851" s="44" t="s">
        <v>639</v>
      </c>
      <c r="E851" s="44" t="s">
        <v>647</v>
      </c>
      <c r="F851" s="44" t="s">
        <v>749</v>
      </c>
      <c r="G851" s="44" t="s">
        <v>648</v>
      </c>
      <c r="H851" s="44" t="s">
        <v>650</v>
      </c>
      <c r="I851" s="44" t="s">
        <v>461</v>
      </c>
      <c r="J851" s="44" t="s">
        <v>644</v>
      </c>
      <c r="K851" s="44" t="s">
        <v>14</v>
      </c>
      <c r="L851" s="48">
        <v>129717.8</v>
      </c>
      <c r="M851" s="48">
        <v>122375.27</v>
      </c>
      <c r="N851" s="48">
        <v>7342.53</v>
      </c>
      <c r="O851" s="44"/>
    </row>
    <row r="852" customHeight="1" spans="1:15">
      <c r="A852" s="44" t="s">
        <v>637</v>
      </c>
      <c r="B852" s="86">
        <v>45199</v>
      </c>
      <c r="C852" s="44" t="s">
        <v>748</v>
      </c>
      <c r="D852" s="44" t="s">
        <v>639</v>
      </c>
      <c r="E852" s="44" t="s">
        <v>647</v>
      </c>
      <c r="F852" s="44" t="s">
        <v>641</v>
      </c>
      <c r="G852" s="44" t="s">
        <v>648</v>
      </c>
      <c r="H852" s="44" t="s">
        <v>643</v>
      </c>
      <c r="I852" s="44" t="s">
        <v>430</v>
      </c>
      <c r="J852" s="44" t="s">
        <v>644</v>
      </c>
      <c r="K852" s="44" t="s">
        <v>14</v>
      </c>
      <c r="L852" s="48">
        <v>1814534.83</v>
      </c>
      <c r="M852" s="48">
        <v>1711825.33</v>
      </c>
      <c r="N852" s="48">
        <v>102709.5</v>
      </c>
      <c r="O852" s="44"/>
    </row>
    <row r="853" customHeight="1" spans="1:15">
      <c r="A853" s="44" t="s">
        <v>637</v>
      </c>
      <c r="B853" s="86">
        <v>45199</v>
      </c>
      <c r="C853" s="44" t="s">
        <v>748</v>
      </c>
      <c r="D853" s="44" t="s">
        <v>639</v>
      </c>
      <c r="E853" s="44" t="s">
        <v>647</v>
      </c>
      <c r="F853" s="44" t="s">
        <v>707</v>
      </c>
      <c r="G853" s="44" t="s">
        <v>648</v>
      </c>
      <c r="H853" s="44" t="s">
        <v>650</v>
      </c>
      <c r="I853" s="44" t="s">
        <v>763</v>
      </c>
      <c r="J853" s="44" t="s">
        <v>644</v>
      </c>
      <c r="K853" s="44" t="s">
        <v>165</v>
      </c>
      <c r="L853" s="48">
        <v>2729.76</v>
      </c>
      <c r="M853" s="48">
        <v>2575.23</v>
      </c>
      <c r="N853" s="48">
        <v>154.53</v>
      </c>
      <c r="O853" s="44"/>
    </row>
    <row r="854" customHeight="1" spans="1:15">
      <c r="A854" s="44" t="s">
        <v>637</v>
      </c>
      <c r="B854" s="86">
        <v>45199</v>
      </c>
      <c r="C854" s="44" t="s">
        <v>748</v>
      </c>
      <c r="D854" s="44" t="s">
        <v>639</v>
      </c>
      <c r="E854" s="44" t="s">
        <v>647</v>
      </c>
      <c r="F854" s="44" t="s">
        <v>641</v>
      </c>
      <c r="G854" s="44" t="s">
        <v>648</v>
      </c>
      <c r="H854" s="44" t="s">
        <v>650</v>
      </c>
      <c r="I854" s="44" t="s">
        <v>447</v>
      </c>
      <c r="J854" s="44" t="s">
        <v>656</v>
      </c>
      <c r="K854" s="44" t="s">
        <v>14</v>
      </c>
      <c r="L854" s="48">
        <v>87173.72</v>
      </c>
      <c r="M854" s="48">
        <v>82239.34</v>
      </c>
      <c r="N854" s="48">
        <v>4934.38</v>
      </c>
      <c r="O854" s="44"/>
    </row>
    <row r="855" customHeight="1" spans="1:15">
      <c r="A855" s="44" t="s">
        <v>637</v>
      </c>
      <c r="B855" s="86">
        <v>45199</v>
      </c>
      <c r="C855" s="44" t="s">
        <v>748</v>
      </c>
      <c r="D855" s="44" t="s">
        <v>639</v>
      </c>
      <c r="E855" s="44" t="s">
        <v>647</v>
      </c>
      <c r="F855" s="44" t="s">
        <v>707</v>
      </c>
      <c r="G855" s="44" t="s">
        <v>648</v>
      </c>
      <c r="H855" s="44" t="s">
        <v>643</v>
      </c>
      <c r="I855" s="44" t="s">
        <v>429</v>
      </c>
      <c r="J855" s="44" t="s">
        <v>644</v>
      </c>
      <c r="K855" s="44" t="s">
        <v>14</v>
      </c>
      <c r="L855" s="48">
        <v>2830399.65</v>
      </c>
      <c r="M855" s="48">
        <v>2670188.33</v>
      </c>
      <c r="N855" s="48">
        <v>160211.32</v>
      </c>
      <c r="O855" s="44"/>
    </row>
    <row r="856" customHeight="1" spans="1:15">
      <c r="A856" s="44" t="s">
        <v>637</v>
      </c>
      <c r="B856" s="86">
        <v>45199</v>
      </c>
      <c r="C856" s="44" t="s">
        <v>748</v>
      </c>
      <c r="D856" s="44" t="s">
        <v>639</v>
      </c>
      <c r="E856" s="44" t="s">
        <v>647</v>
      </c>
      <c r="F856" s="44" t="s">
        <v>749</v>
      </c>
      <c r="G856" s="44" t="s">
        <v>648</v>
      </c>
      <c r="H856" s="44" t="s">
        <v>650</v>
      </c>
      <c r="I856" s="44" t="s">
        <v>461</v>
      </c>
      <c r="J856" s="44" t="s">
        <v>644</v>
      </c>
      <c r="K856" s="44" t="s">
        <v>14</v>
      </c>
      <c r="L856" s="48">
        <v>282984</v>
      </c>
      <c r="M856" s="48">
        <v>266966.05</v>
      </c>
      <c r="N856" s="48">
        <v>16017.95</v>
      </c>
      <c r="O856" s="44"/>
    </row>
    <row r="857" customHeight="1" spans="1:15">
      <c r="A857" s="44" t="s">
        <v>637</v>
      </c>
      <c r="B857" s="86">
        <v>45199</v>
      </c>
      <c r="C857" s="44" t="s">
        <v>748</v>
      </c>
      <c r="D857" s="44" t="s">
        <v>639</v>
      </c>
      <c r="E857" s="44" t="s">
        <v>640</v>
      </c>
      <c r="F857" s="44" t="s">
        <v>641</v>
      </c>
      <c r="G857" s="44" t="s">
        <v>642</v>
      </c>
      <c r="H857" s="44" t="s">
        <v>643</v>
      </c>
      <c r="I857" s="44" t="s">
        <v>441</v>
      </c>
      <c r="J857" s="44" t="s">
        <v>644</v>
      </c>
      <c r="K857" s="44" t="s">
        <v>14</v>
      </c>
      <c r="L857" s="48">
        <v>1784986</v>
      </c>
      <c r="M857" s="48">
        <v>1683949.06</v>
      </c>
      <c r="N857" s="48">
        <v>101036.94</v>
      </c>
      <c r="O857" s="44" t="s">
        <v>1546</v>
      </c>
    </row>
    <row r="858" customHeight="1" spans="1:15">
      <c r="A858" s="44" t="s">
        <v>637</v>
      </c>
      <c r="B858" s="86">
        <v>45230</v>
      </c>
      <c r="C858" s="44" t="s">
        <v>748</v>
      </c>
      <c r="D858" s="44" t="s">
        <v>639</v>
      </c>
      <c r="E858" s="44" t="s">
        <v>640</v>
      </c>
      <c r="F858" s="44" t="s">
        <v>707</v>
      </c>
      <c r="G858" s="44" t="s">
        <v>654</v>
      </c>
      <c r="H858" s="44" t="s">
        <v>650</v>
      </c>
      <c r="I858" s="44" t="s">
        <v>754</v>
      </c>
      <c r="J858" s="44" t="s">
        <v>644</v>
      </c>
      <c r="K858" s="44" t="s">
        <v>14</v>
      </c>
      <c r="L858" s="104">
        <v>42225</v>
      </c>
      <c r="M858" s="104">
        <v>39834.91</v>
      </c>
      <c r="N858" s="104">
        <v>2390.09</v>
      </c>
      <c r="O858" s="44" t="s">
        <v>1547</v>
      </c>
    </row>
    <row r="859" customHeight="1" spans="1:15">
      <c r="A859" s="44" t="s">
        <v>637</v>
      </c>
      <c r="B859" s="86">
        <v>45230</v>
      </c>
      <c r="C859" s="44" t="s">
        <v>748</v>
      </c>
      <c r="D859" s="44" t="s">
        <v>639</v>
      </c>
      <c r="E859" s="44" t="s">
        <v>640</v>
      </c>
      <c r="F859" s="44" t="s">
        <v>707</v>
      </c>
      <c r="G859" s="44" t="s">
        <v>648</v>
      </c>
      <c r="H859" s="44" t="s">
        <v>650</v>
      </c>
      <c r="I859" s="44" t="s">
        <v>769</v>
      </c>
      <c r="J859" s="44" t="s">
        <v>644</v>
      </c>
      <c r="K859" s="44" t="s">
        <v>14</v>
      </c>
      <c r="L859" s="104">
        <v>-143.25</v>
      </c>
      <c r="M859" s="104">
        <v>-135.14</v>
      </c>
      <c r="N859" s="104">
        <v>-8.11</v>
      </c>
      <c r="O859" s="44" t="s">
        <v>1548</v>
      </c>
    </row>
    <row r="860" customHeight="1" spans="1:15">
      <c r="A860" s="44" t="s">
        <v>637</v>
      </c>
      <c r="B860" s="86">
        <v>45230</v>
      </c>
      <c r="C860" s="44" t="s">
        <v>748</v>
      </c>
      <c r="D860" s="44" t="s">
        <v>639</v>
      </c>
      <c r="E860" s="44" t="s">
        <v>640</v>
      </c>
      <c r="F860" s="44" t="s">
        <v>707</v>
      </c>
      <c r="G860" s="44" t="s">
        <v>648</v>
      </c>
      <c r="H860" s="44" t="s">
        <v>643</v>
      </c>
      <c r="I860" s="44" t="s">
        <v>429</v>
      </c>
      <c r="J860" s="44" t="s">
        <v>644</v>
      </c>
      <c r="K860" s="44" t="s">
        <v>14</v>
      </c>
      <c r="L860" s="104">
        <v>-1413573.73</v>
      </c>
      <c r="M860" s="104">
        <v>-1333560.12</v>
      </c>
      <c r="N860" s="104">
        <v>-80013.61</v>
      </c>
      <c r="O860" s="44" t="s">
        <v>1549</v>
      </c>
    </row>
    <row r="861" customHeight="1" spans="1:15">
      <c r="A861" s="44" t="s">
        <v>637</v>
      </c>
      <c r="B861" s="86">
        <v>45230</v>
      </c>
      <c r="C861" s="44" t="s">
        <v>748</v>
      </c>
      <c r="D861" s="44" t="s">
        <v>639</v>
      </c>
      <c r="E861" s="44" t="s">
        <v>640</v>
      </c>
      <c r="F861" s="44" t="s">
        <v>641</v>
      </c>
      <c r="G861" s="44" t="s">
        <v>648</v>
      </c>
      <c r="H861" s="44" t="s">
        <v>643</v>
      </c>
      <c r="I861" s="44" t="s">
        <v>441</v>
      </c>
      <c r="J861" s="44" t="s">
        <v>644</v>
      </c>
      <c r="K861" s="44" t="s">
        <v>14</v>
      </c>
      <c r="L861" s="104">
        <v>552216.25</v>
      </c>
      <c r="M861" s="104">
        <v>520958.73</v>
      </c>
      <c r="N861" s="104">
        <v>31257.52</v>
      </c>
      <c r="O861" s="44" t="s">
        <v>1550</v>
      </c>
    </row>
    <row r="862" customHeight="1" spans="1:15">
      <c r="A862" s="44" t="s">
        <v>637</v>
      </c>
      <c r="B862" s="86">
        <v>45230</v>
      </c>
      <c r="C862" s="44" t="s">
        <v>748</v>
      </c>
      <c r="D862" s="44" t="s">
        <v>653</v>
      </c>
      <c r="E862" s="44" t="s">
        <v>640</v>
      </c>
      <c r="F862" s="44" t="s">
        <v>641</v>
      </c>
      <c r="G862" s="44" t="s">
        <v>642</v>
      </c>
      <c r="H862" s="44" t="s">
        <v>643</v>
      </c>
      <c r="I862" s="44" t="s">
        <v>728</v>
      </c>
      <c r="J862" s="44" t="s">
        <v>644</v>
      </c>
      <c r="K862" s="44" t="s">
        <v>166</v>
      </c>
      <c r="L862" s="104">
        <v>369.8</v>
      </c>
      <c r="M862" s="104">
        <v>348.87</v>
      </c>
      <c r="N862" s="104">
        <v>20.93</v>
      </c>
      <c r="O862" s="44" t="s">
        <v>1551</v>
      </c>
    </row>
    <row r="863" customHeight="1" spans="1:15">
      <c r="A863" s="44" t="s">
        <v>637</v>
      </c>
      <c r="B863" s="86">
        <v>45230</v>
      </c>
      <c r="C863" s="44" t="s">
        <v>748</v>
      </c>
      <c r="D863" s="44" t="s">
        <v>639</v>
      </c>
      <c r="E863" s="44" t="s">
        <v>640</v>
      </c>
      <c r="F863" s="44" t="s">
        <v>641</v>
      </c>
      <c r="G863" s="44" t="s">
        <v>642</v>
      </c>
      <c r="H863" s="44" t="s">
        <v>643</v>
      </c>
      <c r="I863" s="44" t="s">
        <v>430</v>
      </c>
      <c r="J863" s="44" t="s">
        <v>644</v>
      </c>
      <c r="K863" s="44" t="s">
        <v>14</v>
      </c>
      <c r="L863" s="104">
        <v>-16833.12</v>
      </c>
      <c r="M863" s="104">
        <v>-15880.3</v>
      </c>
      <c r="N863" s="104">
        <v>-952.82</v>
      </c>
      <c r="O863" s="44" t="s">
        <v>1552</v>
      </c>
    </row>
    <row r="864" customHeight="1" spans="1:15">
      <c r="A864" s="44" t="s">
        <v>637</v>
      </c>
      <c r="B864" s="86">
        <v>45230</v>
      </c>
      <c r="C864" s="44" t="s">
        <v>748</v>
      </c>
      <c r="D864" s="44" t="s">
        <v>639</v>
      </c>
      <c r="E864" s="44" t="s">
        <v>640</v>
      </c>
      <c r="F864" s="44" t="s">
        <v>641</v>
      </c>
      <c r="G864" s="44" t="s">
        <v>642</v>
      </c>
      <c r="H864" s="44" t="s">
        <v>650</v>
      </c>
      <c r="I864" s="44" t="s">
        <v>460</v>
      </c>
      <c r="J864" s="44" t="s">
        <v>644</v>
      </c>
      <c r="K864" s="44" t="s">
        <v>14</v>
      </c>
      <c r="L864" s="104">
        <v>78173.8</v>
      </c>
      <c r="M864" s="104">
        <v>73748.87</v>
      </c>
      <c r="N864" s="104">
        <v>4424.93</v>
      </c>
      <c r="O864" s="44" t="s">
        <v>1553</v>
      </c>
    </row>
    <row r="865" customHeight="1" spans="1:15">
      <c r="A865" s="44" t="s">
        <v>637</v>
      </c>
      <c r="B865" s="86">
        <v>45230</v>
      </c>
      <c r="C865" s="44" t="s">
        <v>748</v>
      </c>
      <c r="D865" s="44" t="s">
        <v>639</v>
      </c>
      <c r="E865" s="44" t="s">
        <v>640</v>
      </c>
      <c r="F865" s="44" t="s">
        <v>641</v>
      </c>
      <c r="G865" s="44" t="s">
        <v>648</v>
      </c>
      <c r="H865" s="44" t="s">
        <v>643</v>
      </c>
      <c r="I865" s="44" t="s">
        <v>430</v>
      </c>
      <c r="J865" s="44" t="s">
        <v>644</v>
      </c>
      <c r="K865" s="44" t="s">
        <v>14</v>
      </c>
      <c r="L865" s="104">
        <v>49835.82</v>
      </c>
      <c r="M865" s="104">
        <v>47014.92</v>
      </c>
      <c r="N865" s="104">
        <v>2820.9</v>
      </c>
      <c r="O865" s="44" t="s">
        <v>1554</v>
      </c>
    </row>
    <row r="866" customHeight="1" spans="1:15">
      <c r="A866" s="44" t="s">
        <v>637</v>
      </c>
      <c r="B866" s="86">
        <v>45230</v>
      </c>
      <c r="C866" s="44" t="s">
        <v>748</v>
      </c>
      <c r="D866" s="44" t="s">
        <v>639</v>
      </c>
      <c r="E866" s="44" t="s">
        <v>640</v>
      </c>
      <c r="F866" s="44" t="s">
        <v>641</v>
      </c>
      <c r="G866" s="44" t="s">
        <v>642</v>
      </c>
      <c r="H866" s="44" t="s">
        <v>643</v>
      </c>
      <c r="I866" s="44" t="s">
        <v>441</v>
      </c>
      <c r="J866" s="44" t="s">
        <v>644</v>
      </c>
      <c r="K866" s="44" t="s">
        <v>14</v>
      </c>
      <c r="L866" s="104">
        <v>-13994.4</v>
      </c>
      <c r="M866" s="104">
        <v>-13202.26</v>
      </c>
      <c r="N866" s="104">
        <v>-792.14</v>
      </c>
      <c r="O866" s="44" t="s">
        <v>1555</v>
      </c>
    </row>
    <row r="867" customHeight="1" spans="1:15">
      <c r="A867" s="44" t="s">
        <v>637</v>
      </c>
      <c r="B867" s="86">
        <v>45230</v>
      </c>
      <c r="C867" s="44" t="s">
        <v>748</v>
      </c>
      <c r="D867" s="44" t="s">
        <v>639</v>
      </c>
      <c r="E867" s="44" t="s">
        <v>640</v>
      </c>
      <c r="F867" s="44" t="s">
        <v>749</v>
      </c>
      <c r="G867" s="44" t="s">
        <v>642</v>
      </c>
      <c r="H867" s="44" t="s">
        <v>643</v>
      </c>
      <c r="I867" s="44" t="s">
        <v>779</v>
      </c>
      <c r="J867" s="44" t="s">
        <v>644</v>
      </c>
      <c r="K867" s="44" t="s">
        <v>14</v>
      </c>
      <c r="L867" s="104">
        <v>1563.53</v>
      </c>
      <c r="M867" s="104">
        <v>1475.03</v>
      </c>
      <c r="N867" s="104">
        <v>88.5</v>
      </c>
      <c r="O867" s="44" t="s">
        <v>1556</v>
      </c>
    </row>
    <row r="868" customHeight="1" spans="1:15">
      <c r="A868" s="44" t="s">
        <v>637</v>
      </c>
      <c r="B868" s="86">
        <v>45230</v>
      </c>
      <c r="C868" s="44" t="s">
        <v>748</v>
      </c>
      <c r="D868" s="44" t="s">
        <v>639</v>
      </c>
      <c r="E868" s="44" t="s">
        <v>647</v>
      </c>
      <c r="F868" s="44" t="s">
        <v>707</v>
      </c>
      <c r="G868" s="44" t="s">
        <v>642</v>
      </c>
      <c r="H868" s="44" t="s">
        <v>650</v>
      </c>
      <c r="I868" s="44" t="s">
        <v>460</v>
      </c>
      <c r="J868" s="44" t="s">
        <v>644</v>
      </c>
      <c r="K868" s="44" t="s">
        <v>14</v>
      </c>
      <c r="L868" s="104">
        <v>2852799.5</v>
      </c>
      <c r="M868" s="104">
        <v>2691320.27</v>
      </c>
      <c r="N868" s="104">
        <v>161479.23</v>
      </c>
      <c r="O868" s="44" t="s">
        <v>1557</v>
      </c>
    </row>
    <row r="869" customHeight="1" spans="1:15">
      <c r="A869" s="44" t="s">
        <v>637</v>
      </c>
      <c r="B869" s="86">
        <v>45230</v>
      </c>
      <c r="C869" s="44" t="s">
        <v>748</v>
      </c>
      <c r="D869" s="44" t="s">
        <v>639</v>
      </c>
      <c r="E869" s="44" t="s">
        <v>640</v>
      </c>
      <c r="F869" s="44" t="s">
        <v>707</v>
      </c>
      <c r="G869" s="44" t="s">
        <v>648</v>
      </c>
      <c r="H869" s="44" t="s">
        <v>650</v>
      </c>
      <c r="I869" s="44" t="s">
        <v>769</v>
      </c>
      <c r="J869" s="44" t="s">
        <v>644</v>
      </c>
      <c r="K869" s="44" t="s">
        <v>14</v>
      </c>
      <c r="L869" s="104">
        <v>177126.75</v>
      </c>
      <c r="M869" s="104">
        <v>167100.71</v>
      </c>
      <c r="N869" s="104">
        <v>10026.04</v>
      </c>
      <c r="O869" s="44" t="s">
        <v>1558</v>
      </c>
    </row>
    <row r="870" customHeight="1" spans="1:15">
      <c r="A870" s="44" t="s">
        <v>637</v>
      </c>
      <c r="B870" s="86">
        <v>45230</v>
      </c>
      <c r="C870" s="44" t="s">
        <v>748</v>
      </c>
      <c r="D870" s="44" t="s">
        <v>639</v>
      </c>
      <c r="E870" s="44" t="s">
        <v>640</v>
      </c>
      <c r="F870" s="44" t="s">
        <v>641</v>
      </c>
      <c r="G870" s="44" t="s">
        <v>654</v>
      </c>
      <c r="H870" s="44" t="s">
        <v>650</v>
      </c>
      <c r="I870" s="44" t="s">
        <v>792</v>
      </c>
      <c r="J870" s="44" t="s">
        <v>644</v>
      </c>
      <c r="K870" s="44" t="s">
        <v>14</v>
      </c>
      <c r="L870" s="104">
        <v>-20255.85</v>
      </c>
      <c r="M870" s="104">
        <v>-19109.29</v>
      </c>
      <c r="N870" s="104">
        <v>-1146.56</v>
      </c>
      <c r="O870" s="44" t="s">
        <v>1559</v>
      </c>
    </row>
    <row r="871" customHeight="1" spans="1:15">
      <c r="A871" s="44" t="s">
        <v>637</v>
      </c>
      <c r="B871" s="86">
        <v>45230</v>
      </c>
      <c r="C871" s="44" t="s">
        <v>748</v>
      </c>
      <c r="D871" s="44" t="s">
        <v>653</v>
      </c>
      <c r="E871" s="44" t="s">
        <v>640</v>
      </c>
      <c r="F871" s="44" t="s">
        <v>659</v>
      </c>
      <c r="G871" s="44" t="s">
        <v>642</v>
      </c>
      <c r="H871" s="44" t="s">
        <v>650</v>
      </c>
      <c r="I871" s="44" t="s">
        <v>728</v>
      </c>
      <c r="J871" s="44" t="s">
        <v>656</v>
      </c>
      <c r="K871" s="44" t="s">
        <v>166</v>
      </c>
      <c r="L871" s="104">
        <v>35131</v>
      </c>
      <c r="M871" s="104">
        <v>33142.45</v>
      </c>
      <c r="N871" s="104">
        <v>1988.55</v>
      </c>
      <c r="O871" s="44" t="s">
        <v>1560</v>
      </c>
    </row>
    <row r="872" customHeight="1" spans="1:15">
      <c r="A872" s="44" t="s">
        <v>637</v>
      </c>
      <c r="B872" s="86">
        <v>45230</v>
      </c>
      <c r="C872" s="44" t="s">
        <v>748</v>
      </c>
      <c r="D872" s="44" t="s">
        <v>639</v>
      </c>
      <c r="E872" s="44" t="s">
        <v>647</v>
      </c>
      <c r="F872" s="44" t="s">
        <v>641</v>
      </c>
      <c r="G872" s="44" t="s">
        <v>654</v>
      </c>
      <c r="H872" s="44" t="s">
        <v>650</v>
      </c>
      <c r="I872" s="44" t="s">
        <v>776</v>
      </c>
      <c r="J872" s="44" t="s">
        <v>644</v>
      </c>
      <c r="K872" s="44" t="s">
        <v>14</v>
      </c>
      <c r="L872" s="104">
        <v>280000</v>
      </c>
      <c r="M872" s="104">
        <v>264150.95</v>
      </c>
      <c r="N872" s="104">
        <v>15849.05</v>
      </c>
      <c r="O872" s="44" t="s">
        <v>1561</v>
      </c>
    </row>
    <row r="873" customHeight="1" spans="1:15">
      <c r="A873" s="44" t="s">
        <v>637</v>
      </c>
      <c r="B873" s="86">
        <v>45230</v>
      </c>
      <c r="C873" s="44" t="s">
        <v>748</v>
      </c>
      <c r="D873" s="44" t="s">
        <v>653</v>
      </c>
      <c r="E873" s="44" t="s">
        <v>640</v>
      </c>
      <c r="F873" s="44" t="s">
        <v>659</v>
      </c>
      <c r="G873" s="44" t="s">
        <v>642</v>
      </c>
      <c r="H873" s="44" t="s">
        <v>650</v>
      </c>
      <c r="I873" s="44" t="s">
        <v>429</v>
      </c>
      <c r="J873" s="44" t="s">
        <v>656</v>
      </c>
      <c r="K873" s="44" t="s">
        <v>166</v>
      </c>
      <c r="L873" s="104">
        <v>11654</v>
      </c>
      <c r="M873" s="104">
        <v>10994.34</v>
      </c>
      <c r="N873" s="104">
        <v>659.66</v>
      </c>
      <c r="O873" s="44" t="s">
        <v>1562</v>
      </c>
    </row>
    <row r="874" customHeight="1" spans="1:15">
      <c r="A874" s="44" t="s">
        <v>637</v>
      </c>
      <c r="B874" s="86">
        <v>45230</v>
      </c>
      <c r="C874" s="44" t="s">
        <v>748</v>
      </c>
      <c r="D874" s="44" t="s">
        <v>639</v>
      </c>
      <c r="E874" s="44" t="s">
        <v>647</v>
      </c>
      <c r="F874" s="44" t="s">
        <v>689</v>
      </c>
      <c r="G874" s="44" t="s">
        <v>654</v>
      </c>
      <c r="H874" s="44" t="s">
        <v>697</v>
      </c>
      <c r="I874" s="44" t="s">
        <v>672</v>
      </c>
      <c r="J874" s="44" t="s">
        <v>656</v>
      </c>
      <c r="K874" s="44" t="s">
        <v>350</v>
      </c>
      <c r="L874" s="104">
        <v>169600</v>
      </c>
      <c r="M874" s="104">
        <v>160000.01</v>
      </c>
      <c r="N874" s="104">
        <v>9599.99</v>
      </c>
      <c r="O874" s="44" t="s">
        <v>1563</v>
      </c>
    </row>
    <row r="875" customHeight="1" spans="1:15">
      <c r="A875" s="44" t="s">
        <v>637</v>
      </c>
      <c r="B875" s="86">
        <v>45230</v>
      </c>
      <c r="C875" s="44" t="s">
        <v>748</v>
      </c>
      <c r="D875" s="44" t="s">
        <v>639</v>
      </c>
      <c r="E875" s="44" t="s">
        <v>647</v>
      </c>
      <c r="F875" s="44" t="s">
        <v>689</v>
      </c>
      <c r="G875" s="44" t="s">
        <v>654</v>
      </c>
      <c r="H875" s="44" t="s">
        <v>697</v>
      </c>
      <c r="I875" s="44" t="s">
        <v>669</v>
      </c>
      <c r="J875" s="44" t="s">
        <v>656</v>
      </c>
      <c r="K875" s="44" t="s">
        <v>350</v>
      </c>
      <c r="L875" s="104">
        <v>23280</v>
      </c>
      <c r="M875" s="104">
        <v>21962.25</v>
      </c>
      <c r="N875" s="104">
        <v>1317.75</v>
      </c>
      <c r="O875" s="44" t="s">
        <v>1564</v>
      </c>
    </row>
    <row r="876" customHeight="1" spans="1:15">
      <c r="A876" s="44" t="s">
        <v>637</v>
      </c>
      <c r="B876" s="86">
        <v>45230</v>
      </c>
      <c r="C876" s="44" t="s">
        <v>748</v>
      </c>
      <c r="D876" s="44" t="s">
        <v>639</v>
      </c>
      <c r="E876" s="44" t="s">
        <v>647</v>
      </c>
      <c r="F876" s="44" t="s">
        <v>707</v>
      </c>
      <c r="G876" s="44" t="s">
        <v>642</v>
      </c>
      <c r="H876" s="44" t="s">
        <v>650</v>
      </c>
      <c r="I876" s="44" t="s">
        <v>429</v>
      </c>
      <c r="J876" s="44" t="s">
        <v>644</v>
      </c>
      <c r="K876" s="44" t="s">
        <v>14</v>
      </c>
      <c r="L876" s="104">
        <v>1147718.14</v>
      </c>
      <c r="M876" s="104">
        <v>1082752.96</v>
      </c>
      <c r="N876" s="104">
        <v>64965.18</v>
      </c>
      <c r="O876" s="44" t="s">
        <v>1565</v>
      </c>
    </row>
    <row r="877" customHeight="1" spans="1:15">
      <c r="A877" s="44" t="s">
        <v>637</v>
      </c>
      <c r="B877" s="86">
        <v>45230</v>
      </c>
      <c r="C877" s="44" t="s">
        <v>748</v>
      </c>
      <c r="D877" s="44" t="s">
        <v>639</v>
      </c>
      <c r="E877" s="44" t="s">
        <v>647</v>
      </c>
      <c r="F877" s="44" t="s">
        <v>749</v>
      </c>
      <c r="G877" s="44" t="s">
        <v>642</v>
      </c>
      <c r="H877" s="44" t="s">
        <v>650</v>
      </c>
      <c r="I877" s="44" t="s">
        <v>779</v>
      </c>
      <c r="J877" s="44" t="s">
        <v>644</v>
      </c>
      <c r="K877" s="44" t="s">
        <v>14</v>
      </c>
      <c r="L877" s="104">
        <v>23042.22</v>
      </c>
      <c r="M877" s="104">
        <v>21737.93</v>
      </c>
      <c r="N877" s="104">
        <v>1304.29</v>
      </c>
      <c r="O877" s="44" t="s">
        <v>1566</v>
      </c>
    </row>
    <row r="878" customHeight="1" spans="1:15">
      <c r="A878" s="44" t="s">
        <v>637</v>
      </c>
      <c r="B878" s="86">
        <v>45230</v>
      </c>
      <c r="C878" s="44" t="s">
        <v>748</v>
      </c>
      <c r="D878" s="44" t="s">
        <v>639</v>
      </c>
      <c r="E878" s="44" t="s">
        <v>647</v>
      </c>
      <c r="F878" s="44" t="s">
        <v>707</v>
      </c>
      <c r="G878" s="44" t="s">
        <v>642</v>
      </c>
      <c r="H878" s="44" t="s">
        <v>650</v>
      </c>
      <c r="I878" s="44" t="s">
        <v>429</v>
      </c>
      <c r="J878" s="44" t="s">
        <v>644</v>
      </c>
      <c r="K878" s="44" t="s">
        <v>165</v>
      </c>
      <c r="L878" s="104">
        <v>158893.14</v>
      </c>
      <c r="M878" s="104">
        <v>149899.19</v>
      </c>
      <c r="N878" s="104">
        <v>8993.95</v>
      </c>
      <c r="O878" s="44" t="s">
        <v>1567</v>
      </c>
    </row>
    <row r="879" customHeight="1" spans="1:15">
      <c r="A879" s="44" t="s">
        <v>637</v>
      </c>
      <c r="B879" s="86">
        <v>45230</v>
      </c>
      <c r="C879" s="44" t="s">
        <v>748</v>
      </c>
      <c r="D879" s="44" t="s">
        <v>639</v>
      </c>
      <c r="E879" s="44" t="s">
        <v>647</v>
      </c>
      <c r="F879" s="44" t="s">
        <v>641</v>
      </c>
      <c r="G879" s="44" t="s">
        <v>642</v>
      </c>
      <c r="H879" s="44" t="s">
        <v>650</v>
      </c>
      <c r="I879" s="44" t="s">
        <v>436</v>
      </c>
      <c r="J879" s="44" t="s">
        <v>644</v>
      </c>
      <c r="K879" s="44" t="s">
        <v>350</v>
      </c>
      <c r="L879" s="104">
        <v>164007.5</v>
      </c>
      <c r="M879" s="104">
        <v>154724.07</v>
      </c>
      <c r="N879" s="104">
        <v>9283.43</v>
      </c>
      <c r="O879" s="44" t="s">
        <v>1568</v>
      </c>
    </row>
    <row r="880" customHeight="1" spans="1:15">
      <c r="A880" s="44" t="s">
        <v>637</v>
      </c>
      <c r="B880" s="86">
        <v>45230</v>
      </c>
      <c r="C880" s="44" t="s">
        <v>748</v>
      </c>
      <c r="D880" s="44" t="s">
        <v>639</v>
      </c>
      <c r="E880" s="44" t="s">
        <v>647</v>
      </c>
      <c r="F880" s="44" t="s">
        <v>707</v>
      </c>
      <c r="G880" s="44" t="s">
        <v>642</v>
      </c>
      <c r="H880" s="44" t="s">
        <v>650</v>
      </c>
      <c r="I880" s="44" t="s">
        <v>429</v>
      </c>
      <c r="J880" s="44" t="s">
        <v>644</v>
      </c>
      <c r="K880" s="44" t="s">
        <v>165</v>
      </c>
      <c r="L880" s="104">
        <v>1038.78</v>
      </c>
      <c r="M880" s="104">
        <v>979.98</v>
      </c>
      <c r="N880" s="104">
        <v>58.8</v>
      </c>
      <c r="O880" s="44" t="s">
        <v>1569</v>
      </c>
    </row>
    <row r="881" customHeight="1" spans="1:15">
      <c r="A881" s="44" t="s">
        <v>637</v>
      </c>
      <c r="B881" s="86">
        <v>45230</v>
      </c>
      <c r="C881" s="44" t="s">
        <v>748</v>
      </c>
      <c r="D881" s="44" t="s">
        <v>639</v>
      </c>
      <c r="E881" s="44" t="s">
        <v>647</v>
      </c>
      <c r="F881" s="44" t="s">
        <v>641</v>
      </c>
      <c r="G881" s="44" t="s">
        <v>642</v>
      </c>
      <c r="H881" s="44" t="s">
        <v>650</v>
      </c>
      <c r="I881" s="44" t="s">
        <v>430</v>
      </c>
      <c r="J881" s="44" t="s">
        <v>644</v>
      </c>
      <c r="K881" s="44" t="s">
        <v>14</v>
      </c>
      <c r="L881" s="104">
        <v>20827.92</v>
      </c>
      <c r="M881" s="104">
        <v>19648.99</v>
      </c>
      <c r="N881" s="104">
        <v>1178.93</v>
      </c>
      <c r="O881" s="44" t="s">
        <v>1570</v>
      </c>
    </row>
    <row r="882" customHeight="1" spans="1:15">
      <c r="A882" s="44" t="s">
        <v>637</v>
      </c>
      <c r="B882" s="86">
        <v>45230</v>
      </c>
      <c r="C882" s="44" t="s">
        <v>748</v>
      </c>
      <c r="D882" s="44" t="s">
        <v>639</v>
      </c>
      <c r="E882" s="44" t="s">
        <v>647</v>
      </c>
      <c r="F882" s="44" t="s">
        <v>641</v>
      </c>
      <c r="G882" s="44" t="s">
        <v>642</v>
      </c>
      <c r="H882" s="44" t="s">
        <v>650</v>
      </c>
      <c r="I882" s="44" t="s">
        <v>441</v>
      </c>
      <c r="J882" s="44" t="s">
        <v>644</v>
      </c>
      <c r="K882" s="44" t="s">
        <v>14</v>
      </c>
      <c r="L882" s="104">
        <v>13994.4</v>
      </c>
      <c r="M882" s="104">
        <v>13202.26</v>
      </c>
      <c r="N882" s="104">
        <v>792.14</v>
      </c>
      <c r="O882" s="44" t="s">
        <v>1571</v>
      </c>
    </row>
    <row r="883" customHeight="1" spans="1:15">
      <c r="A883" s="44" t="s">
        <v>637</v>
      </c>
      <c r="B883" s="86">
        <v>45230</v>
      </c>
      <c r="C883" s="44" t="s">
        <v>748</v>
      </c>
      <c r="D883" s="44" t="s">
        <v>639</v>
      </c>
      <c r="E883" s="44" t="s">
        <v>647</v>
      </c>
      <c r="F883" s="44" t="s">
        <v>707</v>
      </c>
      <c r="G883" s="44" t="s">
        <v>648</v>
      </c>
      <c r="H883" s="44" t="s">
        <v>643</v>
      </c>
      <c r="I883" s="44" t="s">
        <v>429</v>
      </c>
      <c r="J883" s="44" t="s">
        <v>644</v>
      </c>
      <c r="K883" s="44" t="s">
        <v>14</v>
      </c>
      <c r="L883" s="104">
        <v>2785919.06</v>
      </c>
      <c r="M883" s="104">
        <v>2628225.55</v>
      </c>
      <c r="N883" s="104">
        <v>157693.51</v>
      </c>
      <c r="O883" s="44" t="s">
        <v>1572</v>
      </c>
    </row>
    <row r="884" customHeight="1" spans="1:15">
      <c r="A884" s="44" t="s">
        <v>637</v>
      </c>
      <c r="B884" s="86">
        <v>45230</v>
      </c>
      <c r="C884" s="44" t="s">
        <v>748</v>
      </c>
      <c r="D884" s="44" t="s">
        <v>639</v>
      </c>
      <c r="E884" s="44" t="s">
        <v>647</v>
      </c>
      <c r="F884" s="44" t="s">
        <v>641</v>
      </c>
      <c r="G884" s="44" t="s">
        <v>654</v>
      </c>
      <c r="H884" s="44" t="s">
        <v>697</v>
      </c>
      <c r="I884" s="44" t="s">
        <v>792</v>
      </c>
      <c r="J884" s="44" t="s">
        <v>644</v>
      </c>
      <c r="K884" s="44" t="s">
        <v>14</v>
      </c>
      <c r="L884" s="104">
        <v>20255.85</v>
      </c>
      <c r="M884" s="104">
        <v>19109.28</v>
      </c>
      <c r="N884" s="104">
        <v>1146.57</v>
      </c>
      <c r="O884" s="44" t="s">
        <v>1573</v>
      </c>
    </row>
    <row r="885" customHeight="1" spans="1:15">
      <c r="A885" s="44" t="s">
        <v>637</v>
      </c>
      <c r="B885" s="86">
        <v>45230</v>
      </c>
      <c r="C885" s="44" t="s">
        <v>748</v>
      </c>
      <c r="D885" s="44" t="s">
        <v>639</v>
      </c>
      <c r="E885" s="44" t="s">
        <v>647</v>
      </c>
      <c r="F885" s="44" t="s">
        <v>689</v>
      </c>
      <c r="G885" s="44" t="s">
        <v>654</v>
      </c>
      <c r="H885" s="44" t="s">
        <v>650</v>
      </c>
      <c r="I885" s="44" t="s">
        <v>664</v>
      </c>
      <c r="J885" s="44" t="s">
        <v>656</v>
      </c>
      <c r="K885" s="44" t="s">
        <v>350</v>
      </c>
      <c r="L885" s="104">
        <v>9852</v>
      </c>
      <c r="M885" s="104">
        <v>9294.33</v>
      </c>
      <c r="N885" s="104">
        <v>557.67</v>
      </c>
      <c r="O885" s="44" t="s">
        <v>1574</v>
      </c>
    </row>
    <row r="886" customHeight="1" spans="1:15">
      <c r="A886" s="44" t="s">
        <v>637</v>
      </c>
      <c r="B886" s="86">
        <v>45230</v>
      </c>
      <c r="C886" s="44" t="s">
        <v>748</v>
      </c>
      <c r="D886" s="44" t="s">
        <v>639</v>
      </c>
      <c r="E886" s="44" t="s">
        <v>647</v>
      </c>
      <c r="F886" s="44" t="s">
        <v>749</v>
      </c>
      <c r="G886" s="44" t="s">
        <v>648</v>
      </c>
      <c r="H886" s="44" t="s">
        <v>650</v>
      </c>
      <c r="I886" s="44" t="s">
        <v>461</v>
      </c>
      <c r="J886" s="44" t="s">
        <v>644</v>
      </c>
      <c r="K886" s="44" t="s">
        <v>14</v>
      </c>
      <c r="L886" s="104">
        <v>242835.8</v>
      </c>
      <c r="M886" s="104">
        <v>229090.37</v>
      </c>
      <c r="N886" s="104">
        <v>13745.43</v>
      </c>
      <c r="O886" s="44" t="s">
        <v>1575</v>
      </c>
    </row>
    <row r="887" customHeight="1" spans="1:15">
      <c r="A887" s="44" t="s">
        <v>637</v>
      </c>
      <c r="B887" s="86">
        <v>45230</v>
      </c>
      <c r="C887" s="44" t="s">
        <v>748</v>
      </c>
      <c r="D887" s="44" t="s">
        <v>639</v>
      </c>
      <c r="E887" s="44" t="s">
        <v>647</v>
      </c>
      <c r="F887" s="44" t="s">
        <v>641</v>
      </c>
      <c r="G887" s="44" t="s">
        <v>648</v>
      </c>
      <c r="H887" s="44" t="s">
        <v>643</v>
      </c>
      <c r="I887" s="44" t="s">
        <v>430</v>
      </c>
      <c r="J887" s="44" t="s">
        <v>644</v>
      </c>
      <c r="K887" s="44" t="s">
        <v>14</v>
      </c>
      <c r="L887" s="104">
        <v>1603490.4</v>
      </c>
      <c r="M887" s="104">
        <v>1512726.76</v>
      </c>
      <c r="N887" s="104">
        <v>90763.64</v>
      </c>
      <c r="O887" s="44" t="s">
        <v>1576</v>
      </c>
    </row>
    <row r="888" customHeight="1" spans="1:15">
      <c r="A888" s="44" t="s">
        <v>637</v>
      </c>
      <c r="B888" s="86">
        <v>45230</v>
      </c>
      <c r="C888" s="44" t="s">
        <v>748</v>
      </c>
      <c r="D888" s="44" t="s">
        <v>639</v>
      </c>
      <c r="E888" s="44" t="s">
        <v>647</v>
      </c>
      <c r="F888" s="44" t="s">
        <v>749</v>
      </c>
      <c r="G888" s="44" t="s">
        <v>648</v>
      </c>
      <c r="H888" s="44" t="s">
        <v>650</v>
      </c>
      <c r="I888" s="44" t="s">
        <v>461</v>
      </c>
      <c r="J888" s="44" t="s">
        <v>644</v>
      </c>
      <c r="K888" s="44" t="s">
        <v>14</v>
      </c>
      <c r="L888" s="104">
        <v>91311.8</v>
      </c>
      <c r="M888" s="104">
        <v>86143.2</v>
      </c>
      <c r="N888" s="104">
        <v>5168.6</v>
      </c>
      <c r="O888" s="44" t="s">
        <v>1577</v>
      </c>
    </row>
    <row r="889" customHeight="1" spans="1:15">
      <c r="A889" s="44" t="s">
        <v>637</v>
      </c>
      <c r="B889" s="86">
        <v>45230</v>
      </c>
      <c r="C889" s="44" t="s">
        <v>748</v>
      </c>
      <c r="D889" s="44" t="s">
        <v>639</v>
      </c>
      <c r="E889" s="44" t="s">
        <v>647</v>
      </c>
      <c r="F889" s="44" t="s">
        <v>641</v>
      </c>
      <c r="G889" s="44" t="s">
        <v>648</v>
      </c>
      <c r="H889" s="44" t="s">
        <v>650</v>
      </c>
      <c r="I889" s="44" t="s">
        <v>447</v>
      </c>
      <c r="J889" s="44" t="s">
        <v>656</v>
      </c>
      <c r="K889" s="44" t="s">
        <v>14</v>
      </c>
      <c r="L889" s="104">
        <v>85470.61</v>
      </c>
      <c r="M889" s="104">
        <v>80632.64</v>
      </c>
      <c r="N889" s="104">
        <v>4837.97</v>
      </c>
      <c r="O889" s="44" t="s">
        <v>1578</v>
      </c>
    </row>
    <row r="890" customHeight="1" spans="1:15">
      <c r="A890" s="44" t="s">
        <v>637</v>
      </c>
      <c r="B890" s="86">
        <v>45230</v>
      </c>
      <c r="C890" s="44" t="s">
        <v>748</v>
      </c>
      <c r="D890" s="44" t="s">
        <v>639</v>
      </c>
      <c r="E890" s="44" t="s">
        <v>647</v>
      </c>
      <c r="F890" s="44" t="s">
        <v>707</v>
      </c>
      <c r="G890" s="44" t="s">
        <v>648</v>
      </c>
      <c r="H890" s="44" t="s">
        <v>650</v>
      </c>
      <c r="I890" s="44" t="s">
        <v>763</v>
      </c>
      <c r="J890" s="44" t="s">
        <v>644</v>
      </c>
      <c r="K890" s="44" t="s">
        <v>165</v>
      </c>
      <c r="L890" s="104">
        <v>2405.64</v>
      </c>
      <c r="M890" s="104">
        <v>2269.47</v>
      </c>
      <c r="N890" s="104">
        <v>136.17</v>
      </c>
      <c r="O890" s="44" t="s">
        <v>1579</v>
      </c>
    </row>
    <row r="891" customHeight="1" spans="1:15">
      <c r="A891" s="44" t="s">
        <v>637</v>
      </c>
      <c r="B891" s="86">
        <v>45230</v>
      </c>
      <c r="C891" s="44" t="s">
        <v>748</v>
      </c>
      <c r="D891" s="44" t="s">
        <v>639</v>
      </c>
      <c r="E891" s="44" t="s">
        <v>647</v>
      </c>
      <c r="F891" s="44" t="s">
        <v>641</v>
      </c>
      <c r="G891" s="44" t="s">
        <v>648</v>
      </c>
      <c r="H891" s="44" t="s">
        <v>697</v>
      </c>
      <c r="I891" s="44" t="s">
        <v>441</v>
      </c>
      <c r="J891" s="44" t="s">
        <v>644</v>
      </c>
      <c r="K891" s="44" t="s">
        <v>14</v>
      </c>
      <c r="L891" s="104">
        <v>3983992.75</v>
      </c>
      <c r="M891" s="104">
        <v>3758483.74</v>
      </c>
      <c r="N891" s="104">
        <v>225509.01</v>
      </c>
      <c r="O891" s="44" t="s">
        <v>1580</v>
      </c>
    </row>
    <row r="892" customHeight="1" spans="1:15">
      <c r="A892" s="44" t="s">
        <v>637</v>
      </c>
      <c r="B892" s="86">
        <v>45230</v>
      </c>
      <c r="C892" s="44" t="s">
        <v>748</v>
      </c>
      <c r="D892" s="44" t="s">
        <v>639</v>
      </c>
      <c r="E892" s="44" t="s">
        <v>647</v>
      </c>
      <c r="F892" s="44" t="s">
        <v>707</v>
      </c>
      <c r="G892" s="44" t="s">
        <v>654</v>
      </c>
      <c r="H892" s="44" t="s">
        <v>650</v>
      </c>
      <c r="I892" s="44" t="s">
        <v>754</v>
      </c>
      <c r="J892" s="44" t="s">
        <v>644</v>
      </c>
      <c r="K892" s="44" t="s">
        <v>14</v>
      </c>
      <c r="L892" s="104">
        <v>2310105.4</v>
      </c>
      <c r="M892" s="104">
        <v>2179344.72</v>
      </c>
      <c r="N892" s="104">
        <v>130760.68</v>
      </c>
      <c r="O892" s="44" t="s">
        <v>1581</v>
      </c>
    </row>
    <row r="893" customHeight="1" spans="1:15">
      <c r="A893" s="44" t="s">
        <v>637</v>
      </c>
      <c r="B893" s="86">
        <v>45230</v>
      </c>
      <c r="C893" s="44" t="s">
        <v>638</v>
      </c>
      <c r="D893" s="44" t="s">
        <v>639</v>
      </c>
      <c r="E893" s="44" t="s">
        <v>640</v>
      </c>
      <c r="F893" s="44" t="s">
        <v>641</v>
      </c>
      <c r="G893" s="44" t="s">
        <v>642</v>
      </c>
      <c r="H893" s="44" t="s">
        <v>643</v>
      </c>
      <c r="I893" s="44" t="s">
        <v>430</v>
      </c>
      <c r="J893" s="44" t="s">
        <v>644</v>
      </c>
      <c r="K893" s="44" t="s">
        <v>14</v>
      </c>
      <c r="L893" s="104">
        <v>-135448.97</v>
      </c>
      <c r="M893" s="104">
        <v>-127782.05</v>
      </c>
      <c r="N893" s="104">
        <v>-7666.92</v>
      </c>
      <c r="O893" s="44" t="s">
        <v>1582</v>
      </c>
    </row>
    <row r="894" customHeight="1" spans="1:15">
      <c r="A894" s="44" t="s">
        <v>637</v>
      </c>
      <c r="B894" s="86">
        <v>45230</v>
      </c>
      <c r="C894" s="44" t="s">
        <v>1273</v>
      </c>
      <c r="D894" s="44" t="s">
        <v>653</v>
      </c>
      <c r="E894" s="44" t="s">
        <v>640</v>
      </c>
      <c r="F894" s="44" t="s">
        <v>659</v>
      </c>
      <c r="G894" s="44" t="s">
        <v>648</v>
      </c>
      <c r="H894" s="44" t="s">
        <v>650</v>
      </c>
      <c r="I894" s="44" t="s">
        <v>728</v>
      </c>
      <c r="J894" s="44" t="s">
        <v>656</v>
      </c>
      <c r="K894" s="44" t="s">
        <v>166</v>
      </c>
      <c r="L894" s="104">
        <v>31.85</v>
      </c>
      <c r="M894" s="104">
        <v>30.05</v>
      </c>
      <c r="N894" s="104">
        <v>1.8</v>
      </c>
      <c r="O894" s="44" t="s">
        <v>1583</v>
      </c>
    </row>
    <row r="895" customHeight="1" spans="1:15">
      <c r="A895" s="44" t="s">
        <v>637</v>
      </c>
      <c r="B895" s="86">
        <v>45230</v>
      </c>
      <c r="C895" s="44" t="s">
        <v>638</v>
      </c>
      <c r="D895" s="44" t="s">
        <v>639</v>
      </c>
      <c r="E895" s="44" t="s">
        <v>647</v>
      </c>
      <c r="F895" s="44" t="s">
        <v>641</v>
      </c>
      <c r="G895" s="44" t="s">
        <v>642</v>
      </c>
      <c r="H895" s="44" t="s">
        <v>650</v>
      </c>
      <c r="I895" s="44" t="s">
        <v>430</v>
      </c>
      <c r="J895" s="44" t="s">
        <v>644</v>
      </c>
      <c r="K895" s="44" t="s">
        <v>14</v>
      </c>
      <c r="L895" s="104">
        <v>2688621.44</v>
      </c>
      <c r="M895" s="104">
        <v>2536435.31</v>
      </c>
      <c r="N895" s="104">
        <v>152186.13</v>
      </c>
      <c r="O895" s="44" t="s">
        <v>1584</v>
      </c>
    </row>
    <row r="896" customHeight="1" spans="1:15">
      <c r="A896" s="44" t="s">
        <v>637</v>
      </c>
      <c r="B896" s="86">
        <v>45230</v>
      </c>
      <c r="C896" s="44" t="s">
        <v>638</v>
      </c>
      <c r="D896" s="44" t="s">
        <v>639</v>
      </c>
      <c r="E896" s="44" t="s">
        <v>640</v>
      </c>
      <c r="F896" s="44" t="s">
        <v>641</v>
      </c>
      <c r="G896" s="44" t="s">
        <v>642</v>
      </c>
      <c r="H896" s="44" t="s">
        <v>643</v>
      </c>
      <c r="I896" s="44" t="s">
        <v>430</v>
      </c>
      <c r="J896" s="44" t="s">
        <v>644</v>
      </c>
      <c r="K896" s="44" t="s">
        <v>14</v>
      </c>
      <c r="L896" s="104">
        <v>-1220618.4</v>
      </c>
      <c r="M896" s="104">
        <v>-1151526.79</v>
      </c>
      <c r="N896" s="104">
        <v>-69091.61</v>
      </c>
      <c r="O896" s="44" t="s">
        <v>1585</v>
      </c>
    </row>
    <row r="897" customHeight="1" spans="1:15">
      <c r="A897" s="44" t="s">
        <v>637</v>
      </c>
      <c r="B897" s="86">
        <v>45230</v>
      </c>
      <c r="C897" s="44" t="s">
        <v>638</v>
      </c>
      <c r="D897" s="44" t="s">
        <v>639</v>
      </c>
      <c r="E897" s="44" t="s">
        <v>647</v>
      </c>
      <c r="F897" s="44" t="s">
        <v>641</v>
      </c>
      <c r="G897" s="44" t="s">
        <v>648</v>
      </c>
      <c r="H897" s="44" t="s">
        <v>643</v>
      </c>
      <c r="I897" s="44" t="s">
        <v>430</v>
      </c>
      <c r="J897" s="44" t="s">
        <v>644</v>
      </c>
      <c r="K897" s="44" t="s">
        <v>14</v>
      </c>
      <c r="L897" s="104">
        <v>1242303.25</v>
      </c>
      <c r="M897" s="104">
        <v>1171984.22</v>
      </c>
      <c r="N897" s="104">
        <v>70319.03</v>
      </c>
      <c r="O897" s="44" t="s">
        <v>1586</v>
      </c>
    </row>
    <row r="898" customHeight="1" spans="1:15">
      <c r="A898" s="44" t="s">
        <v>637</v>
      </c>
      <c r="B898" s="86">
        <v>45230</v>
      </c>
      <c r="C898" s="44" t="s">
        <v>638</v>
      </c>
      <c r="D898" s="44" t="s">
        <v>639</v>
      </c>
      <c r="E898" s="44" t="s">
        <v>640</v>
      </c>
      <c r="F898" s="44" t="s">
        <v>641</v>
      </c>
      <c r="G898" s="44" t="s">
        <v>648</v>
      </c>
      <c r="H898" s="44" t="s">
        <v>643</v>
      </c>
      <c r="I898" s="44" t="s">
        <v>430</v>
      </c>
      <c r="J898" s="44" t="s">
        <v>644</v>
      </c>
      <c r="K898" s="44" t="s">
        <v>14</v>
      </c>
      <c r="L898" s="104">
        <v>1184750.64</v>
      </c>
      <c r="M898" s="104">
        <v>1117689.28</v>
      </c>
      <c r="N898" s="104">
        <v>67061.36</v>
      </c>
      <c r="O898" s="44" t="s">
        <v>1587</v>
      </c>
    </row>
    <row r="899" customHeight="1" spans="1:15">
      <c r="A899" s="44" t="s">
        <v>637</v>
      </c>
      <c r="B899" s="86">
        <v>45230</v>
      </c>
      <c r="C899" s="44" t="s">
        <v>638</v>
      </c>
      <c r="D899" s="44" t="s">
        <v>639</v>
      </c>
      <c r="E899" s="44" t="s">
        <v>647</v>
      </c>
      <c r="F899" s="44" t="s">
        <v>641</v>
      </c>
      <c r="G899" s="44" t="s">
        <v>648</v>
      </c>
      <c r="H899" s="44" t="s">
        <v>643</v>
      </c>
      <c r="I899" s="44" t="s">
        <v>430</v>
      </c>
      <c r="J899" s="44" t="s">
        <v>644</v>
      </c>
      <c r="K899" s="44" t="s">
        <v>14</v>
      </c>
      <c r="L899" s="104">
        <v>149813.09</v>
      </c>
      <c r="M899" s="104">
        <v>141333.1</v>
      </c>
      <c r="N899" s="104">
        <v>8479.99</v>
      </c>
      <c r="O899" s="44" t="s">
        <v>1588</v>
      </c>
    </row>
    <row r="900" customHeight="1" spans="1:15">
      <c r="A900" s="44" t="s">
        <v>637</v>
      </c>
      <c r="B900" s="86">
        <v>45230</v>
      </c>
      <c r="C900" s="44" t="s">
        <v>638</v>
      </c>
      <c r="D900" s="44" t="s">
        <v>639</v>
      </c>
      <c r="E900" s="44" t="s">
        <v>647</v>
      </c>
      <c r="F900" s="44" t="s">
        <v>641</v>
      </c>
      <c r="G900" s="44" t="s">
        <v>648</v>
      </c>
      <c r="H900" s="44" t="s">
        <v>697</v>
      </c>
      <c r="I900" s="44" t="s">
        <v>430</v>
      </c>
      <c r="J900" s="44" t="s">
        <v>644</v>
      </c>
      <c r="K900" s="44" t="s">
        <v>14</v>
      </c>
      <c r="L900" s="104">
        <v>36085.2</v>
      </c>
      <c r="M900" s="104">
        <v>34042.62</v>
      </c>
      <c r="N900" s="104">
        <v>2042.58</v>
      </c>
      <c r="O900" s="44" t="s">
        <v>1589</v>
      </c>
    </row>
    <row r="901" customHeight="1" spans="1:15">
      <c r="A901" s="44" t="s">
        <v>637</v>
      </c>
      <c r="B901" s="86">
        <v>45230</v>
      </c>
      <c r="C901" s="44" t="s">
        <v>646</v>
      </c>
      <c r="D901" s="44" t="s">
        <v>639</v>
      </c>
      <c r="E901" s="44" t="s">
        <v>640</v>
      </c>
      <c r="F901" s="44" t="s">
        <v>641</v>
      </c>
      <c r="G901" s="44" t="s">
        <v>642</v>
      </c>
      <c r="H901" s="44" t="s">
        <v>643</v>
      </c>
      <c r="I901" s="44" t="s">
        <v>430</v>
      </c>
      <c r="J901" s="44" t="s">
        <v>644</v>
      </c>
      <c r="K901" s="44" t="s">
        <v>14</v>
      </c>
      <c r="L901" s="104">
        <v>-471567.88</v>
      </c>
      <c r="M901" s="104">
        <v>-444875.36</v>
      </c>
      <c r="N901" s="104">
        <v>-26692.52</v>
      </c>
      <c r="O901" s="44" t="s">
        <v>1590</v>
      </c>
    </row>
    <row r="902" customHeight="1" spans="1:15">
      <c r="A902" s="44" t="s">
        <v>637</v>
      </c>
      <c r="B902" s="86">
        <v>45230</v>
      </c>
      <c r="C902" s="44" t="s">
        <v>646</v>
      </c>
      <c r="D902" s="44" t="s">
        <v>639</v>
      </c>
      <c r="E902" s="44" t="s">
        <v>640</v>
      </c>
      <c r="F902" s="44" t="s">
        <v>689</v>
      </c>
      <c r="G902" s="44" t="s">
        <v>648</v>
      </c>
      <c r="H902" s="44" t="s">
        <v>650</v>
      </c>
      <c r="I902" s="44" t="s">
        <v>690</v>
      </c>
      <c r="J902" s="44" t="s">
        <v>656</v>
      </c>
      <c r="K902" s="44" t="s">
        <v>165</v>
      </c>
      <c r="L902" s="104">
        <v>2375</v>
      </c>
      <c r="M902" s="104">
        <v>2240.57</v>
      </c>
      <c r="N902" s="104">
        <v>134.43</v>
      </c>
      <c r="O902" s="44" t="s">
        <v>1591</v>
      </c>
    </row>
    <row r="903" customHeight="1" spans="1:15">
      <c r="A903" s="44" t="s">
        <v>637</v>
      </c>
      <c r="B903" s="86">
        <v>45230</v>
      </c>
      <c r="C903" s="44" t="s">
        <v>646</v>
      </c>
      <c r="D903" s="44" t="s">
        <v>639</v>
      </c>
      <c r="E903" s="44" t="s">
        <v>640</v>
      </c>
      <c r="F903" s="44" t="s">
        <v>689</v>
      </c>
      <c r="G903" s="44" t="s">
        <v>654</v>
      </c>
      <c r="H903" s="44" t="s">
        <v>697</v>
      </c>
      <c r="I903" s="44" t="s">
        <v>658</v>
      </c>
      <c r="J903" s="44" t="s">
        <v>656</v>
      </c>
      <c r="K903" s="44" t="s">
        <v>350</v>
      </c>
      <c r="L903" s="104">
        <v>64500</v>
      </c>
      <c r="M903" s="104">
        <v>60849.06</v>
      </c>
      <c r="N903" s="104">
        <v>3650.94</v>
      </c>
      <c r="O903" s="44" t="s">
        <v>1592</v>
      </c>
    </row>
    <row r="904" customHeight="1" spans="1:15">
      <c r="A904" s="44" t="s">
        <v>637</v>
      </c>
      <c r="B904" s="86">
        <v>45230</v>
      </c>
      <c r="C904" s="44" t="s">
        <v>646</v>
      </c>
      <c r="D904" s="44" t="s">
        <v>639</v>
      </c>
      <c r="E904" s="44" t="s">
        <v>640</v>
      </c>
      <c r="F904" s="44" t="s">
        <v>641</v>
      </c>
      <c r="G904" s="44" t="s">
        <v>648</v>
      </c>
      <c r="H904" s="44" t="s">
        <v>643</v>
      </c>
      <c r="I904" s="44" t="s">
        <v>430</v>
      </c>
      <c r="J904" s="44" t="s">
        <v>644</v>
      </c>
      <c r="K904" s="44" t="s">
        <v>14</v>
      </c>
      <c r="L904" s="104">
        <v>3158377.71</v>
      </c>
      <c r="M904" s="104">
        <v>2979601.61</v>
      </c>
      <c r="N904" s="104">
        <v>178776.1</v>
      </c>
      <c r="O904" s="44" t="s">
        <v>1593</v>
      </c>
    </row>
    <row r="905" customHeight="1" spans="1:15">
      <c r="A905" s="44" t="s">
        <v>637</v>
      </c>
      <c r="B905" s="86">
        <v>45230</v>
      </c>
      <c r="C905" s="44" t="s">
        <v>646</v>
      </c>
      <c r="D905" s="44" t="s">
        <v>653</v>
      </c>
      <c r="E905" s="44" t="s">
        <v>640</v>
      </c>
      <c r="F905" s="44" t="s">
        <v>659</v>
      </c>
      <c r="G905" s="44" t="s">
        <v>648</v>
      </c>
      <c r="H905" s="44" t="s">
        <v>650</v>
      </c>
      <c r="I905" s="44" t="s">
        <v>462</v>
      </c>
      <c r="J905" s="44" t="s">
        <v>656</v>
      </c>
      <c r="K905" s="44" t="s">
        <v>166</v>
      </c>
      <c r="L905" s="104">
        <v>226563.72</v>
      </c>
      <c r="M905" s="104">
        <v>213739.36</v>
      </c>
      <c r="N905" s="104">
        <v>12824.36</v>
      </c>
      <c r="O905" s="44" t="s">
        <v>1594</v>
      </c>
    </row>
    <row r="906" customHeight="1" spans="1:15">
      <c r="A906" s="44" t="s">
        <v>637</v>
      </c>
      <c r="B906" s="86">
        <v>45230</v>
      </c>
      <c r="C906" s="44" t="s">
        <v>646</v>
      </c>
      <c r="D906" s="44" t="s">
        <v>639</v>
      </c>
      <c r="E906" s="44" t="s">
        <v>640</v>
      </c>
      <c r="F906" s="44" t="s">
        <v>641</v>
      </c>
      <c r="G906" s="44" t="s">
        <v>642</v>
      </c>
      <c r="H906" s="44" t="s">
        <v>643</v>
      </c>
      <c r="I906" s="44" t="s">
        <v>430</v>
      </c>
      <c r="J906" s="44" t="s">
        <v>644</v>
      </c>
      <c r="K906" s="44" t="s">
        <v>14</v>
      </c>
      <c r="L906" s="104">
        <v>-2555347.13</v>
      </c>
      <c r="M906" s="104">
        <v>-2410704.84</v>
      </c>
      <c r="N906" s="104">
        <v>-144642.29</v>
      </c>
      <c r="O906" s="44" t="s">
        <v>1595</v>
      </c>
    </row>
    <row r="907" customHeight="1" spans="1:15">
      <c r="A907" s="44" t="s">
        <v>637</v>
      </c>
      <c r="B907" s="86">
        <v>45230</v>
      </c>
      <c r="C907" s="44" t="s">
        <v>646</v>
      </c>
      <c r="D907" s="44" t="s">
        <v>653</v>
      </c>
      <c r="E907" s="44" t="s">
        <v>640</v>
      </c>
      <c r="F907" s="44" t="s">
        <v>659</v>
      </c>
      <c r="G907" s="44" t="s">
        <v>648</v>
      </c>
      <c r="H907" s="44" t="s">
        <v>650</v>
      </c>
      <c r="I907" s="44" t="s">
        <v>462</v>
      </c>
      <c r="J907" s="44" t="s">
        <v>656</v>
      </c>
      <c r="K907" s="44" t="s">
        <v>166</v>
      </c>
      <c r="L907" s="104">
        <v>344422.23</v>
      </c>
      <c r="M907" s="104">
        <v>324926.63</v>
      </c>
      <c r="N907" s="104">
        <v>19495.6</v>
      </c>
      <c r="O907" s="44" t="s">
        <v>1596</v>
      </c>
    </row>
    <row r="908" customHeight="1" spans="1:15">
      <c r="A908" s="44" t="s">
        <v>637</v>
      </c>
      <c r="B908" s="86">
        <v>45230</v>
      </c>
      <c r="C908" s="44" t="s">
        <v>646</v>
      </c>
      <c r="D908" s="44" t="s">
        <v>639</v>
      </c>
      <c r="E908" s="44" t="s">
        <v>640</v>
      </c>
      <c r="F908" s="44" t="s">
        <v>641</v>
      </c>
      <c r="G908" s="44" t="s">
        <v>642</v>
      </c>
      <c r="H908" s="44" t="s">
        <v>643</v>
      </c>
      <c r="I908" s="44" t="s">
        <v>678</v>
      </c>
      <c r="J908" s="44" t="s">
        <v>656</v>
      </c>
      <c r="K908" s="44" t="s">
        <v>350</v>
      </c>
      <c r="L908" s="104">
        <v>84</v>
      </c>
      <c r="M908" s="104">
        <v>79.25</v>
      </c>
      <c r="N908" s="104">
        <v>4.75</v>
      </c>
      <c r="O908" s="44" t="s">
        <v>1597</v>
      </c>
    </row>
    <row r="909" customHeight="1" spans="1:15">
      <c r="A909" s="44" t="s">
        <v>637</v>
      </c>
      <c r="B909" s="86">
        <v>45230</v>
      </c>
      <c r="C909" s="44" t="s">
        <v>646</v>
      </c>
      <c r="D909" s="44" t="s">
        <v>653</v>
      </c>
      <c r="E909" s="44" t="s">
        <v>640</v>
      </c>
      <c r="F909" s="44" t="s">
        <v>641</v>
      </c>
      <c r="G909" s="44" t="s">
        <v>648</v>
      </c>
      <c r="H909" s="44" t="s">
        <v>697</v>
      </c>
      <c r="I909" s="44" t="s">
        <v>462</v>
      </c>
      <c r="J909" s="44" t="s">
        <v>656</v>
      </c>
      <c r="K909" s="44" t="s">
        <v>166</v>
      </c>
      <c r="L909" s="104">
        <v>86105.56</v>
      </c>
      <c r="M909" s="104">
        <v>81231.66</v>
      </c>
      <c r="N909" s="104">
        <v>4873.9</v>
      </c>
      <c r="O909" s="44" t="s">
        <v>1598</v>
      </c>
    </row>
    <row r="910" customHeight="1" spans="1:15">
      <c r="A910" s="44" t="s">
        <v>637</v>
      </c>
      <c r="B910" s="86">
        <v>45230</v>
      </c>
      <c r="C910" s="44" t="s">
        <v>1382</v>
      </c>
      <c r="D910" s="44" t="s">
        <v>639</v>
      </c>
      <c r="E910" s="44" t="s">
        <v>647</v>
      </c>
      <c r="F910" s="44" t="s">
        <v>689</v>
      </c>
      <c r="G910" s="44" t="s">
        <v>654</v>
      </c>
      <c r="H910" s="44" t="s">
        <v>697</v>
      </c>
      <c r="I910" s="44" t="s">
        <v>665</v>
      </c>
      <c r="J910" s="44" t="s">
        <v>656</v>
      </c>
      <c r="K910" s="44" t="s">
        <v>350</v>
      </c>
      <c r="L910" s="104">
        <v>6632.5</v>
      </c>
      <c r="M910" s="104">
        <v>6257.07</v>
      </c>
      <c r="N910" s="104">
        <v>375.43</v>
      </c>
      <c r="O910" s="44" t="s">
        <v>1599</v>
      </c>
    </row>
    <row r="911" customHeight="1" spans="1:15">
      <c r="A911" s="44" t="s">
        <v>637</v>
      </c>
      <c r="B911" s="86">
        <v>45230</v>
      </c>
      <c r="C911" s="44" t="s">
        <v>811</v>
      </c>
      <c r="D911" s="44" t="s">
        <v>1296</v>
      </c>
      <c r="E911" s="44" t="s">
        <v>647</v>
      </c>
      <c r="F911" s="44" t="s">
        <v>641</v>
      </c>
      <c r="G911" s="44" t="s">
        <v>648</v>
      </c>
      <c r="H911" s="44" t="s">
        <v>643</v>
      </c>
      <c r="I911" s="44" t="s">
        <v>430</v>
      </c>
      <c r="J911" s="44" t="s">
        <v>644</v>
      </c>
      <c r="K911" s="44" t="s">
        <v>14</v>
      </c>
      <c r="L911" s="104">
        <v>492263.26</v>
      </c>
      <c r="M911" s="104">
        <v>464399.3</v>
      </c>
      <c r="N911" s="104">
        <v>27863.96</v>
      </c>
      <c r="O911" s="44" t="s">
        <v>1600</v>
      </c>
    </row>
    <row r="912" customHeight="1" spans="1:15">
      <c r="A912" s="44" t="s">
        <v>637</v>
      </c>
      <c r="B912" s="86">
        <v>45230</v>
      </c>
      <c r="C912" s="44" t="s">
        <v>646</v>
      </c>
      <c r="D912" s="44" t="s">
        <v>639</v>
      </c>
      <c r="E912" s="44" t="s">
        <v>647</v>
      </c>
      <c r="F912" s="44" t="s">
        <v>641</v>
      </c>
      <c r="G912" s="44" t="s">
        <v>648</v>
      </c>
      <c r="H912" s="44" t="s">
        <v>643</v>
      </c>
      <c r="I912" s="44" t="s">
        <v>430</v>
      </c>
      <c r="J912" s="44" t="s">
        <v>644</v>
      </c>
      <c r="K912" s="44" t="s">
        <v>14</v>
      </c>
      <c r="L912" s="104">
        <v>11246.8</v>
      </c>
      <c r="M912" s="104">
        <v>10610.18</v>
      </c>
      <c r="N912" s="104">
        <v>636.62</v>
      </c>
      <c r="O912" s="44" t="s">
        <v>1601</v>
      </c>
    </row>
    <row r="913" customHeight="1" spans="1:15">
      <c r="A913" s="44" t="s">
        <v>637</v>
      </c>
      <c r="B913" s="86">
        <v>45230</v>
      </c>
      <c r="C913" s="44" t="s">
        <v>811</v>
      </c>
      <c r="D913" s="44" t="s">
        <v>1284</v>
      </c>
      <c r="E913" s="44" t="s">
        <v>647</v>
      </c>
      <c r="F913" s="44" t="s">
        <v>641</v>
      </c>
      <c r="G913" s="44" t="s">
        <v>648</v>
      </c>
      <c r="H913" s="44" t="s">
        <v>643</v>
      </c>
      <c r="I913" s="44" t="s">
        <v>430</v>
      </c>
      <c r="J913" s="44" t="s">
        <v>644</v>
      </c>
      <c r="K913" s="44" t="s">
        <v>14</v>
      </c>
      <c r="L913" s="104">
        <v>6270</v>
      </c>
      <c r="M913" s="104">
        <v>5915.09</v>
      </c>
      <c r="N913" s="104">
        <v>354.91</v>
      </c>
      <c r="O913" s="44" t="s">
        <v>1602</v>
      </c>
    </row>
    <row r="914" customHeight="1" spans="1:15">
      <c r="A914" s="44" t="s">
        <v>637</v>
      </c>
      <c r="B914" s="86">
        <v>45230</v>
      </c>
      <c r="C914" s="44" t="s">
        <v>646</v>
      </c>
      <c r="D914" s="44" t="s">
        <v>639</v>
      </c>
      <c r="E914" s="44" t="s">
        <v>647</v>
      </c>
      <c r="F914" s="44" t="s">
        <v>689</v>
      </c>
      <c r="G914" s="44" t="s">
        <v>654</v>
      </c>
      <c r="H914" s="44" t="s">
        <v>697</v>
      </c>
      <c r="I914" s="44" t="s">
        <v>658</v>
      </c>
      <c r="J914" s="44" t="s">
        <v>656</v>
      </c>
      <c r="K914" s="44" t="s">
        <v>350</v>
      </c>
      <c r="L914" s="104">
        <v>39000</v>
      </c>
      <c r="M914" s="104">
        <v>36792.45</v>
      </c>
      <c r="N914" s="104">
        <v>2207.55</v>
      </c>
      <c r="O914" s="44" t="s">
        <v>1603</v>
      </c>
    </row>
    <row r="915" customHeight="1" spans="1:15">
      <c r="A915" s="44" t="s">
        <v>637</v>
      </c>
      <c r="B915" s="86">
        <v>45230</v>
      </c>
      <c r="C915" s="44" t="s">
        <v>811</v>
      </c>
      <c r="D915" s="44" t="s">
        <v>639</v>
      </c>
      <c r="E915" s="44" t="s">
        <v>647</v>
      </c>
      <c r="F915" s="44" t="s">
        <v>641</v>
      </c>
      <c r="G915" s="44" t="s">
        <v>642</v>
      </c>
      <c r="H915" s="44" t="s">
        <v>650</v>
      </c>
      <c r="I915" s="44" t="s">
        <v>430</v>
      </c>
      <c r="J915" s="44" t="s">
        <v>644</v>
      </c>
      <c r="K915" s="44" t="s">
        <v>14</v>
      </c>
      <c r="L915" s="104">
        <v>1127765.31</v>
      </c>
      <c r="M915" s="104">
        <v>1063929.57</v>
      </c>
      <c r="N915" s="104">
        <v>63835.74</v>
      </c>
      <c r="O915" s="44" t="s">
        <v>1604</v>
      </c>
    </row>
    <row r="916" customHeight="1" spans="1:15">
      <c r="A916" s="44" t="s">
        <v>637</v>
      </c>
      <c r="B916" s="86">
        <v>45230</v>
      </c>
      <c r="C916" s="44" t="s">
        <v>992</v>
      </c>
      <c r="D916" s="44" t="s">
        <v>639</v>
      </c>
      <c r="E916" s="44" t="s">
        <v>647</v>
      </c>
      <c r="F916" s="44" t="s">
        <v>641</v>
      </c>
      <c r="G916" s="44" t="s">
        <v>648</v>
      </c>
      <c r="H916" s="44" t="s">
        <v>643</v>
      </c>
      <c r="I916" s="44" t="s">
        <v>430</v>
      </c>
      <c r="J916" s="44" t="s">
        <v>644</v>
      </c>
      <c r="K916" s="44" t="s">
        <v>14</v>
      </c>
      <c r="L916" s="104">
        <v>108493.6</v>
      </c>
      <c r="M916" s="104">
        <v>102352.42</v>
      </c>
      <c r="N916" s="104">
        <v>6141.18</v>
      </c>
      <c r="O916" s="44" t="s">
        <v>1605</v>
      </c>
    </row>
    <row r="917" customHeight="1" spans="1:15">
      <c r="A917" s="44" t="s">
        <v>637</v>
      </c>
      <c r="B917" s="86">
        <v>45230</v>
      </c>
      <c r="C917" s="44" t="s">
        <v>646</v>
      </c>
      <c r="D917" s="44" t="s">
        <v>639</v>
      </c>
      <c r="E917" s="44" t="s">
        <v>647</v>
      </c>
      <c r="F917" s="44" t="s">
        <v>641</v>
      </c>
      <c r="G917" s="44" t="s">
        <v>642</v>
      </c>
      <c r="H917" s="44" t="s">
        <v>650</v>
      </c>
      <c r="I917" s="44" t="s">
        <v>430</v>
      </c>
      <c r="J917" s="44" t="s">
        <v>644</v>
      </c>
      <c r="K917" s="44" t="s">
        <v>14</v>
      </c>
      <c r="L917" s="104">
        <v>3174119.95</v>
      </c>
      <c r="M917" s="104">
        <v>2994452.78</v>
      </c>
      <c r="N917" s="104">
        <v>179667.17</v>
      </c>
      <c r="O917" s="44" t="s">
        <v>1606</v>
      </c>
    </row>
    <row r="918" customHeight="1" spans="1:15">
      <c r="A918" s="44" t="s">
        <v>637</v>
      </c>
      <c r="B918" s="86">
        <v>45230</v>
      </c>
      <c r="C918" s="44" t="s">
        <v>811</v>
      </c>
      <c r="D918" s="44" t="s">
        <v>726</v>
      </c>
      <c r="E918" s="44" t="s">
        <v>647</v>
      </c>
      <c r="F918" s="44" t="s">
        <v>641</v>
      </c>
      <c r="G918" s="44" t="s">
        <v>648</v>
      </c>
      <c r="H918" s="44" t="s">
        <v>643</v>
      </c>
      <c r="I918" s="44" t="s">
        <v>430</v>
      </c>
      <c r="J918" s="44" t="s">
        <v>644</v>
      </c>
      <c r="K918" s="44" t="s">
        <v>14</v>
      </c>
      <c r="L918" s="104">
        <v>377260.41</v>
      </c>
      <c r="M918" s="104">
        <v>355906.06</v>
      </c>
      <c r="N918" s="104">
        <v>21354.35</v>
      </c>
      <c r="O918" s="44" t="s">
        <v>1607</v>
      </c>
    </row>
    <row r="919" customHeight="1" spans="1:15">
      <c r="A919" s="44" t="s">
        <v>637</v>
      </c>
      <c r="B919" s="86">
        <v>45230</v>
      </c>
      <c r="C919" s="44" t="s">
        <v>811</v>
      </c>
      <c r="D919" s="44" t="s">
        <v>1608</v>
      </c>
      <c r="E919" s="44" t="s">
        <v>647</v>
      </c>
      <c r="F919" s="44" t="s">
        <v>641</v>
      </c>
      <c r="G919" s="44" t="s">
        <v>648</v>
      </c>
      <c r="H919" s="44" t="s">
        <v>643</v>
      </c>
      <c r="I919" s="44" t="s">
        <v>430</v>
      </c>
      <c r="J919" s="44" t="s">
        <v>644</v>
      </c>
      <c r="K919" s="44" t="s">
        <v>14</v>
      </c>
      <c r="L919" s="104">
        <v>9</v>
      </c>
      <c r="M919" s="104">
        <v>8.49</v>
      </c>
      <c r="N919" s="104">
        <v>0.51</v>
      </c>
      <c r="O919" s="44" t="s">
        <v>1609</v>
      </c>
    </row>
    <row r="920" customHeight="1" spans="1:15">
      <c r="A920" s="44" t="s">
        <v>637</v>
      </c>
      <c r="B920" s="86">
        <v>45230</v>
      </c>
      <c r="C920" s="44" t="s">
        <v>700</v>
      </c>
      <c r="D920" s="44" t="s">
        <v>639</v>
      </c>
      <c r="E920" s="44" t="s">
        <v>640</v>
      </c>
      <c r="F920" s="44" t="s">
        <v>641</v>
      </c>
      <c r="G920" s="44" t="s">
        <v>648</v>
      </c>
      <c r="H920" s="44" t="s">
        <v>643</v>
      </c>
      <c r="I920" s="44" t="s">
        <v>430</v>
      </c>
      <c r="J920" s="44" t="s">
        <v>644</v>
      </c>
      <c r="K920" s="44" t="s">
        <v>14</v>
      </c>
      <c r="L920" s="104">
        <v>17062.29</v>
      </c>
      <c r="M920" s="104">
        <v>16096.5</v>
      </c>
      <c r="N920" s="104">
        <v>965.79</v>
      </c>
      <c r="O920" s="44" t="s">
        <v>1610</v>
      </c>
    </row>
    <row r="921" customHeight="1" spans="1:15">
      <c r="A921" s="44" t="s">
        <v>637</v>
      </c>
      <c r="B921" s="86">
        <v>45230</v>
      </c>
      <c r="C921" s="44" t="s">
        <v>700</v>
      </c>
      <c r="D921" s="44" t="s">
        <v>639</v>
      </c>
      <c r="E921" s="44" t="s">
        <v>647</v>
      </c>
      <c r="F921" s="44" t="s">
        <v>641</v>
      </c>
      <c r="G921" s="44" t="s">
        <v>648</v>
      </c>
      <c r="H921" s="44" t="s">
        <v>643</v>
      </c>
      <c r="I921" s="44" t="s">
        <v>442</v>
      </c>
      <c r="J921" s="44" t="s">
        <v>644</v>
      </c>
      <c r="K921" s="44" t="s">
        <v>14</v>
      </c>
      <c r="L921" s="104">
        <v>842871.42</v>
      </c>
      <c r="M921" s="104">
        <v>795161.72</v>
      </c>
      <c r="N921" s="104">
        <v>47709.7</v>
      </c>
      <c r="O921" s="44" t="s">
        <v>1611</v>
      </c>
    </row>
    <row r="922" customHeight="1" spans="1:15">
      <c r="A922" s="44" t="s">
        <v>637</v>
      </c>
      <c r="B922" s="86">
        <v>45230</v>
      </c>
      <c r="C922" s="44" t="s">
        <v>700</v>
      </c>
      <c r="D922" s="44" t="s">
        <v>639</v>
      </c>
      <c r="E922" s="44" t="s">
        <v>647</v>
      </c>
      <c r="F922" s="44" t="s">
        <v>659</v>
      </c>
      <c r="G922" s="44" t="s">
        <v>642</v>
      </c>
      <c r="H922" s="44" t="s">
        <v>650</v>
      </c>
      <c r="I922" s="44" t="s">
        <v>442</v>
      </c>
      <c r="J922" s="44" t="s">
        <v>644</v>
      </c>
      <c r="K922" s="44" t="s">
        <v>14</v>
      </c>
      <c r="L922" s="104">
        <v>20856.36</v>
      </c>
      <c r="M922" s="104">
        <v>19675.85</v>
      </c>
      <c r="N922" s="104">
        <v>1180.51</v>
      </c>
      <c r="O922" s="44" t="s">
        <v>1612</v>
      </c>
    </row>
    <row r="923" customHeight="1" spans="1:15">
      <c r="A923" s="44" t="s">
        <v>637</v>
      </c>
      <c r="B923" s="86">
        <v>45230</v>
      </c>
      <c r="C923" s="44" t="s">
        <v>710</v>
      </c>
      <c r="D923" s="44" t="s">
        <v>639</v>
      </c>
      <c r="E923" s="44" t="s">
        <v>647</v>
      </c>
      <c r="F923" s="44" t="s">
        <v>707</v>
      </c>
      <c r="G923" s="44" t="s">
        <v>648</v>
      </c>
      <c r="H923" s="44" t="s">
        <v>650</v>
      </c>
      <c r="I923" s="44" t="s">
        <v>723</v>
      </c>
      <c r="J923" s="44" t="s">
        <v>644</v>
      </c>
      <c r="K923" s="44" t="s">
        <v>165</v>
      </c>
      <c r="L923" s="104">
        <v>580831</v>
      </c>
      <c r="M923" s="104">
        <v>547953.8</v>
      </c>
      <c r="N923" s="104">
        <v>32877.2</v>
      </c>
      <c r="O923" s="44" t="s">
        <v>1613</v>
      </c>
    </row>
    <row r="924" customHeight="1" spans="1:15">
      <c r="A924" s="44" t="s">
        <v>637</v>
      </c>
      <c r="B924" s="86">
        <v>45230</v>
      </c>
      <c r="C924" s="44" t="s">
        <v>715</v>
      </c>
      <c r="D924" s="44" t="s">
        <v>653</v>
      </c>
      <c r="E924" s="44" t="s">
        <v>647</v>
      </c>
      <c r="F924" s="44" t="s">
        <v>659</v>
      </c>
      <c r="G924" s="44" t="s">
        <v>648</v>
      </c>
      <c r="H924" s="44" t="s">
        <v>650</v>
      </c>
      <c r="I924" s="44" t="s">
        <v>716</v>
      </c>
      <c r="J924" s="44" t="s">
        <v>656</v>
      </c>
      <c r="K924" s="44" t="s">
        <v>166</v>
      </c>
      <c r="L924" s="104">
        <v>431.55</v>
      </c>
      <c r="M924" s="104">
        <v>407.09</v>
      </c>
      <c r="N924" s="104">
        <v>24.46</v>
      </c>
      <c r="O924" s="44" t="s">
        <v>1614</v>
      </c>
    </row>
    <row r="925" customHeight="1" spans="1:15">
      <c r="A925" s="44" t="s">
        <v>637</v>
      </c>
      <c r="B925" s="86">
        <v>45230</v>
      </c>
      <c r="C925" s="44" t="s">
        <v>700</v>
      </c>
      <c r="D925" s="44" t="s">
        <v>639</v>
      </c>
      <c r="E925" s="44" t="s">
        <v>647</v>
      </c>
      <c r="F925" s="44" t="s">
        <v>641</v>
      </c>
      <c r="G925" s="44" t="s">
        <v>648</v>
      </c>
      <c r="H925" s="44" t="s">
        <v>650</v>
      </c>
      <c r="I925" s="44" t="s">
        <v>460</v>
      </c>
      <c r="J925" s="44" t="s">
        <v>644</v>
      </c>
      <c r="K925" s="44" t="s">
        <v>14</v>
      </c>
      <c r="L925" s="104">
        <v>541514.69</v>
      </c>
      <c r="M925" s="104">
        <v>510862.91</v>
      </c>
      <c r="N925" s="104">
        <v>30651.78</v>
      </c>
      <c r="O925" s="44" t="s">
        <v>1615</v>
      </c>
    </row>
    <row r="926" customHeight="1" spans="1:15">
      <c r="A926" s="44" t="s">
        <v>637</v>
      </c>
      <c r="B926" s="86">
        <v>45230</v>
      </c>
      <c r="C926" s="44" t="s">
        <v>700</v>
      </c>
      <c r="D926" s="44" t="s">
        <v>639</v>
      </c>
      <c r="E926" s="44" t="s">
        <v>647</v>
      </c>
      <c r="F926" s="44" t="s">
        <v>641</v>
      </c>
      <c r="G926" s="44" t="s">
        <v>648</v>
      </c>
      <c r="H926" s="44" t="s">
        <v>643</v>
      </c>
      <c r="I926" s="44" t="s">
        <v>430</v>
      </c>
      <c r="J926" s="44" t="s">
        <v>644</v>
      </c>
      <c r="K926" s="44" t="s">
        <v>14</v>
      </c>
      <c r="L926" s="104">
        <v>347868.34</v>
      </c>
      <c r="M926" s="104">
        <v>328177.68</v>
      </c>
      <c r="N926" s="104">
        <v>19690.66</v>
      </c>
      <c r="O926" s="44" t="s">
        <v>1616</v>
      </c>
    </row>
    <row r="927" customHeight="1" spans="1:15">
      <c r="A927" s="44" t="s">
        <v>637</v>
      </c>
      <c r="B927" s="86">
        <v>45230</v>
      </c>
      <c r="C927" s="44" t="s">
        <v>710</v>
      </c>
      <c r="D927" s="44" t="s">
        <v>639</v>
      </c>
      <c r="E927" s="44" t="s">
        <v>640</v>
      </c>
      <c r="F927" s="44" t="s">
        <v>707</v>
      </c>
      <c r="G927" s="44" t="s">
        <v>648</v>
      </c>
      <c r="H927" s="44" t="s">
        <v>650</v>
      </c>
      <c r="I927" s="44" t="s">
        <v>723</v>
      </c>
      <c r="J927" s="44" t="s">
        <v>644</v>
      </c>
      <c r="K927" s="44" t="s">
        <v>165</v>
      </c>
      <c r="L927" s="104">
        <v>-23331</v>
      </c>
      <c r="M927" s="104">
        <v>-22010.38</v>
      </c>
      <c r="N927" s="104">
        <v>-1320.62</v>
      </c>
      <c r="O927" s="44" t="s">
        <v>1617</v>
      </c>
    </row>
    <row r="928" customHeight="1" spans="1:15">
      <c r="A928" s="44" t="s">
        <v>637</v>
      </c>
      <c r="B928" s="86">
        <v>45230</v>
      </c>
      <c r="C928" s="44" t="s">
        <v>730</v>
      </c>
      <c r="D928" s="44" t="s">
        <v>653</v>
      </c>
      <c r="E928" s="44" t="s">
        <v>640</v>
      </c>
      <c r="F928" s="44" t="s">
        <v>659</v>
      </c>
      <c r="G928" s="44" t="s">
        <v>654</v>
      </c>
      <c r="H928" s="44" t="s">
        <v>650</v>
      </c>
      <c r="I928" s="44" t="s">
        <v>719</v>
      </c>
      <c r="J928" s="44" t="s">
        <v>656</v>
      </c>
      <c r="K928" s="44" t="s">
        <v>166</v>
      </c>
      <c r="L928" s="104">
        <v>248.16</v>
      </c>
      <c r="M928" s="104">
        <v>234.11</v>
      </c>
      <c r="N928" s="104">
        <v>14.05</v>
      </c>
      <c r="O928" s="44" t="s">
        <v>1618</v>
      </c>
    </row>
    <row r="929" customHeight="1" spans="1:15">
      <c r="A929" s="44" t="s">
        <v>637</v>
      </c>
      <c r="B929" s="86">
        <v>45230</v>
      </c>
      <c r="C929" s="44" t="s">
        <v>811</v>
      </c>
      <c r="D929" s="44" t="s">
        <v>639</v>
      </c>
      <c r="E929" s="44" t="s">
        <v>640</v>
      </c>
      <c r="F929" s="44" t="s">
        <v>641</v>
      </c>
      <c r="G929" s="44" t="s">
        <v>642</v>
      </c>
      <c r="H929" s="44" t="s">
        <v>643</v>
      </c>
      <c r="I929" s="44" t="s">
        <v>430</v>
      </c>
      <c r="J929" s="44" t="s">
        <v>656</v>
      </c>
      <c r="K929" s="44" t="s">
        <v>14</v>
      </c>
      <c r="L929" s="104">
        <v>84017.31</v>
      </c>
      <c r="M929" s="104">
        <v>79261.61</v>
      </c>
      <c r="N929" s="104">
        <v>4755.7</v>
      </c>
      <c r="O929" s="44" t="s">
        <v>1619</v>
      </c>
    </row>
    <row r="930" customHeight="1" spans="1:15">
      <c r="A930" s="44" t="s">
        <v>637</v>
      </c>
      <c r="B930" s="86">
        <v>45230</v>
      </c>
      <c r="C930" s="44" t="s">
        <v>811</v>
      </c>
      <c r="D930" s="44" t="s">
        <v>639</v>
      </c>
      <c r="E930" s="44" t="s">
        <v>640</v>
      </c>
      <c r="F930" s="44" t="s">
        <v>641</v>
      </c>
      <c r="G930" s="44" t="s">
        <v>642</v>
      </c>
      <c r="H930" s="44" t="s">
        <v>643</v>
      </c>
      <c r="I930" s="44" t="s">
        <v>430</v>
      </c>
      <c r="J930" s="44" t="s">
        <v>656</v>
      </c>
      <c r="K930" s="44" t="s">
        <v>14</v>
      </c>
      <c r="L930" s="104">
        <v>-9877.35</v>
      </c>
      <c r="M930" s="104">
        <v>-9318.25</v>
      </c>
      <c r="N930" s="104">
        <v>-559.1</v>
      </c>
      <c r="O930" s="44" t="s">
        <v>1620</v>
      </c>
    </row>
    <row r="931" customHeight="1" spans="1:15">
      <c r="A931" s="44" t="s">
        <v>637</v>
      </c>
      <c r="B931" s="86">
        <v>45230</v>
      </c>
      <c r="C931" s="44" t="s">
        <v>811</v>
      </c>
      <c r="D931" s="44" t="s">
        <v>639</v>
      </c>
      <c r="E931" s="44" t="s">
        <v>640</v>
      </c>
      <c r="F931" s="44" t="s">
        <v>641</v>
      </c>
      <c r="G931" s="44" t="s">
        <v>648</v>
      </c>
      <c r="H931" s="44" t="s">
        <v>643</v>
      </c>
      <c r="I931" s="44" t="s">
        <v>430</v>
      </c>
      <c r="J931" s="44" t="s">
        <v>656</v>
      </c>
      <c r="K931" s="44" t="s">
        <v>14</v>
      </c>
      <c r="L931" s="104">
        <v>-108351</v>
      </c>
      <c r="M931" s="104">
        <v>-102217.92</v>
      </c>
      <c r="N931" s="104">
        <v>-6133.08</v>
      </c>
      <c r="O931" s="44" t="s">
        <v>1621</v>
      </c>
    </row>
    <row r="932" customHeight="1" spans="1:15">
      <c r="A932" s="44" t="s">
        <v>637</v>
      </c>
      <c r="B932" s="86">
        <v>45230</v>
      </c>
      <c r="C932" s="44" t="s">
        <v>811</v>
      </c>
      <c r="D932" s="44" t="s">
        <v>639</v>
      </c>
      <c r="E932" s="44" t="s">
        <v>640</v>
      </c>
      <c r="F932" s="44" t="s">
        <v>641</v>
      </c>
      <c r="G932" s="44" t="s">
        <v>648</v>
      </c>
      <c r="H932" s="44" t="s">
        <v>643</v>
      </c>
      <c r="I932" s="44" t="s">
        <v>430</v>
      </c>
      <c r="J932" s="44" t="s">
        <v>656</v>
      </c>
      <c r="K932" s="44" t="s">
        <v>14</v>
      </c>
      <c r="L932" s="104">
        <v>-55743.73</v>
      </c>
      <c r="M932" s="104">
        <v>-52588.42</v>
      </c>
      <c r="N932" s="104">
        <v>-3155.31</v>
      </c>
      <c r="O932" s="44" t="s">
        <v>1622</v>
      </c>
    </row>
    <row r="933" customHeight="1" spans="1:15">
      <c r="A933" s="44" t="s">
        <v>637</v>
      </c>
      <c r="B933" s="86">
        <v>45230</v>
      </c>
      <c r="C933" s="44" t="s">
        <v>748</v>
      </c>
      <c r="D933" s="44" t="s">
        <v>639</v>
      </c>
      <c r="E933" s="44" t="s">
        <v>640</v>
      </c>
      <c r="F933" s="44" t="s">
        <v>641</v>
      </c>
      <c r="G933" s="44" t="s">
        <v>642</v>
      </c>
      <c r="H933" s="44" t="s">
        <v>650</v>
      </c>
      <c r="I933" s="44" t="s">
        <v>436</v>
      </c>
      <c r="J933" s="44" t="s">
        <v>644</v>
      </c>
      <c r="K933" s="44" t="s">
        <v>350</v>
      </c>
      <c r="L933" s="104">
        <v>-95</v>
      </c>
      <c r="M933" s="104">
        <v>-89.62</v>
      </c>
      <c r="N933" s="104">
        <v>-5.38</v>
      </c>
      <c r="O933" s="44" t="s">
        <v>1623</v>
      </c>
    </row>
    <row r="934" customHeight="1" spans="1:15">
      <c r="A934" s="44" t="s">
        <v>637</v>
      </c>
      <c r="B934" s="86">
        <v>45230</v>
      </c>
      <c r="C934" s="44" t="s">
        <v>748</v>
      </c>
      <c r="D934" s="44" t="s">
        <v>639</v>
      </c>
      <c r="E934" s="44" t="s">
        <v>640</v>
      </c>
      <c r="F934" s="44" t="s">
        <v>641</v>
      </c>
      <c r="G934" s="44" t="s">
        <v>642</v>
      </c>
      <c r="H934" s="44" t="s">
        <v>697</v>
      </c>
      <c r="I934" s="44" t="s">
        <v>702</v>
      </c>
      <c r="J934" s="44" t="s">
        <v>656</v>
      </c>
      <c r="K934" s="44" t="s">
        <v>350</v>
      </c>
      <c r="L934" s="104">
        <v>291.25</v>
      </c>
      <c r="M934" s="104">
        <v>274.76</v>
      </c>
      <c r="N934" s="104">
        <v>16.49</v>
      </c>
      <c r="O934" s="44" t="s">
        <v>1624</v>
      </c>
    </row>
    <row r="935" customHeight="1" spans="1:15">
      <c r="A935" s="44" t="s">
        <v>637</v>
      </c>
      <c r="B935" s="86">
        <v>45230</v>
      </c>
      <c r="C935" s="44" t="s">
        <v>748</v>
      </c>
      <c r="D935" s="44" t="s">
        <v>639</v>
      </c>
      <c r="E935" s="44" t="s">
        <v>640</v>
      </c>
      <c r="F935" s="44" t="s">
        <v>641</v>
      </c>
      <c r="G935" s="44" t="s">
        <v>648</v>
      </c>
      <c r="H935" s="44" t="s">
        <v>643</v>
      </c>
      <c r="I935" s="44" t="s">
        <v>430</v>
      </c>
      <c r="J935" s="44" t="s">
        <v>644</v>
      </c>
      <c r="K935" s="44" t="s">
        <v>14</v>
      </c>
      <c r="L935" s="104">
        <v>-3104.8</v>
      </c>
      <c r="M935" s="104">
        <v>-2929.06</v>
      </c>
      <c r="N935" s="104">
        <v>-175.74</v>
      </c>
      <c r="O935" s="44" t="s">
        <v>1625</v>
      </c>
    </row>
    <row r="936" customHeight="1" spans="1:15">
      <c r="A936" s="44" t="s">
        <v>637</v>
      </c>
      <c r="B936" s="86">
        <v>45230</v>
      </c>
      <c r="C936" s="44" t="s">
        <v>748</v>
      </c>
      <c r="D936" s="44" t="s">
        <v>639</v>
      </c>
      <c r="E936" s="44" t="s">
        <v>640</v>
      </c>
      <c r="F936" s="44" t="s">
        <v>749</v>
      </c>
      <c r="G936" s="44" t="s">
        <v>642</v>
      </c>
      <c r="H936" s="44" t="s">
        <v>650</v>
      </c>
      <c r="I936" s="44" t="s">
        <v>662</v>
      </c>
      <c r="J936" s="44" t="s">
        <v>644</v>
      </c>
      <c r="K936" s="44" t="s">
        <v>350</v>
      </c>
      <c r="L936" s="104">
        <v>505871.92</v>
      </c>
      <c r="M936" s="104">
        <v>477237.66</v>
      </c>
      <c r="N936" s="104">
        <v>28634.26</v>
      </c>
      <c r="O936" s="44" t="s">
        <v>1626</v>
      </c>
    </row>
    <row r="937" customHeight="1" spans="1:15">
      <c r="A937" s="44" t="s">
        <v>637</v>
      </c>
      <c r="B937" s="86">
        <v>45230</v>
      </c>
      <c r="C937" s="44" t="s">
        <v>748</v>
      </c>
      <c r="D937" s="44" t="s">
        <v>653</v>
      </c>
      <c r="E937" s="44" t="s">
        <v>640</v>
      </c>
      <c r="F937" s="44" t="s">
        <v>659</v>
      </c>
      <c r="G937" s="44" t="s">
        <v>642</v>
      </c>
      <c r="H937" s="44" t="s">
        <v>650</v>
      </c>
      <c r="I937" s="44" t="s">
        <v>728</v>
      </c>
      <c r="J937" s="44" t="s">
        <v>656</v>
      </c>
      <c r="K937" s="44" t="s">
        <v>166</v>
      </c>
      <c r="L937" s="104">
        <v>-982.93</v>
      </c>
      <c r="M937" s="104">
        <v>-927.29</v>
      </c>
      <c r="N937" s="104">
        <v>-55.64</v>
      </c>
      <c r="O937" s="44" t="s">
        <v>1627</v>
      </c>
    </row>
    <row r="938" customHeight="1" spans="1:15">
      <c r="A938" s="44" t="s">
        <v>637</v>
      </c>
      <c r="B938" s="86">
        <v>45230</v>
      </c>
      <c r="C938" s="44" t="s">
        <v>748</v>
      </c>
      <c r="D938" s="44" t="s">
        <v>653</v>
      </c>
      <c r="E938" s="44" t="s">
        <v>640</v>
      </c>
      <c r="F938" s="44" t="s">
        <v>659</v>
      </c>
      <c r="G938" s="44" t="s">
        <v>642</v>
      </c>
      <c r="H938" s="44" t="s">
        <v>650</v>
      </c>
      <c r="I938" s="44" t="s">
        <v>429</v>
      </c>
      <c r="J938" s="44" t="s">
        <v>656</v>
      </c>
      <c r="K938" s="44" t="s">
        <v>166</v>
      </c>
      <c r="L938" s="104">
        <v>-215.32</v>
      </c>
      <c r="M938" s="104">
        <v>-203.13</v>
      </c>
      <c r="N938" s="104">
        <v>-12.19</v>
      </c>
      <c r="O938" s="44" t="s">
        <v>1628</v>
      </c>
    </row>
    <row r="939" customHeight="1" spans="1:15">
      <c r="A939" s="44" t="s">
        <v>637</v>
      </c>
      <c r="B939" s="86">
        <v>45230</v>
      </c>
      <c r="C939" s="44" t="s">
        <v>748</v>
      </c>
      <c r="D939" s="44" t="s">
        <v>639</v>
      </c>
      <c r="E939" s="44" t="s">
        <v>640</v>
      </c>
      <c r="F939" s="44" t="s">
        <v>641</v>
      </c>
      <c r="G939" s="44" t="s">
        <v>642</v>
      </c>
      <c r="H939" s="44" t="s">
        <v>643</v>
      </c>
      <c r="I939" s="44" t="s">
        <v>430</v>
      </c>
      <c r="J939" s="44" t="s">
        <v>644</v>
      </c>
      <c r="K939" s="44" t="s">
        <v>14</v>
      </c>
      <c r="L939" s="104">
        <v>-19770.17</v>
      </c>
      <c r="M939" s="104">
        <v>-18651.1</v>
      </c>
      <c r="N939" s="104">
        <v>-1119.07</v>
      </c>
      <c r="O939" s="44" t="s">
        <v>1629</v>
      </c>
    </row>
    <row r="940" customHeight="1" spans="1:15">
      <c r="A940" s="44" t="s">
        <v>637</v>
      </c>
      <c r="B940" s="86">
        <v>45230</v>
      </c>
      <c r="C940" s="44" t="s">
        <v>748</v>
      </c>
      <c r="D940" s="44" t="s">
        <v>639</v>
      </c>
      <c r="E940" s="44" t="s">
        <v>640</v>
      </c>
      <c r="F940" s="44" t="s">
        <v>641</v>
      </c>
      <c r="G940" s="44" t="s">
        <v>642</v>
      </c>
      <c r="H940" s="44" t="s">
        <v>650</v>
      </c>
      <c r="I940" s="44" t="s">
        <v>444</v>
      </c>
      <c r="J940" s="44" t="s">
        <v>644</v>
      </c>
      <c r="K940" s="44" t="s">
        <v>14</v>
      </c>
      <c r="L940" s="104">
        <v>1848.64</v>
      </c>
      <c r="M940" s="104">
        <v>1744</v>
      </c>
      <c r="N940" s="104">
        <v>104.64</v>
      </c>
      <c r="O940" s="44" t="s">
        <v>1630</v>
      </c>
    </row>
    <row r="941" customHeight="1" spans="1:15">
      <c r="A941" s="44" t="s">
        <v>637</v>
      </c>
      <c r="B941" s="86">
        <v>45230</v>
      </c>
      <c r="C941" s="44" t="s">
        <v>748</v>
      </c>
      <c r="D941" s="44" t="s">
        <v>653</v>
      </c>
      <c r="E941" s="44" t="s">
        <v>640</v>
      </c>
      <c r="F941" s="44" t="s">
        <v>659</v>
      </c>
      <c r="G941" s="44" t="s">
        <v>648</v>
      </c>
      <c r="H941" s="44" t="s">
        <v>650</v>
      </c>
      <c r="I941" s="44" t="s">
        <v>728</v>
      </c>
      <c r="J941" s="44" t="s">
        <v>656</v>
      </c>
      <c r="K941" s="44" t="s">
        <v>166</v>
      </c>
      <c r="L941" s="104">
        <v>1486.08</v>
      </c>
      <c r="M941" s="104">
        <v>1401.96</v>
      </c>
      <c r="N941" s="104">
        <v>84.12</v>
      </c>
      <c r="O941" s="44" t="s">
        <v>1631</v>
      </c>
    </row>
    <row r="942" customHeight="1" spans="1:15">
      <c r="A942" s="44" t="s">
        <v>637</v>
      </c>
      <c r="B942" s="86">
        <v>45230</v>
      </c>
      <c r="C942" s="44" t="s">
        <v>748</v>
      </c>
      <c r="D942" s="44" t="s">
        <v>653</v>
      </c>
      <c r="E942" s="44" t="s">
        <v>640</v>
      </c>
      <c r="F942" s="44" t="s">
        <v>641</v>
      </c>
      <c r="G942" s="44" t="s">
        <v>642</v>
      </c>
      <c r="H942" s="44" t="s">
        <v>643</v>
      </c>
      <c r="I942" s="44" t="s">
        <v>728</v>
      </c>
      <c r="J942" s="44" t="s">
        <v>644</v>
      </c>
      <c r="K942" s="44" t="s">
        <v>166</v>
      </c>
      <c r="L942" s="104">
        <v>4270.7</v>
      </c>
      <c r="M942" s="104">
        <v>4028.96</v>
      </c>
      <c r="N942" s="104">
        <v>241.74</v>
      </c>
      <c r="O942" s="44" t="s">
        <v>1632</v>
      </c>
    </row>
    <row r="943" customHeight="1" spans="1:15">
      <c r="A943" s="44" t="s">
        <v>637</v>
      </c>
      <c r="B943" s="86">
        <v>45230</v>
      </c>
      <c r="C943" s="44" t="s">
        <v>748</v>
      </c>
      <c r="D943" s="44" t="s">
        <v>653</v>
      </c>
      <c r="E943" s="44" t="s">
        <v>640</v>
      </c>
      <c r="F943" s="44" t="s">
        <v>659</v>
      </c>
      <c r="G943" s="44" t="s">
        <v>648</v>
      </c>
      <c r="H943" s="44" t="s">
        <v>650</v>
      </c>
      <c r="I943" s="44" t="s">
        <v>429</v>
      </c>
      <c r="J943" s="44" t="s">
        <v>656</v>
      </c>
      <c r="K943" s="44" t="s">
        <v>166</v>
      </c>
      <c r="L943" s="104">
        <v>254.68</v>
      </c>
      <c r="M943" s="104">
        <v>240.26</v>
      </c>
      <c r="N943" s="104">
        <v>14.42</v>
      </c>
      <c r="O943" s="44" t="s">
        <v>1633</v>
      </c>
    </row>
    <row r="944" customHeight="1" spans="1:15">
      <c r="A944" s="44" t="s">
        <v>637</v>
      </c>
      <c r="B944" s="86">
        <v>45230</v>
      </c>
      <c r="C944" s="44" t="s">
        <v>748</v>
      </c>
      <c r="D944" s="44" t="s">
        <v>639</v>
      </c>
      <c r="E944" s="44" t="s">
        <v>640</v>
      </c>
      <c r="F944" s="44" t="s">
        <v>641</v>
      </c>
      <c r="G944" s="44" t="s">
        <v>648</v>
      </c>
      <c r="H944" s="44" t="s">
        <v>697</v>
      </c>
      <c r="I944" s="44" t="s">
        <v>444</v>
      </c>
      <c r="J944" s="44" t="s">
        <v>644</v>
      </c>
      <c r="K944" s="44" t="s">
        <v>14</v>
      </c>
      <c r="L944" s="104">
        <v>31822.05</v>
      </c>
      <c r="M944" s="104">
        <v>30020.8</v>
      </c>
      <c r="N944" s="104">
        <v>1801.25</v>
      </c>
      <c r="O944" s="44" t="s">
        <v>1634</v>
      </c>
    </row>
    <row r="945" customHeight="1" spans="1:15">
      <c r="A945" s="44" t="s">
        <v>637</v>
      </c>
      <c r="B945" s="86">
        <v>45230</v>
      </c>
      <c r="C945" s="44" t="s">
        <v>748</v>
      </c>
      <c r="D945" s="44" t="s">
        <v>682</v>
      </c>
      <c r="E945" s="44" t="s">
        <v>640</v>
      </c>
      <c r="F945" s="44" t="s">
        <v>641</v>
      </c>
      <c r="G945" s="44" t="s">
        <v>642</v>
      </c>
      <c r="H945" s="44" t="s">
        <v>650</v>
      </c>
      <c r="I945" s="44" t="s">
        <v>747</v>
      </c>
      <c r="J945" s="44" t="s">
        <v>656</v>
      </c>
      <c r="K945" s="44" t="s">
        <v>13</v>
      </c>
      <c r="L945" s="104">
        <v>71900</v>
      </c>
      <c r="M945" s="104">
        <v>67830.19</v>
      </c>
      <c r="N945" s="104">
        <v>4069.81</v>
      </c>
      <c r="O945" s="44" t="s">
        <v>1635</v>
      </c>
    </row>
    <row r="946" customHeight="1" spans="1:15">
      <c r="A946" s="44" t="s">
        <v>637</v>
      </c>
      <c r="B946" s="86">
        <v>45230</v>
      </c>
      <c r="C946" s="44" t="s">
        <v>748</v>
      </c>
      <c r="D946" s="44" t="s">
        <v>682</v>
      </c>
      <c r="E946" s="44" t="s">
        <v>640</v>
      </c>
      <c r="F946" s="44" t="s">
        <v>641</v>
      </c>
      <c r="G946" s="44" t="s">
        <v>642</v>
      </c>
      <c r="H946" s="44" t="s">
        <v>650</v>
      </c>
      <c r="I946" s="44" t="s">
        <v>742</v>
      </c>
      <c r="J946" s="44" t="s">
        <v>656</v>
      </c>
      <c r="K946" s="44" t="s">
        <v>13</v>
      </c>
      <c r="L946" s="104">
        <v>85880</v>
      </c>
      <c r="M946" s="104">
        <v>81018.87</v>
      </c>
      <c r="N946" s="104">
        <v>4861.13</v>
      </c>
      <c r="O946" s="44" t="s">
        <v>1636</v>
      </c>
    </row>
    <row r="947" customHeight="1" spans="1:15">
      <c r="A947" s="44" t="s">
        <v>637</v>
      </c>
      <c r="B947" s="86">
        <v>45230</v>
      </c>
      <c r="C947" s="44" t="s">
        <v>748</v>
      </c>
      <c r="D947" s="44" t="s">
        <v>682</v>
      </c>
      <c r="E947" s="44" t="s">
        <v>640</v>
      </c>
      <c r="F947" s="44" t="s">
        <v>641</v>
      </c>
      <c r="G947" s="44" t="s">
        <v>642</v>
      </c>
      <c r="H947" s="44" t="s">
        <v>650</v>
      </c>
      <c r="I947" s="44" t="s">
        <v>742</v>
      </c>
      <c r="J947" s="44" t="s">
        <v>656</v>
      </c>
      <c r="K947" s="44" t="s">
        <v>13</v>
      </c>
      <c r="L947" s="104">
        <v>327600</v>
      </c>
      <c r="M947" s="104">
        <v>309056.6</v>
      </c>
      <c r="N947" s="104">
        <v>18543.4</v>
      </c>
      <c r="O947" s="44" t="s">
        <v>1637</v>
      </c>
    </row>
    <row r="948" customHeight="1" spans="1:15">
      <c r="A948" s="44" t="s">
        <v>637</v>
      </c>
      <c r="B948" s="86">
        <v>45230</v>
      </c>
      <c r="C948" s="44" t="s">
        <v>748</v>
      </c>
      <c r="D948" s="44" t="s">
        <v>653</v>
      </c>
      <c r="E948" s="44" t="s">
        <v>640</v>
      </c>
      <c r="F948" s="44" t="s">
        <v>659</v>
      </c>
      <c r="G948" s="44" t="s">
        <v>642</v>
      </c>
      <c r="H948" s="44" t="s">
        <v>650</v>
      </c>
      <c r="I948" s="44" t="s">
        <v>429</v>
      </c>
      <c r="J948" s="44" t="s">
        <v>656</v>
      </c>
      <c r="K948" s="44" t="s">
        <v>166</v>
      </c>
      <c r="L948" s="104">
        <v>265.99</v>
      </c>
      <c r="M948" s="104">
        <v>250.93</v>
      </c>
      <c r="N948" s="104">
        <v>15.06</v>
      </c>
      <c r="O948" s="44" t="s">
        <v>1638</v>
      </c>
    </row>
    <row r="949" customHeight="1" spans="1:15">
      <c r="A949" s="44" t="s">
        <v>637</v>
      </c>
      <c r="B949" s="86">
        <v>45230</v>
      </c>
      <c r="C949" s="44" t="s">
        <v>748</v>
      </c>
      <c r="D949" s="44" t="s">
        <v>682</v>
      </c>
      <c r="E949" s="44" t="s">
        <v>640</v>
      </c>
      <c r="F949" s="44" t="s">
        <v>641</v>
      </c>
      <c r="G949" s="44" t="s">
        <v>642</v>
      </c>
      <c r="H949" s="44" t="s">
        <v>650</v>
      </c>
      <c r="I949" s="44" t="s">
        <v>742</v>
      </c>
      <c r="J949" s="44" t="s">
        <v>656</v>
      </c>
      <c r="K949" s="44" t="s">
        <v>13</v>
      </c>
      <c r="L949" s="104">
        <v>200744.01</v>
      </c>
      <c r="M949" s="104">
        <v>189381.14</v>
      </c>
      <c r="N949" s="104">
        <v>11362.87</v>
      </c>
      <c r="O949" s="44" t="s">
        <v>1639</v>
      </c>
    </row>
    <row r="950" customHeight="1" spans="1:15">
      <c r="A950" s="44" t="s">
        <v>637</v>
      </c>
      <c r="B950" s="86">
        <v>45230</v>
      </c>
      <c r="C950" s="44" t="s">
        <v>748</v>
      </c>
      <c r="D950" s="44" t="s">
        <v>653</v>
      </c>
      <c r="E950" s="44" t="s">
        <v>640</v>
      </c>
      <c r="F950" s="44" t="s">
        <v>659</v>
      </c>
      <c r="G950" s="44" t="s">
        <v>642</v>
      </c>
      <c r="H950" s="44" t="s">
        <v>650</v>
      </c>
      <c r="I950" s="44" t="s">
        <v>728</v>
      </c>
      <c r="J950" s="44" t="s">
        <v>656</v>
      </c>
      <c r="K950" s="44" t="s">
        <v>166</v>
      </c>
      <c r="L950" s="104">
        <v>7150.08</v>
      </c>
      <c r="M950" s="104">
        <v>6745.36</v>
      </c>
      <c r="N950" s="104">
        <v>404.72</v>
      </c>
      <c r="O950" s="44" t="s">
        <v>1640</v>
      </c>
    </row>
    <row r="951" customHeight="1" spans="1:15">
      <c r="A951" s="44" t="s">
        <v>637</v>
      </c>
      <c r="B951" s="86">
        <v>45230</v>
      </c>
      <c r="C951" s="44" t="s">
        <v>748</v>
      </c>
      <c r="D951" s="44" t="s">
        <v>682</v>
      </c>
      <c r="E951" s="44" t="s">
        <v>640</v>
      </c>
      <c r="F951" s="44" t="s">
        <v>641</v>
      </c>
      <c r="G951" s="44" t="s">
        <v>642</v>
      </c>
      <c r="H951" s="44" t="s">
        <v>650</v>
      </c>
      <c r="I951" s="44" t="s">
        <v>747</v>
      </c>
      <c r="J951" s="44" t="s">
        <v>656</v>
      </c>
      <c r="K951" s="44" t="s">
        <v>13</v>
      </c>
      <c r="L951" s="104">
        <v>55150</v>
      </c>
      <c r="M951" s="104">
        <v>52028.3</v>
      </c>
      <c r="N951" s="104">
        <v>3121.7</v>
      </c>
      <c r="O951" s="44" t="s">
        <v>1641</v>
      </c>
    </row>
    <row r="952" customHeight="1" spans="1:15">
      <c r="A952" s="44" t="s">
        <v>637</v>
      </c>
      <c r="B952" s="86">
        <v>45230</v>
      </c>
      <c r="C952" s="44" t="s">
        <v>748</v>
      </c>
      <c r="D952" s="44" t="s">
        <v>682</v>
      </c>
      <c r="E952" s="44" t="s">
        <v>640</v>
      </c>
      <c r="F952" s="44" t="s">
        <v>641</v>
      </c>
      <c r="G952" s="44" t="s">
        <v>642</v>
      </c>
      <c r="H952" s="44" t="s">
        <v>650</v>
      </c>
      <c r="I952" s="44" t="s">
        <v>747</v>
      </c>
      <c r="J952" s="44" t="s">
        <v>656</v>
      </c>
      <c r="K952" s="44" t="s">
        <v>13</v>
      </c>
      <c r="L952" s="104">
        <v>64536.49</v>
      </c>
      <c r="M952" s="104">
        <v>60883.48</v>
      </c>
      <c r="N952" s="104">
        <v>3653.01</v>
      </c>
      <c r="O952" s="44" t="s">
        <v>1642</v>
      </c>
    </row>
    <row r="953" customHeight="1" spans="1:15">
      <c r="A953" s="44" t="s">
        <v>637</v>
      </c>
      <c r="B953" s="86">
        <v>45230</v>
      </c>
      <c r="C953" s="44" t="s">
        <v>748</v>
      </c>
      <c r="D953" s="44" t="s">
        <v>653</v>
      </c>
      <c r="E953" s="44" t="s">
        <v>640</v>
      </c>
      <c r="F953" s="44" t="s">
        <v>659</v>
      </c>
      <c r="G953" s="44" t="s">
        <v>642</v>
      </c>
      <c r="H953" s="44" t="s">
        <v>650</v>
      </c>
      <c r="I953" s="44" t="s">
        <v>728</v>
      </c>
      <c r="J953" s="44" t="s">
        <v>656</v>
      </c>
      <c r="K953" s="44" t="s">
        <v>166</v>
      </c>
      <c r="L953" s="104">
        <v>-148.94</v>
      </c>
      <c r="M953" s="104">
        <v>-140.51</v>
      </c>
      <c r="N953" s="104">
        <v>-8.43</v>
      </c>
      <c r="O953" s="44" t="s">
        <v>1643</v>
      </c>
    </row>
    <row r="954" customHeight="1" spans="1:15">
      <c r="A954" s="44" t="s">
        <v>637</v>
      </c>
      <c r="B954" s="86">
        <v>45230</v>
      </c>
      <c r="C954" s="44" t="s">
        <v>748</v>
      </c>
      <c r="D954" s="44" t="s">
        <v>653</v>
      </c>
      <c r="E954" s="44" t="s">
        <v>640</v>
      </c>
      <c r="F954" s="44" t="s">
        <v>659</v>
      </c>
      <c r="G954" s="44" t="s">
        <v>642</v>
      </c>
      <c r="H954" s="44" t="s">
        <v>650</v>
      </c>
      <c r="I954" s="44" t="s">
        <v>429</v>
      </c>
      <c r="J954" s="44" t="s">
        <v>656</v>
      </c>
      <c r="K954" s="44" t="s">
        <v>166</v>
      </c>
      <c r="L954" s="104">
        <v>-120.48</v>
      </c>
      <c r="M954" s="104">
        <v>-113.66</v>
      </c>
      <c r="N954" s="104">
        <v>-6.82</v>
      </c>
      <c r="O954" s="44" t="s">
        <v>1644</v>
      </c>
    </row>
    <row r="955" customHeight="1" spans="1:15">
      <c r="A955" s="44" t="s">
        <v>637</v>
      </c>
      <c r="B955" s="86">
        <v>45230</v>
      </c>
      <c r="C955" s="44" t="s">
        <v>710</v>
      </c>
      <c r="D955" s="44" t="s">
        <v>682</v>
      </c>
      <c r="E955" s="44" t="s">
        <v>640</v>
      </c>
      <c r="F955" s="44" t="s">
        <v>641</v>
      </c>
      <c r="G955" s="44" t="s">
        <v>642</v>
      </c>
      <c r="H955" s="44" t="s">
        <v>650</v>
      </c>
      <c r="I955" s="44" t="s">
        <v>753</v>
      </c>
      <c r="J955" s="44" t="s">
        <v>656</v>
      </c>
      <c r="K955" s="44" t="s">
        <v>13</v>
      </c>
      <c r="L955" s="104">
        <v>10953</v>
      </c>
      <c r="M955" s="104">
        <v>10333.02</v>
      </c>
      <c r="N955" s="104">
        <v>619.98</v>
      </c>
      <c r="O955" s="44" t="s">
        <v>1645</v>
      </c>
    </row>
    <row r="956" customHeight="1" spans="1:15">
      <c r="A956" s="44" t="s">
        <v>637</v>
      </c>
      <c r="B956" s="86">
        <v>45260</v>
      </c>
      <c r="C956" s="44" t="s">
        <v>638</v>
      </c>
      <c r="D956" s="44" t="s">
        <v>639</v>
      </c>
      <c r="E956" s="44" t="s">
        <v>647</v>
      </c>
      <c r="F956" s="44" t="s">
        <v>641</v>
      </c>
      <c r="G956" s="44" t="s">
        <v>648</v>
      </c>
      <c r="H956" s="44" t="s">
        <v>643</v>
      </c>
      <c r="I956" s="44" t="s">
        <v>430</v>
      </c>
      <c r="J956" s="44" t="s">
        <v>644</v>
      </c>
      <c r="K956" s="44" t="s">
        <v>14</v>
      </c>
      <c r="L956" s="104">
        <v>1065351.47</v>
      </c>
      <c r="M956" s="104">
        <v>1005048.52</v>
      </c>
      <c r="N956" s="104">
        <v>60302.95</v>
      </c>
      <c r="O956" s="44" t="s">
        <v>1646</v>
      </c>
    </row>
    <row r="957" customHeight="1" spans="1:15">
      <c r="A957" s="44" t="s">
        <v>637</v>
      </c>
      <c r="B957" s="86">
        <v>45260</v>
      </c>
      <c r="C957" s="44" t="s">
        <v>1273</v>
      </c>
      <c r="D957" s="44" t="s">
        <v>653</v>
      </c>
      <c r="E957" s="44" t="s">
        <v>640</v>
      </c>
      <c r="F957" s="44" t="s">
        <v>659</v>
      </c>
      <c r="G957" s="44" t="s">
        <v>642</v>
      </c>
      <c r="H957" s="44" t="s">
        <v>650</v>
      </c>
      <c r="I957" s="44" t="s">
        <v>728</v>
      </c>
      <c r="J957" s="44" t="s">
        <v>656</v>
      </c>
      <c r="K957" s="44" t="s">
        <v>166</v>
      </c>
      <c r="L957" s="104">
        <v>5.88</v>
      </c>
      <c r="M957" s="104">
        <v>5.55</v>
      </c>
      <c r="N957" s="104">
        <v>0.33</v>
      </c>
      <c r="O957" s="44" t="s">
        <v>1647</v>
      </c>
    </row>
    <row r="958" customHeight="1" spans="1:15">
      <c r="A958" s="44" t="s">
        <v>637</v>
      </c>
      <c r="B958" s="86">
        <v>45260</v>
      </c>
      <c r="C958" s="44" t="s">
        <v>638</v>
      </c>
      <c r="D958" s="44" t="s">
        <v>639</v>
      </c>
      <c r="E958" s="44" t="s">
        <v>647</v>
      </c>
      <c r="F958" s="44" t="s">
        <v>641</v>
      </c>
      <c r="G958" s="44" t="s">
        <v>642</v>
      </c>
      <c r="H958" s="44" t="s">
        <v>650</v>
      </c>
      <c r="I958" s="44" t="s">
        <v>430</v>
      </c>
      <c r="J958" s="44" t="s">
        <v>644</v>
      </c>
      <c r="K958" s="44" t="s">
        <v>14</v>
      </c>
      <c r="L958" s="104">
        <v>6495689.99</v>
      </c>
      <c r="M958" s="104">
        <v>6128009.42</v>
      </c>
      <c r="N958" s="104">
        <v>367680.57</v>
      </c>
      <c r="O958" s="44" t="s">
        <v>1648</v>
      </c>
    </row>
    <row r="959" customHeight="1" spans="1:15">
      <c r="A959" s="44" t="s">
        <v>637</v>
      </c>
      <c r="B959" s="86">
        <v>45260</v>
      </c>
      <c r="C959" s="44" t="s">
        <v>646</v>
      </c>
      <c r="D959" s="44" t="s">
        <v>639</v>
      </c>
      <c r="E959" s="44" t="s">
        <v>640</v>
      </c>
      <c r="F959" s="44" t="s">
        <v>641</v>
      </c>
      <c r="G959" s="44" t="s">
        <v>642</v>
      </c>
      <c r="H959" s="44" t="s">
        <v>650</v>
      </c>
      <c r="I959" s="44" t="s">
        <v>704</v>
      </c>
      <c r="J959" s="44" t="s">
        <v>656</v>
      </c>
      <c r="K959" s="44" t="s">
        <v>350</v>
      </c>
      <c r="L959" s="104">
        <v>62523</v>
      </c>
      <c r="M959" s="104">
        <v>58983.96</v>
      </c>
      <c r="N959" s="104">
        <v>3539.04</v>
      </c>
      <c r="O959" s="44" t="s">
        <v>1649</v>
      </c>
    </row>
    <row r="960" customHeight="1" spans="1:15">
      <c r="A960" s="44" t="s">
        <v>637</v>
      </c>
      <c r="B960" s="86">
        <v>45260</v>
      </c>
      <c r="C960" s="44" t="s">
        <v>638</v>
      </c>
      <c r="D960" s="44" t="s">
        <v>639</v>
      </c>
      <c r="E960" s="44" t="s">
        <v>647</v>
      </c>
      <c r="F960" s="44" t="s">
        <v>641</v>
      </c>
      <c r="G960" s="44" t="s">
        <v>648</v>
      </c>
      <c r="H960" s="44" t="s">
        <v>643</v>
      </c>
      <c r="I960" s="44" t="s">
        <v>430</v>
      </c>
      <c r="J960" s="44" t="s">
        <v>644</v>
      </c>
      <c r="K960" s="44" t="s">
        <v>14</v>
      </c>
      <c r="L960" s="104">
        <v>126615.63</v>
      </c>
      <c r="M960" s="104">
        <v>119448.72</v>
      </c>
      <c r="N960" s="104">
        <v>7166.91</v>
      </c>
      <c r="O960" s="44" t="s">
        <v>1650</v>
      </c>
    </row>
    <row r="961" customHeight="1" spans="1:15">
      <c r="A961" s="44" t="s">
        <v>637</v>
      </c>
      <c r="B961" s="86">
        <v>45260</v>
      </c>
      <c r="C961" s="44" t="s">
        <v>646</v>
      </c>
      <c r="D961" s="44" t="s">
        <v>653</v>
      </c>
      <c r="E961" s="44" t="s">
        <v>640</v>
      </c>
      <c r="F961" s="44" t="s">
        <v>641</v>
      </c>
      <c r="G961" s="44" t="s">
        <v>642</v>
      </c>
      <c r="H961" s="44" t="s">
        <v>643</v>
      </c>
      <c r="I961" s="44" t="s">
        <v>462</v>
      </c>
      <c r="J961" s="44" t="s">
        <v>656</v>
      </c>
      <c r="K961" s="44" t="s">
        <v>166</v>
      </c>
      <c r="L961" s="104">
        <v>2800000</v>
      </c>
      <c r="M961" s="104">
        <v>2641509.43</v>
      </c>
      <c r="N961" s="104">
        <v>158490.57</v>
      </c>
      <c r="O961" s="44" t="s">
        <v>1651</v>
      </c>
    </row>
    <row r="962" customHeight="1" spans="1:15">
      <c r="A962" s="44" t="s">
        <v>637</v>
      </c>
      <c r="B962" s="86">
        <v>45260</v>
      </c>
      <c r="C962" s="44" t="s">
        <v>638</v>
      </c>
      <c r="D962" s="44" t="s">
        <v>639</v>
      </c>
      <c r="E962" s="44" t="s">
        <v>647</v>
      </c>
      <c r="F962" s="44" t="s">
        <v>641</v>
      </c>
      <c r="G962" s="44" t="s">
        <v>648</v>
      </c>
      <c r="H962" s="44" t="s">
        <v>697</v>
      </c>
      <c r="I962" s="44" t="s">
        <v>430</v>
      </c>
      <c r="J962" s="44" t="s">
        <v>644</v>
      </c>
      <c r="K962" s="44" t="s">
        <v>14</v>
      </c>
      <c r="L962" s="104">
        <v>24126</v>
      </c>
      <c r="M962" s="104">
        <v>22760.37</v>
      </c>
      <c r="N962" s="104">
        <v>1365.63</v>
      </c>
      <c r="O962" s="44" t="s">
        <v>1652</v>
      </c>
    </row>
    <row r="963" customHeight="1" spans="1:15">
      <c r="A963" s="44" t="s">
        <v>637</v>
      </c>
      <c r="B963" s="86">
        <v>45260</v>
      </c>
      <c r="C963" s="44" t="s">
        <v>646</v>
      </c>
      <c r="D963" s="44" t="s">
        <v>639</v>
      </c>
      <c r="E963" s="44" t="s">
        <v>640</v>
      </c>
      <c r="F963" s="44" t="s">
        <v>689</v>
      </c>
      <c r="G963" s="44" t="s">
        <v>654</v>
      </c>
      <c r="H963" s="44" t="s">
        <v>697</v>
      </c>
      <c r="I963" s="44" t="s">
        <v>658</v>
      </c>
      <c r="J963" s="44" t="s">
        <v>656</v>
      </c>
      <c r="K963" s="44" t="s">
        <v>350</v>
      </c>
      <c r="L963" s="104">
        <v>138000</v>
      </c>
      <c r="M963" s="104">
        <v>130188.68</v>
      </c>
      <c r="N963" s="104">
        <v>7811.32</v>
      </c>
      <c r="O963" s="44" t="s">
        <v>1653</v>
      </c>
    </row>
    <row r="964" customHeight="1" spans="1:15">
      <c r="A964" s="44" t="s">
        <v>637</v>
      </c>
      <c r="B964" s="86">
        <v>45260</v>
      </c>
      <c r="C964" s="44" t="s">
        <v>646</v>
      </c>
      <c r="D964" s="44" t="s">
        <v>639</v>
      </c>
      <c r="E964" s="44" t="s">
        <v>640</v>
      </c>
      <c r="F964" s="44" t="s">
        <v>689</v>
      </c>
      <c r="G964" s="44" t="s">
        <v>648</v>
      </c>
      <c r="H964" s="44" t="s">
        <v>650</v>
      </c>
      <c r="I964" s="44" t="s">
        <v>766</v>
      </c>
      <c r="J964" s="44" t="s">
        <v>656</v>
      </c>
      <c r="K964" s="44" t="s">
        <v>165</v>
      </c>
      <c r="L964" s="104">
        <v>1615</v>
      </c>
      <c r="M964" s="104">
        <v>1523.58</v>
      </c>
      <c r="N964" s="104">
        <v>91.42</v>
      </c>
      <c r="O964" s="44" t="s">
        <v>1654</v>
      </c>
    </row>
    <row r="965" customHeight="1" spans="1:15">
      <c r="A965" s="44" t="s">
        <v>637</v>
      </c>
      <c r="B965" s="86">
        <v>45260</v>
      </c>
      <c r="C965" s="44" t="s">
        <v>646</v>
      </c>
      <c r="D965" s="44" t="s">
        <v>653</v>
      </c>
      <c r="E965" s="44" t="s">
        <v>640</v>
      </c>
      <c r="F965" s="44" t="s">
        <v>659</v>
      </c>
      <c r="G965" s="44" t="s">
        <v>648</v>
      </c>
      <c r="H965" s="44" t="s">
        <v>650</v>
      </c>
      <c r="I965" s="44" t="s">
        <v>462</v>
      </c>
      <c r="J965" s="44" t="s">
        <v>656</v>
      </c>
      <c r="K965" s="44" t="s">
        <v>166</v>
      </c>
      <c r="L965" s="104">
        <v>1401298.86</v>
      </c>
      <c r="M965" s="104">
        <v>1321980.06</v>
      </c>
      <c r="N965" s="104">
        <v>79318.8</v>
      </c>
      <c r="O965" s="44" t="s">
        <v>1655</v>
      </c>
    </row>
    <row r="966" customHeight="1" spans="1:15">
      <c r="A966" s="44" t="s">
        <v>637</v>
      </c>
      <c r="B966" s="86">
        <v>45260</v>
      </c>
      <c r="C966" s="44" t="s">
        <v>811</v>
      </c>
      <c r="D966" s="44" t="s">
        <v>639</v>
      </c>
      <c r="E966" s="44" t="s">
        <v>647</v>
      </c>
      <c r="F966" s="44" t="s">
        <v>641</v>
      </c>
      <c r="G966" s="44" t="s">
        <v>642</v>
      </c>
      <c r="H966" s="44" t="s">
        <v>650</v>
      </c>
      <c r="I966" s="44" t="s">
        <v>430</v>
      </c>
      <c r="J966" s="44" t="s">
        <v>644</v>
      </c>
      <c r="K966" s="44" t="s">
        <v>14</v>
      </c>
      <c r="L966" s="104">
        <v>3261520.32</v>
      </c>
      <c r="M966" s="104">
        <v>3076905.95</v>
      </c>
      <c r="N966" s="104">
        <v>184614.37</v>
      </c>
      <c r="O966" s="44" t="s">
        <v>1656</v>
      </c>
    </row>
    <row r="967" customHeight="1" spans="1:15">
      <c r="A967" s="44" t="s">
        <v>637</v>
      </c>
      <c r="B967" s="86">
        <v>45260</v>
      </c>
      <c r="C967" s="44" t="s">
        <v>646</v>
      </c>
      <c r="D967" s="44" t="s">
        <v>639</v>
      </c>
      <c r="E967" s="44" t="s">
        <v>640</v>
      </c>
      <c r="F967" s="44" t="s">
        <v>641</v>
      </c>
      <c r="G967" s="44" t="s">
        <v>648</v>
      </c>
      <c r="H967" s="44" t="s">
        <v>643</v>
      </c>
      <c r="I967" s="44" t="s">
        <v>430</v>
      </c>
      <c r="J967" s="44" t="s">
        <v>644</v>
      </c>
      <c r="K967" s="44" t="s">
        <v>14</v>
      </c>
      <c r="L967" s="104">
        <v>1559456.98</v>
      </c>
      <c r="M967" s="104">
        <v>1471185.83</v>
      </c>
      <c r="N967" s="104">
        <v>88271.15</v>
      </c>
      <c r="O967" s="44" t="s">
        <v>1657</v>
      </c>
    </row>
    <row r="968" customHeight="1" spans="1:15">
      <c r="A968" s="44" t="s">
        <v>637</v>
      </c>
      <c r="B968" s="86">
        <v>45260</v>
      </c>
      <c r="C968" s="44" t="s">
        <v>811</v>
      </c>
      <c r="D968" s="44" t="s">
        <v>1608</v>
      </c>
      <c r="E968" s="44" t="s">
        <v>647</v>
      </c>
      <c r="F968" s="44" t="s">
        <v>641</v>
      </c>
      <c r="G968" s="44" t="s">
        <v>648</v>
      </c>
      <c r="H968" s="44" t="s">
        <v>643</v>
      </c>
      <c r="I968" s="44" t="s">
        <v>430</v>
      </c>
      <c r="J968" s="44" t="s">
        <v>644</v>
      </c>
      <c r="K968" s="44" t="s">
        <v>14</v>
      </c>
      <c r="L968" s="104">
        <v>27</v>
      </c>
      <c r="M968" s="104">
        <v>25.47</v>
      </c>
      <c r="N968" s="104">
        <v>1.53</v>
      </c>
      <c r="O968" s="44" t="s">
        <v>1658</v>
      </c>
    </row>
    <row r="969" customHeight="1" spans="1:15">
      <c r="A969" s="44" t="s">
        <v>637</v>
      </c>
      <c r="B969" s="86">
        <v>45260</v>
      </c>
      <c r="C969" s="44" t="s">
        <v>1382</v>
      </c>
      <c r="D969" s="44" t="s">
        <v>639</v>
      </c>
      <c r="E969" s="44" t="s">
        <v>647</v>
      </c>
      <c r="F969" s="44" t="s">
        <v>689</v>
      </c>
      <c r="G969" s="44" t="s">
        <v>654</v>
      </c>
      <c r="H969" s="44" t="s">
        <v>697</v>
      </c>
      <c r="I969" s="44" t="s">
        <v>665</v>
      </c>
      <c r="J969" s="44" t="s">
        <v>656</v>
      </c>
      <c r="K969" s="44" t="s">
        <v>350</v>
      </c>
      <c r="L969" s="104">
        <v>750</v>
      </c>
      <c r="M969" s="104">
        <v>707.55</v>
      </c>
      <c r="N969" s="104">
        <v>42.45</v>
      </c>
      <c r="O969" s="44" t="s">
        <v>1659</v>
      </c>
    </row>
    <row r="970" customHeight="1" spans="1:15">
      <c r="A970" s="44" t="s">
        <v>637</v>
      </c>
      <c r="B970" s="86">
        <v>45260</v>
      </c>
      <c r="C970" s="44" t="s">
        <v>646</v>
      </c>
      <c r="D970" s="44" t="s">
        <v>639</v>
      </c>
      <c r="E970" s="44" t="s">
        <v>647</v>
      </c>
      <c r="F970" s="44" t="s">
        <v>641</v>
      </c>
      <c r="G970" s="44" t="s">
        <v>654</v>
      </c>
      <c r="H970" s="44" t="s">
        <v>643</v>
      </c>
      <c r="I970" s="44" t="s">
        <v>661</v>
      </c>
      <c r="J970" s="44" t="s">
        <v>656</v>
      </c>
      <c r="K970" s="44" t="s">
        <v>350</v>
      </c>
      <c r="L970" s="104">
        <v>931.5</v>
      </c>
      <c r="M970" s="104">
        <v>878.77</v>
      </c>
      <c r="N970" s="104">
        <v>52.73</v>
      </c>
      <c r="O970" s="44" t="s">
        <v>1660</v>
      </c>
    </row>
    <row r="971" customHeight="1" spans="1:15">
      <c r="A971" s="44" t="s">
        <v>637</v>
      </c>
      <c r="B971" s="86">
        <v>45260</v>
      </c>
      <c r="C971" s="44" t="s">
        <v>811</v>
      </c>
      <c r="D971" s="44" t="s">
        <v>726</v>
      </c>
      <c r="E971" s="44" t="s">
        <v>647</v>
      </c>
      <c r="F971" s="44" t="s">
        <v>641</v>
      </c>
      <c r="G971" s="44" t="s">
        <v>648</v>
      </c>
      <c r="H971" s="44" t="s">
        <v>643</v>
      </c>
      <c r="I971" s="44" t="s">
        <v>430</v>
      </c>
      <c r="J971" s="44" t="s">
        <v>644</v>
      </c>
      <c r="K971" s="44" t="s">
        <v>14</v>
      </c>
      <c r="L971" s="104">
        <v>852348.34</v>
      </c>
      <c r="M971" s="104">
        <v>804102.21</v>
      </c>
      <c r="N971" s="104">
        <v>48246.13</v>
      </c>
      <c r="O971" s="44" t="s">
        <v>1661</v>
      </c>
    </row>
    <row r="972" customHeight="1" spans="1:15">
      <c r="A972" s="44" t="s">
        <v>637</v>
      </c>
      <c r="B972" s="86">
        <v>45260</v>
      </c>
      <c r="C972" s="44" t="s">
        <v>646</v>
      </c>
      <c r="D972" s="44" t="s">
        <v>639</v>
      </c>
      <c r="E972" s="44" t="s">
        <v>647</v>
      </c>
      <c r="F972" s="44" t="s">
        <v>641</v>
      </c>
      <c r="G972" s="44" t="s">
        <v>642</v>
      </c>
      <c r="H972" s="44" t="s">
        <v>650</v>
      </c>
      <c r="I972" s="44" t="s">
        <v>430</v>
      </c>
      <c r="J972" s="44" t="s">
        <v>644</v>
      </c>
      <c r="K972" s="44" t="s">
        <v>14</v>
      </c>
      <c r="L972" s="104">
        <v>2702921.45</v>
      </c>
      <c r="M972" s="104">
        <v>2549925.93</v>
      </c>
      <c r="N972" s="104">
        <v>152995.52</v>
      </c>
      <c r="O972" s="44" t="s">
        <v>1662</v>
      </c>
    </row>
    <row r="973" customHeight="1" spans="1:15">
      <c r="A973" s="44" t="s">
        <v>637</v>
      </c>
      <c r="B973" s="86">
        <v>45260</v>
      </c>
      <c r="C973" s="44" t="s">
        <v>811</v>
      </c>
      <c r="D973" s="44" t="s">
        <v>1296</v>
      </c>
      <c r="E973" s="44" t="s">
        <v>647</v>
      </c>
      <c r="F973" s="44" t="s">
        <v>641</v>
      </c>
      <c r="G973" s="44" t="s">
        <v>648</v>
      </c>
      <c r="H973" s="44" t="s">
        <v>643</v>
      </c>
      <c r="I973" s="44" t="s">
        <v>430</v>
      </c>
      <c r="J973" s="44" t="s">
        <v>644</v>
      </c>
      <c r="K973" s="44" t="s">
        <v>14</v>
      </c>
      <c r="L973" s="104">
        <v>438978.4</v>
      </c>
      <c r="M973" s="104">
        <v>414130.56</v>
      </c>
      <c r="N973" s="104">
        <v>24847.84</v>
      </c>
      <c r="O973" s="44" t="s">
        <v>1663</v>
      </c>
    </row>
    <row r="974" customHeight="1" spans="1:15">
      <c r="A974" s="44" t="s">
        <v>637</v>
      </c>
      <c r="B974" s="86">
        <v>45260</v>
      </c>
      <c r="C974" s="44" t="s">
        <v>646</v>
      </c>
      <c r="D974" s="44" t="s">
        <v>639</v>
      </c>
      <c r="E974" s="44" t="s">
        <v>647</v>
      </c>
      <c r="F974" s="44" t="s">
        <v>641</v>
      </c>
      <c r="G974" s="44" t="s">
        <v>648</v>
      </c>
      <c r="H974" s="44" t="s">
        <v>643</v>
      </c>
      <c r="I974" s="44" t="s">
        <v>430</v>
      </c>
      <c r="J974" s="44" t="s">
        <v>644</v>
      </c>
      <c r="K974" s="44" t="s">
        <v>14</v>
      </c>
      <c r="L974" s="104">
        <v>20199.94</v>
      </c>
      <c r="M974" s="104">
        <v>19056.55</v>
      </c>
      <c r="N974" s="104">
        <v>1143.39</v>
      </c>
      <c r="O974" s="44" t="s">
        <v>1664</v>
      </c>
    </row>
    <row r="975" customHeight="1" spans="1:15">
      <c r="A975" s="44" t="s">
        <v>637</v>
      </c>
      <c r="B975" s="86">
        <v>45260</v>
      </c>
      <c r="C975" s="44" t="s">
        <v>992</v>
      </c>
      <c r="D975" s="44" t="s">
        <v>639</v>
      </c>
      <c r="E975" s="44" t="s">
        <v>647</v>
      </c>
      <c r="F975" s="44" t="s">
        <v>641</v>
      </c>
      <c r="G975" s="44" t="s">
        <v>648</v>
      </c>
      <c r="H975" s="44" t="s">
        <v>643</v>
      </c>
      <c r="I975" s="44" t="s">
        <v>430</v>
      </c>
      <c r="J975" s="44" t="s">
        <v>644</v>
      </c>
      <c r="K975" s="44" t="s">
        <v>14</v>
      </c>
      <c r="L975" s="104">
        <v>319820.4</v>
      </c>
      <c r="M975" s="104">
        <v>301717.37</v>
      </c>
      <c r="N975" s="104">
        <v>18103.03</v>
      </c>
      <c r="O975" s="44" t="s">
        <v>1665</v>
      </c>
    </row>
    <row r="976" customHeight="1" spans="1:15">
      <c r="A976" s="44" t="s">
        <v>637</v>
      </c>
      <c r="B976" s="86">
        <v>45260</v>
      </c>
      <c r="C976" s="44" t="s">
        <v>700</v>
      </c>
      <c r="D976" s="44" t="s">
        <v>639</v>
      </c>
      <c r="E976" s="44" t="s">
        <v>647</v>
      </c>
      <c r="F976" s="44" t="s">
        <v>641</v>
      </c>
      <c r="G976" s="44" t="s">
        <v>648</v>
      </c>
      <c r="H976" s="44" t="s">
        <v>643</v>
      </c>
      <c r="I976" s="44" t="s">
        <v>430</v>
      </c>
      <c r="J976" s="44" t="s">
        <v>644</v>
      </c>
      <c r="K976" s="44" t="s">
        <v>14</v>
      </c>
      <c r="L976" s="104">
        <v>458591.56</v>
      </c>
      <c r="M976" s="104">
        <v>432633.52</v>
      </c>
      <c r="N976" s="104">
        <v>25958.04</v>
      </c>
      <c r="O976" s="44" t="s">
        <v>1666</v>
      </c>
    </row>
    <row r="977" customHeight="1" spans="1:15">
      <c r="A977" s="44" t="s">
        <v>637</v>
      </c>
      <c r="B977" s="86">
        <v>45260</v>
      </c>
      <c r="C977" s="44" t="s">
        <v>700</v>
      </c>
      <c r="D977" s="44" t="s">
        <v>639</v>
      </c>
      <c r="E977" s="44" t="s">
        <v>647</v>
      </c>
      <c r="F977" s="44" t="s">
        <v>641</v>
      </c>
      <c r="G977" s="44" t="s">
        <v>642</v>
      </c>
      <c r="H977" s="44" t="s">
        <v>650</v>
      </c>
      <c r="I977" s="44" t="s">
        <v>430</v>
      </c>
      <c r="J977" s="44" t="s">
        <v>644</v>
      </c>
      <c r="K977" s="44" t="s">
        <v>14</v>
      </c>
      <c r="L977" s="104">
        <v>88576.56</v>
      </c>
      <c r="M977" s="104">
        <v>83562.8</v>
      </c>
      <c r="N977" s="104">
        <v>5013.76</v>
      </c>
      <c r="O977" s="44" t="s">
        <v>1667</v>
      </c>
    </row>
    <row r="978" customHeight="1" spans="1:15">
      <c r="A978" s="44" t="s">
        <v>637</v>
      </c>
      <c r="B978" s="86">
        <v>45260</v>
      </c>
      <c r="C978" s="44" t="s">
        <v>700</v>
      </c>
      <c r="D978" s="44" t="s">
        <v>639</v>
      </c>
      <c r="E978" s="44" t="s">
        <v>640</v>
      </c>
      <c r="F978" s="44" t="s">
        <v>641</v>
      </c>
      <c r="G978" s="44" t="s">
        <v>648</v>
      </c>
      <c r="H978" s="44" t="s">
        <v>650</v>
      </c>
      <c r="I978" s="44" t="s">
        <v>779</v>
      </c>
      <c r="J978" s="44" t="s">
        <v>644</v>
      </c>
      <c r="K978" s="44" t="s">
        <v>14</v>
      </c>
      <c r="L978" s="104">
        <v>12706.08</v>
      </c>
      <c r="M978" s="104">
        <v>11986.87</v>
      </c>
      <c r="N978" s="104">
        <v>719.21</v>
      </c>
      <c r="O978" s="44" t="s">
        <v>1668</v>
      </c>
    </row>
    <row r="979" customHeight="1" spans="1:15">
      <c r="A979" s="44" t="s">
        <v>637</v>
      </c>
      <c r="B979" s="86">
        <v>45260</v>
      </c>
      <c r="C979" s="44" t="s">
        <v>700</v>
      </c>
      <c r="D979" s="44" t="s">
        <v>639</v>
      </c>
      <c r="E979" s="44" t="s">
        <v>647</v>
      </c>
      <c r="F979" s="44" t="s">
        <v>659</v>
      </c>
      <c r="G979" s="44" t="s">
        <v>642</v>
      </c>
      <c r="H979" s="44" t="s">
        <v>650</v>
      </c>
      <c r="I979" s="44" t="s">
        <v>442</v>
      </c>
      <c r="J979" s="44" t="s">
        <v>644</v>
      </c>
      <c r="K979" s="44" t="s">
        <v>14</v>
      </c>
      <c r="L979" s="104">
        <v>1209.6</v>
      </c>
      <c r="M979" s="104">
        <v>1141.13</v>
      </c>
      <c r="N979" s="104">
        <v>68.47</v>
      </c>
      <c r="O979" s="44" t="s">
        <v>1669</v>
      </c>
    </row>
    <row r="980" customHeight="1" spans="1:15">
      <c r="A980" s="44" t="s">
        <v>637</v>
      </c>
      <c r="B980" s="86">
        <v>45260</v>
      </c>
      <c r="C980" s="44" t="s">
        <v>700</v>
      </c>
      <c r="D980" s="44" t="s">
        <v>639</v>
      </c>
      <c r="E980" s="44" t="s">
        <v>647</v>
      </c>
      <c r="F980" s="44" t="s">
        <v>641</v>
      </c>
      <c r="G980" s="44" t="s">
        <v>648</v>
      </c>
      <c r="H980" s="44" t="s">
        <v>643</v>
      </c>
      <c r="I980" s="44" t="s">
        <v>442</v>
      </c>
      <c r="J980" s="44" t="s">
        <v>644</v>
      </c>
      <c r="K980" s="44" t="s">
        <v>14</v>
      </c>
      <c r="L980" s="104">
        <v>822894.58</v>
      </c>
      <c r="M980" s="104">
        <v>776315.65</v>
      </c>
      <c r="N980" s="104">
        <v>46578.93</v>
      </c>
      <c r="O980" s="44" t="s">
        <v>1670</v>
      </c>
    </row>
    <row r="981" customHeight="1" spans="1:15">
      <c r="A981" s="44" t="s">
        <v>637</v>
      </c>
      <c r="B981" s="86">
        <v>45260</v>
      </c>
      <c r="C981" s="44" t="s">
        <v>700</v>
      </c>
      <c r="D981" s="44" t="s">
        <v>639</v>
      </c>
      <c r="E981" s="44" t="s">
        <v>647</v>
      </c>
      <c r="F981" s="44" t="s">
        <v>641</v>
      </c>
      <c r="G981" s="44" t="s">
        <v>648</v>
      </c>
      <c r="H981" s="44" t="s">
        <v>650</v>
      </c>
      <c r="I981" s="44" t="s">
        <v>460</v>
      </c>
      <c r="J981" s="44" t="s">
        <v>644</v>
      </c>
      <c r="K981" s="44" t="s">
        <v>14</v>
      </c>
      <c r="L981" s="104">
        <v>989171.24</v>
      </c>
      <c r="M981" s="104">
        <v>933180.37</v>
      </c>
      <c r="N981" s="104">
        <v>55990.87</v>
      </c>
      <c r="O981" s="44" t="s">
        <v>1671</v>
      </c>
    </row>
    <row r="982" customHeight="1" spans="1:15">
      <c r="A982" s="44" t="s">
        <v>637</v>
      </c>
      <c r="B982" s="86">
        <v>45260</v>
      </c>
      <c r="C982" s="44" t="s">
        <v>710</v>
      </c>
      <c r="D982" s="44" t="s">
        <v>639</v>
      </c>
      <c r="E982" s="44" t="s">
        <v>640</v>
      </c>
      <c r="F982" s="44" t="s">
        <v>707</v>
      </c>
      <c r="G982" s="44" t="s">
        <v>648</v>
      </c>
      <c r="H982" s="44" t="s">
        <v>650</v>
      </c>
      <c r="I982" s="44" t="s">
        <v>723</v>
      </c>
      <c r="J982" s="44" t="s">
        <v>644</v>
      </c>
      <c r="K982" s="44" t="s">
        <v>165</v>
      </c>
      <c r="L982" s="104">
        <v>-18620.5</v>
      </c>
      <c r="M982" s="104">
        <v>-17566.51</v>
      </c>
      <c r="N982" s="104">
        <v>-1053.99</v>
      </c>
      <c r="O982" s="44" t="s">
        <v>1672</v>
      </c>
    </row>
    <row r="983" customHeight="1" spans="1:15">
      <c r="A983" s="44" t="s">
        <v>637</v>
      </c>
      <c r="B983" s="86">
        <v>45260</v>
      </c>
      <c r="C983" s="44" t="s">
        <v>710</v>
      </c>
      <c r="D983" s="44" t="s">
        <v>682</v>
      </c>
      <c r="E983" s="44" t="s">
        <v>647</v>
      </c>
      <c r="F983" s="44" t="s">
        <v>641</v>
      </c>
      <c r="G983" s="44" t="s">
        <v>648</v>
      </c>
      <c r="H983" s="44" t="s">
        <v>650</v>
      </c>
      <c r="I983" s="44" t="s">
        <v>711</v>
      </c>
      <c r="J983" s="44" t="s">
        <v>656</v>
      </c>
      <c r="K983" s="44" t="s">
        <v>13</v>
      </c>
      <c r="L983" s="104">
        <v>11556</v>
      </c>
      <c r="M983" s="104">
        <v>10901.87</v>
      </c>
      <c r="N983" s="104">
        <v>654.13</v>
      </c>
      <c r="O983" s="44" t="s">
        <v>1673</v>
      </c>
    </row>
    <row r="984" customHeight="1" spans="1:15">
      <c r="A984" s="44" t="s">
        <v>637</v>
      </c>
      <c r="B984" s="86">
        <v>45260</v>
      </c>
      <c r="C984" s="44" t="s">
        <v>715</v>
      </c>
      <c r="D984" s="44" t="s">
        <v>653</v>
      </c>
      <c r="E984" s="44" t="s">
        <v>647</v>
      </c>
      <c r="F984" s="44" t="s">
        <v>659</v>
      </c>
      <c r="G984" s="44" t="s">
        <v>648</v>
      </c>
      <c r="H984" s="44" t="s">
        <v>650</v>
      </c>
      <c r="I984" s="44" t="s">
        <v>716</v>
      </c>
      <c r="J984" s="44" t="s">
        <v>656</v>
      </c>
      <c r="K984" s="44" t="s">
        <v>166</v>
      </c>
      <c r="L984" s="104">
        <v>426.69</v>
      </c>
      <c r="M984" s="104">
        <v>402.55</v>
      </c>
      <c r="N984" s="104">
        <v>24.14</v>
      </c>
      <c r="O984" s="44" t="s">
        <v>1674</v>
      </c>
    </row>
    <row r="985" customHeight="1" spans="1:15">
      <c r="A985" s="44" t="s">
        <v>637</v>
      </c>
      <c r="B985" s="86">
        <v>45260</v>
      </c>
      <c r="C985" s="44" t="s">
        <v>710</v>
      </c>
      <c r="D985" s="44" t="s">
        <v>639</v>
      </c>
      <c r="E985" s="44" t="s">
        <v>647</v>
      </c>
      <c r="F985" s="44" t="s">
        <v>707</v>
      </c>
      <c r="G985" s="44" t="s">
        <v>648</v>
      </c>
      <c r="H985" s="44" t="s">
        <v>650</v>
      </c>
      <c r="I985" s="44" t="s">
        <v>723</v>
      </c>
      <c r="J985" s="44" t="s">
        <v>644</v>
      </c>
      <c r="K985" s="44" t="s">
        <v>165</v>
      </c>
      <c r="L985" s="104">
        <v>387190.5</v>
      </c>
      <c r="M985" s="104">
        <v>365274.04</v>
      </c>
      <c r="N985" s="104">
        <v>21916.46</v>
      </c>
      <c r="O985" s="44" t="s">
        <v>1675</v>
      </c>
    </row>
    <row r="986" customHeight="1" spans="1:15">
      <c r="A986" s="44" t="s">
        <v>637</v>
      </c>
      <c r="B986" s="86">
        <v>45260</v>
      </c>
      <c r="C986" s="44" t="s">
        <v>811</v>
      </c>
      <c r="D986" s="44" t="s">
        <v>639</v>
      </c>
      <c r="E986" s="44" t="s">
        <v>640</v>
      </c>
      <c r="F986" s="44" t="s">
        <v>641</v>
      </c>
      <c r="G986" s="44" t="s">
        <v>648</v>
      </c>
      <c r="H986" s="44" t="s">
        <v>643</v>
      </c>
      <c r="I986" s="44" t="s">
        <v>430</v>
      </c>
      <c r="J986" s="44" t="s">
        <v>656</v>
      </c>
      <c r="K986" s="44" t="s">
        <v>14</v>
      </c>
      <c r="L986" s="104">
        <v>-595869.31</v>
      </c>
      <c r="M986" s="104">
        <v>-562140.86</v>
      </c>
      <c r="N986" s="104">
        <v>-33728.45</v>
      </c>
      <c r="O986" s="44" t="s">
        <v>1676</v>
      </c>
    </row>
    <row r="987" customHeight="1" spans="1:15">
      <c r="A987" s="44" t="s">
        <v>637</v>
      </c>
      <c r="B987" s="86">
        <v>45260</v>
      </c>
      <c r="C987" s="44" t="s">
        <v>730</v>
      </c>
      <c r="D987" s="44" t="s">
        <v>653</v>
      </c>
      <c r="E987" s="44" t="s">
        <v>640</v>
      </c>
      <c r="F987" s="44" t="s">
        <v>659</v>
      </c>
      <c r="G987" s="44" t="s">
        <v>654</v>
      </c>
      <c r="H987" s="44" t="s">
        <v>650</v>
      </c>
      <c r="I987" s="44" t="s">
        <v>719</v>
      </c>
      <c r="J987" s="44" t="s">
        <v>656</v>
      </c>
      <c r="K987" s="44" t="s">
        <v>166</v>
      </c>
      <c r="L987" s="104">
        <v>622.68</v>
      </c>
      <c r="M987" s="104">
        <v>587.43</v>
      </c>
      <c r="N987" s="104">
        <v>35.25</v>
      </c>
      <c r="O987" s="44" t="s">
        <v>1677</v>
      </c>
    </row>
    <row r="988" customHeight="1" spans="1:15">
      <c r="A988" s="44" t="s">
        <v>637</v>
      </c>
      <c r="B988" s="86">
        <v>45260</v>
      </c>
      <c r="C988" s="44" t="s">
        <v>748</v>
      </c>
      <c r="D988" s="44" t="s">
        <v>726</v>
      </c>
      <c r="E988" s="44" t="s">
        <v>640</v>
      </c>
      <c r="F988" s="44" t="s">
        <v>641</v>
      </c>
      <c r="G988" s="44" t="s">
        <v>642</v>
      </c>
      <c r="H988" s="44" t="s">
        <v>643</v>
      </c>
      <c r="I988" s="44" t="s">
        <v>692</v>
      </c>
      <c r="J988" s="44" t="s">
        <v>656</v>
      </c>
      <c r="K988" s="44" t="s">
        <v>350</v>
      </c>
      <c r="L988" s="104">
        <v>2669.47</v>
      </c>
      <c r="M988" s="104">
        <v>2518.37</v>
      </c>
      <c r="N988" s="104">
        <v>151.1</v>
      </c>
      <c r="O988" s="44" t="s">
        <v>1678</v>
      </c>
    </row>
    <row r="989" customHeight="1" spans="1:15">
      <c r="A989" s="44" t="s">
        <v>637</v>
      </c>
      <c r="B989" s="86">
        <v>45260</v>
      </c>
      <c r="C989" s="44" t="s">
        <v>748</v>
      </c>
      <c r="D989" s="44" t="s">
        <v>653</v>
      </c>
      <c r="E989" s="44" t="s">
        <v>640</v>
      </c>
      <c r="F989" s="44" t="s">
        <v>659</v>
      </c>
      <c r="G989" s="44" t="s">
        <v>642</v>
      </c>
      <c r="H989" s="44" t="s">
        <v>650</v>
      </c>
      <c r="I989" s="44" t="s">
        <v>429</v>
      </c>
      <c r="J989" s="44" t="s">
        <v>656</v>
      </c>
      <c r="K989" s="44" t="s">
        <v>166</v>
      </c>
      <c r="L989" s="104">
        <v>-250.15</v>
      </c>
      <c r="M989" s="104">
        <v>-235.99</v>
      </c>
      <c r="N989" s="104">
        <v>-14.16</v>
      </c>
      <c r="O989" s="44" t="s">
        <v>1679</v>
      </c>
    </row>
    <row r="990" customHeight="1" spans="1:15">
      <c r="A990" s="44" t="s">
        <v>637</v>
      </c>
      <c r="B990" s="86">
        <v>45260</v>
      </c>
      <c r="C990" s="44" t="s">
        <v>748</v>
      </c>
      <c r="D990" s="44" t="s">
        <v>682</v>
      </c>
      <c r="E990" s="44" t="s">
        <v>640</v>
      </c>
      <c r="F990" s="44" t="s">
        <v>641</v>
      </c>
      <c r="G990" s="44" t="s">
        <v>642</v>
      </c>
      <c r="H990" s="44" t="s">
        <v>650</v>
      </c>
      <c r="I990" s="44" t="s">
        <v>742</v>
      </c>
      <c r="J990" s="44" t="s">
        <v>656</v>
      </c>
      <c r="K990" s="44" t="s">
        <v>13</v>
      </c>
      <c r="L990" s="104">
        <v>-4</v>
      </c>
      <c r="M990" s="104">
        <v>-3.77</v>
      </c>
      <c r="N990" s="104">
        <v>-0.23</v>
      </c>
      <c r="O990" s="44" t="s">
        <v>1680</v>
      </c>
    </row>
    <row r="991" customHeight="1" spans="1:15">
      <c r="A991" s="44" t="s">
        <v>637</v>
      </c>
      <c r="B991" s="86">
        <v>45260</v>
      </c>
      <c r="C991" s="44" t="s">
        <v>748</v>
      </c>
      <c r="D991" s="44" t="s">
        <v>653</v>
      </c>
      <c r="E991" s="44" t="s">
        <v>640</v>
      </c>
      <c r="F991" s="44" t="s">
        <v>659</v>
      </c>
      <c r="G991" s="44" t="s">
        <v>642</v>
      </c>
      <c r="H991" s="44" t="s">
        <v>650</v>
      </c>
      <c r="I991" s="44" t="s">
        <v>728</v>
      </c>
      <c r="J991" s="44" t="s">
        <v>656</v>
      </c>
      <c r="K991" s="44" t="s">
        <v>166</v>
      </c>
      <c r="L991" s="104">
        <v>-1014.66</v>
      </c>
      <c r="M991" s="104">
        <v>-957.23</v>
      </c>
      <c r="N991" s="104">
        <v>-57.43</v>
      </c>
      <c r="O991" s="44" t="s">
        <v>1681</v>
      </c>
    </row>
    <row r="992" customHeight="1" spans="1:15">
      <c r="A992" s="44" t="s">
        <v>637</v>
      </c>
      <c r="B992" s="86">
        <v>45260</v>
      </c>
      <c r="C992" s="44" t="s">
        <v>748</v>
      </c>
      <c r="D992" s="44" t="s">
        <v>639</v>
      </c>
      <c r="E992" s="44" t="s">
        <v>640</v>
      </c>
      <c r="F992" s="44" t="s">
        <v>641</v>
      </c>
      <c r="G992" s="44" t="s">
        <v>642</v>
      </c>
      <c r="H992" s="44" t="s">
        <v>643</v>
      </c>
      <c r="I992" s="44" t="s">
        <v>441</v>
      </c>
      <c r="J992" s="44" t="s">
        <v>644</v>
      </c>
      <c r="K992" s="44" t="s">
        <v>14</v>
      </c>
      <c r="L992" s="104">
        <v>-841558.66</v>
      </c>
      <c r="M992" s="104">
        <v>-793923.26</v>
      </c>
      <c r="N992" s="104">
        <v>-47635.4</v>
      </c>
      <c r="O992" s="44" t="s">
        <v>1682</v>
      </c>
    </row>
    <row r="993" customHeight="1" spans="1:15">
      <c r="A993" s="44" t="s">
        <v>637</v>
      </c>
      <c r="B993" s="86">
        <v>45260</v>
      </c>
      <c r="C993" s="44" t="s">
        <v>748</v>
      </c>
      <c r="D993" s="44" t="s">
        <v>653</v>
      </c>
      <c r="E993" s="44" t="s">
        <v>640</v>
      </c>
      <c r="F993" s="44" t="s">
        <v>659</v>
      </c>
      <c r="G993" s="44" t="s">
        <v>642</v>
      </c>
      <c r="H993" s="44" t="s">
        <v>650</v>
      </c>
      <c r="I993" s="44" t="s">
        <v>429</v>
      </c>
      <c r="J993" s="44" t="s">
        <v>656</v>
      </c>
      <c r="K993" s="44" t="s">
        <v>166</v>
      </c>
      <c r="L993" s="104">
        <v>-76.87</v>
      </c>
      <c r="M993" s="104">
        <v>-72.52</v>
      </c>
      <c r="N993" s="104">
        <v>-4.35</v>
      </c>
      <c r="O993" s="44" t="s">
        <v>1683</v>
      </c>
    </row>
    <row r="994" customHeight="1" spans="1:15">
      <c r="A994" s="44" t="s">
        <v>637</v>
      </c>
      <c r="B994" s="86">
        <v>45260</v>
      </c>
      <c r="C994" s="44" t="s">
        <v>748</v>
      </c>
      <c r="D994" s="44" t="s">
        <v>639</v>
      </c>
      <c r="E994" s="44" t="s">
        <v>640</v>
      </c>
      <c r="F994" s="44" t="s">
        <v>641</v>
      </c>
      <c r="G994" s="44" t="s">
        <v>642</v>
      </c>
      <c r="H994" s="44" t="s">
        <v>643</v>
      </c>
      <c r="I994" s="44" t="s">
        <v>441</v>
      </c>
      <c r="J994" s="44" t="s">
        <v>644</v>
      </c>
      <c r="K994" s="44" t="s">
        <v>14</v>
      </c>
      <c r="L994" s="104">
        <v>499662</v>
      </c>
      <c r="M994" s="104">
        <v>471379.25</v>
      </c>
      <c r="N994" s="104">
        <v>28282.75</v>
      </c>
      <c r="O994" s="44" t="s">
        <v>1684</v>
      </c>
    </row>
    <row r="995" customHeight="1" spans="1:15">
      <c r="A995" s="44" t="s">
        <v>637</v>
      </c>
      <c r="B995" s="86">
        <v>45260</v>
      </c>
      <c r="C995" s="44" t="s">
        <v>748</v>
      </c>
      <c r="D995" s="44" t="s">
        <v>653</v>
      </c>
      <c r="E995" s="44" t="s">
        <v>640</v>
      </c>
      <c r="F995" s="44" t="s">
        <v>659</v>
      </c>
      <c r="G995" s="44" t="s">
        <v>648</v>
      </c>
      <c r="H995" s="44" t="s">
        <v>650</v>
      </c>
      <c r="I995" s="44" t="s">
        <v>728</v>
      </c>
      <c r="J995" s="44" t="s">
        <v>656</v>
      </c>
      <c r="K995" s="44" t="s">
        <v>166</v>
      </c>
      <c r="L995" s="104">
        <v>-3.67</v>
      </c>
      <c r="M995" s="104">
        <v>-3.46</v>
      </c>
      <c r="N995" s="104">
        <v>-0.21</v>
      </c>
      <c r="O995" s="44" t="s">
        <v>1685</v>
      </c>
    </row>
    <row r="996" customHeight="1" spans="1:15">
      <c r="A996" s="44" t="s">
        <v>637</v>
      </c>
      <c r="B996" s="86">
        <v>45260</v>
      </c>
      <c r="C996" s="44" t="s">
        <v>748</v>
      </c>
      <c r="D996" s="44" t="s">
        <v>653</v>
      </c>
      <c r="E996" s="44" t="s">
        <v>640</v>
      </c>
      <c r="F996" s="44" t="s">
        <v>659</v>
      </c>
      <c r="G996" s="44" t="s">
        <v>648</v>
      </c>
      <c r="H996" s="44" t="s">
        <v>650</v>
      </c>
      <c r="I996" s="44" t="s">
        <v>429</v>
      </c>
      <c r="J996" s="44" t="s">
        <v>656</v>
      </c>
      <c r="K996" s="44" t="s">
        <v>166</v>
      </c>
      <c r="L996" s="104">
        <v>-71.5</v>
      </c>
      <c r="M996" s="104">
        <v>-67.45</v>
      </c>
      <c r="N996" s="104">
        <v>-4.05</v>
      </c>
      <c r="O996" s="44" t="s">
        <v>1686</v>
      </c>
    </row>
    <row r="997" customHeight="1" spans="1:15">
      <c r="A997" s="44" t="s">
        <v>637</v>
      </c>
      <c r="B997" s="86">
        <v>45260</v>
      </c>
      <c r="C997" s="44" t="s">
        <v>748</v>
      </c>
      <c r="D997" s="44" t="s">
        <v>639</v>
      </c>
      <c r="E997" s="44" t="s">
        <v>640</v>
      </c>
      <c r="F997" s="44" t="s">
        <v>641</v>
      </c>
      <c r="G997" s="44" t="s">
        <v>642</v>
      </c>
      <c r="H997" s="44" t="s">
        <v>643</v>
      </c>
      <c r="I997" s="44" t="s">
        <v>706</v>
      </c>
      <c r="J997" s="44" t="s">
        <v>644</v>
      </c>
      <c r="K997" s="44" t="s">
        <v>350</v>
      </c>
      <c r="L997" s="104">
        <v>93597.85</v>
      </c>
      <c r="M997" s="104">
        <v>88299.86</v>
      </c>
      <c r="N997" s="104">
        <v>5297.99</v>
      </c>
      <c r="O997" s="44" t="s">
        <v>1687</v>
      </c>
    </row>
    <row r="998" customHeight="1" spans="1:15">
      <c r="A998" s="44" t="s">
        <v>637</v>
      </c>
      <c r="B998" s="86">
        <v>45260</v>
      </c>
      <c r="C998" s="44" t="s">
        <v>748</v>
      </c>
      <c r="D998" s="44" t="s">
        <v>653</v>
      </c>
      <c r="E998" s="44" t="s">
        <v>640</v>
      </c>
      <c r="F998" s="44" t="s">
        <v>659</v>
      </c>
      <c r="G998" s="44" t="s">
        <v>642</v>
      </c>
      <c r="H998" s="44" t="s">
        <v>650</v>
      </c>
      <c r="I998" s="44" t="s">
        <v>429</v>
      </c>
      <c r="J998" s="44" t="s">
        <v>656</v>
      </c>
      <c r="K998" s="44" t="s">
        <v>166</v>
      </c>
      <c r="L998" s="104">
        <v>446.87</v>
      </c>
      <c r="M998" s="104">
        <v>421.58</v>
      </c>
      <c r="N998" s="104">
        <v>25.29</v>
      </c>
      <c r="O998" s="44" t="s">
        <v>1688</v>
      </c>
    </row>
    <row r="999" customHeight="1" spans="1:15">
      <c r="A999" s="44" t="s">
        <v>637</v>
      </c>
      <c r="B999" s="86">
        <v>45260</v>
      </c>
      <c r="C999" s="44" t="s">
        <v>748</v>
      </c>
      <c r="D999" s="44" t="s">
        <v>653</v>
      </c>
      <c r="E999" s="44" t="s">
        <v>640</v>
      </c>
      <c r="F999" s="44" t="s">
        <v>659</v>
      </c>
      <c r="G999" s="44" t="s">
        <v>642</v>
      </c>
      <c r="H999" s="44" t="s">
        <v>650</v>
      </c>
      <c r="I999" s="44" t="s">
        <v>728</v>
      </c>
      <c r="J999" s="44" t="s">
        <v>656</v>
      </c>
      <c r="K999" s="44" t="s">
        <v>166</v>
      </c>
      <c r="L999" s="104">
        <v>1098.09</v>
      </c>
      <c r="M999" s="104">
        <v>1035.93</v>
      </c>
      <c r="N999" s="104">
        <v>62.16</v>
      </c>
      <c r="O999" s="44" t="s">
        <v>1689</v>
      </c>
    </row>
    <row r="1000" customHeight="1" spans="1:15">
      <c r="A1000" s="44" t="s">
        <v>637</v>
      </c>
      <c r="B1000" s="86">
        <v>45260</v>
      </c>
      <c r="C1000" s="44" t="s">
        <v>748</v>
      </c>
      <c r="D1000" s="44" t="s">
        <v>653</v>
      </c>
      <c r="E1000" s="44" t="s">
        <v>640</v>
      </c>
      <c r="F1000" s="44" t="s">
        <v>659</v>
      </c>
      <c r="G1000" s="44" t="s">
        <v>642</v>
      </c>
      <c r="H1000" s="44" t="s">
        <v>650</v>
      </c>
      <c r="I1000" s="44" t="s">
        <v>728</v>
      </c>
      <c r="J1000" s="44" t="s">
        <v>656</v>
      </c>
      <c r="K1000" s="44" t="s">
        <v>166</v>
      </c>
      <c r="L1000" s="104">
        <v>2701.72</v>
      </c>
      <c r="M1000" s="104">
        <v>2548.79</v>
      </c>
      <c r="N1000" s="104">
        <v>152.93</v>
      </c>
      <c r="O1000" s="44" t="s">
        <v>1690</v>
      </c>
    </row>
    <row r="1001" customHeight="1" spans="1:15">
      <c r="A1001" s="44" t="s">
        <v>637</v>
      </c>
      <c r="B1001" s="86">
        <v>45260</v>
      </c>
      <c r="C1001" s="44" t="s">
        <v>748</v>
      </c>
      <c r="D1001" s="44" t="s">
        <v>653</v>
      </c>
      <c r="E1001" s="44" t="s">
        <v>640</v>
      </c>
      <c r="F1001" s="44" t="s">
        <v>659</v>
      </c>
      <c r="G1001" s="44" t="s">
        <v>642</v>
      </c>
      <c r="H1001" s="44" t="s">
        <v>650</v>
      </c>
      <c r="I1001" s="44" t="s">
        <v>429</v>
      </c>
      <c r="J1001" s="44" t="s">
        <v>656</v>
      </c>
      <c r="K1001" s="44" t="s">
        <v>166</v>
      </c>
      <c r="L1001" s="104">
        <v>153.94</v>
      </c>
      <c r="M1001" s="104">
        <v>145.23</v>
      </c>
      <c r="N1001" s="104">
        <v>8.71</v>
      </c>
      <c r="O1001" s="44" t="s">
        <v>1691</v>
      </c>
    </row>
    <row r="1002" customHeight="1" spans="1:15">
      <c r="A1002" s="44" t="s">
        <v>637</v>
      </c>
      <c r="B1002" s="86">
        <v>45260</v>
      </c>
      <c r="C1002" s="44" t="s">
        <v>748</v>
      </c>
      <c r="D1002" s="44" t="s">
        <v>639</v>
      </c>
      <c r="E1002" s="44" t="s">
        <v>640</v>
      </c>
      <c r="F1002" s="44" t="s">
        <v>707</v>
      </c>
      <c r="G1002" s="44" t="s">
        <v>642</v>
      </c>
      <c r="H1002" s="44" t="s">
        <v>650</v>
      </c>
      <c r="I1002" s="44" t="s">
        <v>429</v>
      </c>
      <c r="J1002" s="44" t="s">
        <v>644</v>
      </c>
      <c r="K1002" s="44" t="s">
        <v>165</v>
      </c>
      <c r="L1002" s="104">
        <v>-2250.01</v>
      </c>
      <c r="M1002" s="104">
        <v>-2122.65</v>
      </c>
      <c r="N1002" s="104">
        <v>-127.36</v>
      </c>
      <c r="O1002" s="44" t="s">
        <v>1692</v>
      </c>
    </row>
    <row r="1003" customHeight="1" spans="1:15">
      <c r="A1003" s="44" t="s">
        <v>637</v>
      </c>
      <c r="B1003" s="86">
        <v>45260</v>
      </c>
      <c r="C1003" s="44" t="s">
        <v>748</v>
      </c>
      <c r="D1003" s="44" t="s">
        <v>639</v>
      </c>
      <c r="E1003" s="44" t="s">
        <v>647</v>
      </c>
      <c r="F1003" s="44" t="s">
        <v>641</v>
      </c>
      <c r="G1003" s="44" t="s">
        <v>642</v>
      </c>
      <c r="H1003" s="44" t="s">
        <v>650</v>
      </c>
      <c r="I1003" s="44" t="s">
        <v>441</v>
      </c>
      <c r="J1003" s="44" t="s">
        <v>644</v>
      </c>
      <c r="K1003" s="44" t="s">
        <v>14</v>
      </c>
      <c r="L1003" s="104">
        <v>1509.6</v>
      </c>
      <c r="M1003" s="104">
        <v>1424.13</v>
      </c>
      <c r="N1003" s="104">
        <v>85.47</v>
      </c>
      <c r="O1003" s="44" t="s">
        <v>1693</v>
      </c>
    </row>
    <row r="1004" customHeight="1" spans="1:15">
      <c r="A1004" s="44" t="s">
        <v>637</v>
      </c>
      <c r="B1004" s="86">
        <v>45260</v>
      </c>
      <c r="C1004" s="44" t="s">
        <v>748</v>
      </c>
      <c r="D1004" s="44" t="s">
        <v>639</v>
      </c>
      <c r="E1004" s="44" t="s">
        <v>640</v>
      </c>
      <c r="F1004" s="44" t="s">
        <v>707</v>
      </c>
      <c r="G1004" s="44" t="s">
        <v>654</v>
      </c>
      <c r="H1004" s="44" t="s">
        <v>650</v>
      </c>
      <c r="I1004" s="44" t="s">
        <v>754</v>
      </c>
      <c r="J1004" s="44" t="s">
        <v>644</v>
      </c>
      <c r="K1004" s="44" t="s">
        <v>14</v>
      </c>
      <c r="L1004" s="104">
        <v>50389</v>
      </c>
      <c r="M1004" s="104">
        <v>47536.79</v>
      </c>
      <c r="N1004" s="104">
        <v>2852.21</v>
      </c>
      <c r="O1004" s="44" t="s">
        <v>1694</v>
      </c>
    </row>
    <row r="1005" customHeight="1" spans="1:15">
      <c r="A1005" s="44" t="s">
        <v>637</v>
      </c>
      <c r="B1005" s="86">
        <v>45260</v>
      </c>
      <c r="C1005" s="44" t="s">
        <v>748</v>
      </c>
      <c r="D1005" s="44" t="s">
        <v>639</v>
      </c>
      <c r="E1005" s="44" t="s">
        <v>640</v>
      </c>
      <c r="F1005" s="44" t="s">
        <v>641</v>
      </c>
      <c r="G1005" s="44" t="s">
        <v>648</v>
      </c>
      <c r="H1005" s="44" t="s">
        <v>697</v>
      </c>
      <c r="I1005" s="44" t="s">
        <v>444</v>
      </c>
      <c r="J1005" s="44" t="s">
        <v>644</v>
      </c>
      <c r="K1005" s="44" t="s">
        <v>14</v>
      </c>
      <c r="L1005" s="104">
        <v>9728.1</v>
      </c>
      <c r="M1005" s="104">
        <v>9177.45</v>
      </c>
      <c r="N1005" s="104">
        <v>550.65</v>
      </c>
      <c r="O1005" s="44" t="s">
        <v>1695</v>
      </c>
    </row>
    <row r="1006" customHeight="1" spans="1:15">
      <c r="A1006" s="44" t="s">
        <v>637</v>
      </c>
      <c r="B1006" s="86">
        <v>45260</v>
      </c>
      <c r="C1006" s="44" t="s">
        <v>748</v>
      </c>
      <c r="D1006" s="44" t="s">
        <v>639</v>
      </c>
      <c r="E1006" s="44" t="s">
        <v>640</v>
      </c>
      <c r="F1006" s="44" t="s">
        <v>707</v>
      </c>
      <c r="G1006" s="44" t="s">
        <v>642</v>
      </c>
      <c r="H1006" s="44" t="s">
        <v>650</v>
      </c>
      <c r="I1006" s="44" t="s">
        <v>435</v>
      </c>
      <c r="J1006" s="44" t="s">
        <v>644</v>
      </c>
      <c r="K1006" s="44" t="s">
        <v>14</v>
      </c>
      <c r="L1006" s="104">
        <v>-15.14</v>
      </c>
      <c r="M1006" s="104">
        <v>-14.28</v>
      </c>
      <c r="N1006" s="104">
        <v>-0.86</v>
      </c>
      <c r="O1006" s="44" t="s">
        <v>1696</v>
      </c>
    </row>
    <row r="1007" customHeight="1" spans="1:15">
      <c r="A1007" s="44" t="s">
        <v>637</v>
      </c>
      <c r="B1007" s="86">
        <v>45260</v>
      </c>
      <c r="C1007" s="44" t="s">
        <v>748</v>
      </c>
      <c r="D1007" s="44" t="s">
        <v>639</v>
      </c>
      <c r="E1007" s="44" t="s">
        <v>647</v>
      </c>
      <c r="F1007" s="44" t="s">
        <v>707</v>
      </c>
      <c r="G1007" s="44" t="s">
        <v>642</v>
      </c>
      <c r="H1007" s="44" t="s">
        <v>650</v>
      </c>
      <c r="I1007" s="44" t="s">
        <v>460</v>
      </c>
      <c r="J1007" s="44" t="s">
        <v>644</v>
      </c>
      <c r="K1007" s="44" t="s">
        <v>14</v>
      </c>
      <c r="L1007" s="104">
        <v>2964223</v>
      </c>
      <c r="M1007" s="104">
        <v>2796436.8</v>
      </c>
      <c r="N1007" s="104">
        <v>167786.2</v>
      </c>
      <c r="O1007" s="44" t="s">
        <v>1697</v>
      </c>
    </row>
    <row r="1008" customHeight="1" spans="1:15">
      <c r="A1008" s="44" t="s">
        <v>637</v>
      </c>
      <c r="B1008" s="86">
        <v>45260</v>
      </c>
      <c r="C1008" s="44" t="s">
        <v>748</v>
      </c>
      <c r="D1008" s="44" t="s">
        <v>639</v>
      </c>
      <c r="E1008" s="44" t="s">
        <v>640</v>
      </c>
      <c r="F1008" s="44" t="s">
        <v>641</v>
      </c>
      <c r="G1008" s="44" t="s">
        <v>642</v>
      </c>
      <c r="H1008" s="44" t="s">
        <v>650</v>
      </c>
      <c r="I1008" s="44" t="s">
        <v>444</v>
      </c>
      <c r="J1008" s="44" t="s">
        <v>644</v>
      </c>
      <c r="K1008" s="44" t="s">
        <v>14</v>
      </c>
      <c r="L1008" s="104">
        <v>-1848.64</v>
      </c>
      <c r="M1008" s="104">
        <v>-1744</v>
      </c>
      <c r="N1008" s="104">
        <v>-104.64</v>
      </c>
      <c r="O1008" s="44" t="s">
        <v>1698</v>
      </c>
    </row>
    <row r="1009" customHeight="1" spans="1:15">
      <c r="A1009" s="44" t="s">
        <v>637</v>
      </c>
      <c r="B1009" s="86">
        <v>45260</v>
      </c>
      <c r="C1009" s="44" t="s">
        <v>748</v>
      </c>
      <c r="D1009" s="44" t="s">
        <v>639</v>
      </c>
      <c r="E1009" s="44" t="s">
        <v>647</v>
      </c>
      <c r="F1009" s="44" t="s">
        <v>707</v>
      </c>
      <c r="G1009" s="44" t="s">
        <v>642</v>
      </c>
      <c r="H1009" s="44" t="s">
        <v>650</v>
      </c>
      <c r="I1009" s="44" t="s">
        <v>435</v>
      </c>
      <c r="J1009" s="44" t="s">
        <v>644</v>
      </c>
      <c r="K1009" s="44" t="s">
        <v>14</v>
      </c>
      <c r="L1009" s="104">
        <v>15.14</v>
      </c>
      <c r="M1009" s="104">
        <v>14.3</v>
      </c>
      <c r="N1009" s="104">
        <v>0.84</v>
      </c>
      <c r="O1009" s="44" t="s">
        <v>1699</v>
      </c>
    </row>
    <row r="1010" customHeight="1" spans="1:15">
      <c r="A1010" s="44" t="s">
        <v>637</v>
      </c>
      <c r="B1010" s="86">
        <v>45260</v>
      </c>
      <c r="C1010" s="44" t="s">
        <v>748</v>
      </c>
      <c r="D1010" s="44" t="s">
        <v>639</v>
      </c>
      <c r="E1010" s="44" t="s">
        <v>647</v>
      </c>
      <c r="F1010" s="44" t="s">
        <v>707</v>
      </c>
      <c r="G1010" s="44" t="s">
        <v>642</v>
      </c>
      <c r="H1010" s="44" t="s">
        <v>650</v>
      </c>
      <c r="I1010" s="44" t="s">
        <v>429</v>
      </c>
      <c r="J1010" s="44" t="s">
        <v>644</v>
      </c>
      <c r="K1010" s="44" t="s">
        <v>14</v>
      </c>
      <c r="L1010" s="104">
        <v>896541.64</v>
      </c>
      <c r="M1010" s="104">
        <v>845794.02</v>
      </c>
      <c r="N1010" s="104">
        <v>50747.62</v>
      </c>
      <c r="O1010" s="44" t="s">
        <v>1700</v>
      </c>
    </row>
    <row r="1011" customHeight="1" spans="1:15">
      <c r="A1011" s="44" t="s">
        <v>637</v>
      </c>
      <c r="B1011" s="86">
        <v>45260</v>
      </c>
      <c r="C1011" s="44" t="s">
        <v>748</v>
      </c>
      <c r="D1011" s="44" t="s">
        <v>639</v>
      </c>
      <c r="E1011" s="44" t="s">
        <v>647</v>
      </c>
      <c r="F1011" s="44" t="s">
        <v>749</v>
      </c>
      <c r="G1011" s="44" t="s">
        <v>642</v>
      </c>
      <c r="H1011" s="44" t="s">
        <v>650</v>
      </c>
      <c r="I1011" s="44" t="s">
        <v>779</v>
      </c>
      <c r="J1011" s="44" t="s">
        <v>644</v>
      </c>
      <c r="K1011" s="44" t="s">
        <v>14</v>
      </c>
      <c r="L1011" s="104">
        <v>30746.8</v>
      </c>
      <c r="M1011" s="104">
        <v>29006.42</v>
      </c>
      <c r="N1011" s="104">
        <v>1740.38</v>
      </c>
      <c r="O1011" s="44" t="s">
        <v>1701</v>
      </c>
    </row>
    <row r="1012" customHeight="1" spans="1:15">
      <c r="A1012" s="44" t="s">
        <v>637</v>
      </c>
      <c r="B1012" s="86">
        <v>45260</v>
      </c>
      <c r="C1012" s="44" t="s">
        <v>748</v>
      </c>
      <c r="D1012" s="44" t="s">
        <v>639</v>
      </c>
      <c r="E1012" s="44" t="s">
        <v>647</v>
      </c>
      <c r="F1012" s="44" t="s">
        <v>707</v>
      </c>
      <c r="G1012" s="44" t="s">
        <v>654</v>
      </c>
      <c r="H1012" s="44" t="s">
        <v>697</v>
      </c>
      <c r="I1012" s="44" t="s">
        <v>694</v>
      </c>
      <c r="J1012" s="44" t="s">
        <v>656</v>
      </c>
      <c r="K1012" s="44" t="s">
        <v>350</v>
      </c>
      <c r="L1012" s="104">
        <v>10</v>
      </c>
      <c r="M1012" s="104">
        <v>9.43</v>
      </c>
      <c r="N1012" s="104">
        <v>0.57</v>
      </c>
      <c r="O1012" s="44" t="s">
        <v>1702</v>
      </c>
    </row>
    <row r="1013" customHeight="1" spans="1:15">
      <c r="A1013" s="44" t="s">
        <v>637</v>
      </c>
      <c r="B1013" s="86">
        <v>45260</v>
      </c>
      <c r="C1013" s="44" t="s">
        <v>748</v>
      </c>
      <c r="D1013" s="44" t="s">
        <v>639</v>
      </c>
      <c r="E1013" s="44" t="s">
        <v>647</v>
      </c>
      <c r="F1013" s="44" t="s">
        <v>641</v>
      </c>
      <c r="G1013" s="44" t="s">
        <v>642</v>
      </c>
      <c r="H1013" s="44" t="s">
        <v>650</v>
      </c>
      <c r="I1013" s="44" t="s">
        <v>436</v>
      </c>
      <c r="J1013" s="44" t="s">
        <v>644</v>
      </c>
      <c r="K1013" s="44" t="s">
        <v>350</v>
      </c>
      <c r="L1013" s="104">
        <v>1119641.1</v>
      </c>
      <c r="M1013" s="104">
        <v>1056265.2</v>
      </c>
      <c r="N1013" s="104">
        <v>63375.9</v>
      </c>
      <c r="O1013" s="44" t="s">
        <v>1703</v>
      </c>
    </row>
    <row r="1014" customHeight="1" spans="1:15">
      <c r="A1014" s="44" t="s">
        <v>637</v>
      </c>
      <c r="B1014" s="86">
        <v>45260</v>
      </c>
      <c r="C1014" s="44" t="s">
        <v>748</v>
      </c>
      <c r="D1014" s="44" t="s">
        <v>639</v>
      </c>
      <c r="E1014" s="44" t="s">
        <v>647</v>
      </c>
      <c r="F1014" s="44" t="s">
        <v>641</v>
      </c>
      <c r="G1014" s="44" t="s">
        <v>654</v>
      </c>
      <c r="H1014" s="44" t="s">
        <v>650</v>
      </c>
      <c r="I1014" s="44" t="s">
        <v>776</v>
      </c>
      <c r="J1014" s="44" t="s">
        <v>644</v>
      </c>
      <c r="K1014" s="44" t="s">
        <v>14</v>
      </c>
      <c r="L1014" s="104">
        <v>105000</v>
      </c>
      <c r="M1014" s="104">
        <v>99056.61</v>
      </c>
      <c r="N1014" s="104">
        <v>5943.39</v>
      </c>
      <c r="O1014" s="44" t="s">
        <v>1704</v>
      </c>
    </row>
    <row r="1015" customHeight="1" spans="1:15">
      <c r="A1015" s="44" t="s">
        <v>637</v>
      </c>
      <c r="B1015" s="86">
        <v>45260</v>
      </c>
      <c r="C1015" s="44" t="s">
        <v>748</v>
      </c>
      <c r="D1015" s="44" t="s">
        <v>639</v>
      </c>
      <c r="E1015" s="44" t="s">
        <v>647</v>
      </c>
      <c r="F1015" s="44" t="s">
        <v>641</v>
      </c>
      <c r="G1015" s="44" t="s">
        <v>642</v>
      </c>
      <c r="H1015" s="44" t="s">
        <v>650</v>
      </c>
      <c r="I1015" s="44" t="s">
        <v>430</v>
      </c>
      <c r="J1015" s="44" t="s">
        <v>644</v>
      </c>
      <c r="K1015" s="44" t="s">
        <v>14</v>
      </c>
      <c r="L1015" s="104">
        <v>94542.48</v>
      </c>
      <c r="M1015" s="104">
        <v>89191.02</v>
      </c>
      <c r="N1015" s="104">
        <v>5351.46</v>
      </c>
      <c r="O1015" s="44" t="s">
        <v>1705</v>
      </c>
    </row>
    <row r="1016" customHeight="1" spans="1:15">
      <c r="A1016" s="44" t="s">
        <v>637</v>
      </c>
      <c r="B1016" s="86">
        <v>45260</v>
      </c>
      <c r="C1016" s="44" t="s">
        <v>748</v>
      </c>
      <c r="D1016" s="44" t="s">
        <v>639</v>
      </c>
      <c r="E1016" s="44" t="s">
        <v>647</v>
      </c>
      <c r="F1016" s="44" t="s">
        <v>689</v>
      </c>
      <c r="G1016" s="44" t="s">
        <v>654</v>
      </c>
      <c r="H1016" s="44" t="s">
        <v>697</v>
      </c>
      <c r="I1016" s="44" t="s">
        <v>672</v>
      </c>
      <c r="J1016" s="44" t="s">
        <v>656</v>
      </c>
      <c r="K1016" s="44" t="s">
        <v>350</v>
      </c>
      <c r="L1016" s="104">
        <v>68040</v>
      </c>
      <c r="M1016" s="104">
        <v>64188.69</v>
      </c>
      <c r="N1016" s="104">
        <v>3851.31</v>
      </c>
      <c r="O1016" s="44" t="s">
        <v>1706</v>
      </c>
    </row>
    <row r="1017" customHeight="1" spans="1:15">
      <c r="A1017" s="44" t="s">
        <v>637</v>
      </c>
      <c r="B1017" s="86">
        <v>45260</v>
      </c>
      <c r="C1017" s="44" t="s">
        <v>748</v>
      </c>
      <c r="D1017" s="44" t="s">
        <v>639</v>
      </c>
      <c r="E1017" s="44" t="s">
        <v>647</v>
      </c>
      <c r="F1017" s="44" t="s">
        <v>707</v>
      </c>
      <c r="G1017" s="44" t="s">
        <v>642</v>
      </c>
      <c r="H1017" s="44" t="s">
        <v>650</v>
      </c>
      <c r="I1017" s="44" t="s">
        <v>429</v>
      </c>
      <c r="J1017" s="44" t="s">
        <v>644</v>
      </c>
      <c r="K1017" s="44" t="s">
        <v>14</v>
      </c>
      <c r="L1017" s="104">
        <v>4669863.46</v>
      </c>
      <c r="M1017" s="104">
        <v>4405531.58</v>
      </c>
      <c r="N1017" s="104">
        <v>264331.88</v>
      </c>
      <c r="O1017" s="44" t="s">
        <v>1707</v>
      </c>
    </row>
    <row r="1018" customHeight="1" spans="1:15">
      <c r="A1018" s="44" t="s">
        <v>637</v>
      </c>
      <c r="B1018" s="86">
        <v>45260</v>
      </c>
      <c r="C1018" s="44" t="s">
        <v>748</v>
      </c>
      <c r="D1018" s="44" t="s">
        <v>639</v>
      </c>
      <c r="E1018" s="44" t="s">
        <v>647</v>
      </c>
      <c r="F1018" s="44" t="s">
        <v>749</v>
      </c>
      <c r="G1018" s="44" t="s">
        <v>648</v>
      </c>
      <c r="H1018" s="44" t="s">
        <v>650</v>
      </c>
      <c r="I1018" s="44" t="s">
        <v>461</v>
      </c>
      <c r="J1018" s="44" t="s">
        <v>644</v>
      </c>
      <c r="K1018" s="44" t="s">
        <v>14</v>
      </c>
      <c r="L1018" s="104">
        <v>200177.7</v>
      </c>
      <c r="M1018" s="104">
        <v>188846.91</v>
      </c>
      <c r="N1018" s="104">
        <v>11330.79</v>
      </c>
      <c r="O1018" s="44" t="s">
        <v>1708</v>
      </c>
    </row>
    <row r="1019" customHeight="1" spans="1:15">
      <c r="A1019" s="44" t="s">
        <v>637</v>
      </c>
      <c r="B1019" s="86">
        <v>45260</v>
      </c>
      <c r="C1019" s="44" t="s">
        <v>748</v>
      </c>
      <c r="D1019" s="44" t="s">
        <v>639</v>
      </c>
      <c r="E1019" s="44" t="s">
        <v>647</v>
      </c>
      <c r="F1019" s="44" t="s">
        <v>689</v>
      </c>
      <c r="G1019" s="44" t="s">
        <v>654</v>
      </c>
      <c r="H1019" s="44" t="s">
        <v>650</v>
      </c>
      <c r="I1019" s="44" t="s">
        <v>664</v>
      </c>
      <c r="J1019" s="44" t="s">
        <v>656</v>
      </c>
      <c r="K1019" s="44" t="s">
        <v>350</v>
      </c>
      <c r="L1019" s="104">
        <v>12340.2</v>
      </c>
      <c r="M1019" s="104">
        <v>11641.72</v>
      </c>
      <c r="N1019" s="104">
        <v>698.48</v>
      </c>
      <c r="O1019" s="44" t="s">
        <v>1709</v>
      </c>
    </row>
    <row r="1020" customHeight="1" spans="1:15">
      <c r="A1020" s="44" t="s">
        <v>637</v>
      </c>
      <c r="B1020" s="86">
        <v>45260</v>
      </c>
      <c r="C1020" s="44" t="s">
        <v>748</v>
      </c>
      <c r="D1020" s="44" t="s">
        <v>639</v>
      </c>
      <c r="E1020" s="44" t="s">
        <v>647</v>
      </c>
      <c r="F1020" s="44" t="s">
        <v>707</v>
      </c>
      <c r="G1020" s="44" t="s">
        <v>642</v>
      </c>
      <c r="H1020" s="44" t="s">
        <v>650</v>
      </c>
      <c r="I1020" s="44" t="s">
        <v>429</v>
      </c>
      <c r="J1020" s="44" t="s">
        <v>644</v>
      </c>
      <c r="K1020" s="44" t="s">
        <v>165</v>
      </c>
      <c r="L1020" s="104">
        <v>270648.23</v>
      </c>
      <c r="M1020" s="104">
        <v>255328.53</v>
      </c>
      <c r="N1020" s="104">
        <v>15319.7</v>
      </c>
      <c r="O1020" s="44" t="s">
        <v>1710</v>
      </c>
    </row>
    <row r="1021" customHeight="1" spans="1:15">
      <c r="A1021" s="44" t="s">
        <v>637</v>
      </c>
      <c r="B1021" s="86">
        <v>45260</v>
      </c>
      <c r="C1021" s="44" t="s">
        <v>748</v>
      </c>
      <c r="D1021" s="44" t="s">
        <v>639</v>
      </c>
      <c r="E1021" s="44" t="s">
        <v>647</v>
      </c>
      <c r="F1021" s="44" t="s">
        <v>689</v>
      </c>
      <c r="G1021" s="44" t="s">
        <v>654</v>
      </c>
      <c r="H1021" s="44" t="s">
        <v>697</v>
      </c>
      <c r="I1021" s="44" t="s">
        <v>669</v>
      </c>
      <c r="J1021" s="44" t="s">
        <v>656</v>
      </c>
      <c r="K1021" s="44" t="s">
        <v>350</v>
      </c>
      <c r="L1021" s="104">
        <v>33500</v>
      </c>
      <c r="M1021" s="104">
        <v>31603.78</v>
      </c>
      <c r="N1021" s="104">
        <v>1896.22</v>
      </c>
      <c r="O1021" s="44" t="s">
        <v>1711</v>
      </c>
    </row>
    <row r="1022" customHeight="1" spans="1:15">
      <c r="A1022" s="44" t="s">
        <v>637</v>
      </c>
      <c r="B1022" s="86">
        <v>45260</v>
      </c>
      <c r="C1022" s="44" t="s">
        <v>748</v>
      </c>
      <c r="D1022" s="44" t="s">
        <v>639</v>
      </c>
      <c r="E1022" s="44" t="s">
        <v>647</v>
      </c>
      <c r="F1022" s="44" t="s">
        <v>707</v>
      </c>
      <c r="G1022" s="44" t="s">
        <v>642</v>
      </c>
      <c r="H1022" s="44" t="s">
        <v>650</v>
      </c>
      <c r="I1022" s="44" t="s">
        <v>429</v>
      </c>
      <c r="J1022" s="44" t="s">
        <v>644</v>
      </c>
      <c r="K1022" s="44" t="s">
        <v>165</v>
      </c>
      <c r="L1022" s="104">
        <v>4516.35</v>
      </c>
      <c r="M1022" s="104">
        <v>4260.7</v>
      </c>
      <c r="N1022" s="104">
        <v>255.65</v>
      </c>
      <c r="O1022" s="44" t="s">
        <v>1712</v>
      </c>
    </row>
    <row r="1023" customHeight="1" spans="1:15">
      <c r="A1023" s="44" t="s">
        <v>637</v>
      </c>
      <c r="B1023" s="86">
        <v>45260</v>
      </c>
      <c r="C1023" s="44" t="s">
        <v>748</v>
      </c>
      <c r="D1023" s="44" t="s">
        <v>639</v>
      </c>
      <c r="E1023" s="44" t="s">
        <v>647</v>
      </c>
      <c r="F1023" s="44" t="s">
        <v>641</v>
      </c>
      <c r="G1023" s="44" t="s">
        <v>648</v>
      </c>
      <c r="H1023" s="44" t="s">
        <v>643</v>
      </c>
      <c r="I1023" s="44" t="s">
        <v>430</v>
      </c>
      <c r="J1023" s="44" t="s">
        <v>644</v>
      </c>
      <c r="K1023" s="44" t="s">
        <v>14</v>
      </c>
      <c r="L1023" s="104">
        <v>2164165.41</v>
      </c>
      <c r="M1023" s="104">
        <v>2041665.47</v>
      </c>
      <c r="N1023" s="104">
        <v>122499.94</v>
      </c>
      <c r="O1023" s="44" t="s">
        <v>1713</v>
      </c>
    </row>
    <row r="1024" customHeight="1" spans="1:15">
      <c r="A1024" s="44" t="s">
        <v>637</v>
      </c>
      <c r="B1024" s="86">
        <v>45260</v>
      </c>
      <c r="C1024" s="44" t="s">
        <v>748</v>
      </c>
      <c r="D1024" s="44" t="s">
        <v>639</v>
      </c>
      <c r="E1024" s="44" t="s">
        <v>647</v>
      </c>
      <c r="F1024" s="44" t="s">
        <v>641</v>
      </c>
      <c r="G1024" s="44" t="s">
        <v>654</v>
      </c>
      <c r="H1024" s="44" t="s">
        <v>697</v>
      </c>
      <c r="I1024" s="44" t="s">
        <v>792</v>
      </c>
      <c r="J1024" s="44" t="s">
        <v>644</v>
      </c>
      <c r="K1024" s="44" t="s">
        <v>14</v>
      </c>
      <c r="L1024" s="104">
        <v>251.96</v>
      </c>
      <c r="M1024" s="104">
        <v>237.69</v>
      </c>
      <c r="N1024" s="104">
        <v>14.27</v>
      </c>
      <c r="O1024" s="44" t="s">
        <v>1714</v>
      </c>
    </row>
    <row r="1025" customHeight="1" spans="1:15">
      <c r="A1025" s="44" t="s">
        <v>637</v>
      </c>
      <c r="B1025" s="86">
        <v>45260</v>
      </c>
      <c r="C1025" s="44" t="s">
        <v>748</v>
      </c>
      <c r="D1025" s="44" t="s">
        <v>639</v>
      </c>
      <c r="E1025" s="44" t="s">
        <v>647</v>
      </c>
      <c r="F1025" s="44" t="s">
        <v>641</v>
      </c>
      <c r="G1025" s="44" t="s">
        <v>648</v>
      </c>
      <c r="H1025" s="44" t="s">
        <v>650</v>
      </c>
      <c r="I1025" s="44" t="s">
        <v>447</v>
      </c>
      <c r="J1025" s="44" t="s">
        <v>656</v>
      </c>
      <c r="K1025" s="44" t="s">
        <v>14</v>
      </c>
      <c r="L1025" s="104">
        <v>99755.12</v>
      </c>
      <c r="M1025" s="104">
        <v>94108.57</v>
      </c>
      <c r="N1025" s="104">
        <v>5646.55</v>
      </c>
      <c r="O1025" s="44" t="s">
        <v>1715</v>
      </c>
    </row>
    <row r="1026" customHeight="1" spans="1:15">
      <c r="A1026" s="44" t="s">
        <v>637</v>
      </c>
      <c r="B1026" s="86">
        <v>45260</v>
      </c>
      <c r="C1026" s="44" t="s">
        <v>748</v>
      </c>
      <c r="D1026" s="44" t="s">
        <v>639</v>
      </c>
      <c r="E1026" s="44" t="s">
        <v>647</v>
      </c>
      <c r="F1026" s="44" t="s">
        <v>641</v>
      </c>
      <c r="G1026" s="44" t="s">
        <v>648</v>
      </c>
      <c r="H1026" s="44" t="s">
        <v>697</v>
      </c>
      <c r="I1026" s="44" t="s">
        <v>441</v>
      </c>
      <c r="J1026" s="44" t="s">
        <v>644</v>
      </c>
      <c r="K1026" s="44" t="s">
        <v>14</v>
      </c>
      <c r="L1026" s="104">
        <v>7884848.5</v>
      </c>
      <c r="M1026" s="104">
        <v>7438536.32</v>
      </c>
      <c r="N1026" s="104">
        <v>446312.18</v>
      </c>
      <c r="O1026" s="44" t="s">
        <v>1716</v>
      </c>
    </row>
    <row r="1027" customHeight="1" spans="1:15">
      <c r="A1027" s="44" t="s">
        <v>637</v>
      </c>
      <c r="B1027" s="86">
        <v>45260</v>
      </c>
      <c r="C1027" s="44" t="s">
        <v>748</v>
      </c>
      <c r="D1027" s="44" t="s">
        <v>639</v>
      </c>
      <c r="E1027" s="44" t="s">
        <v>647</v>
      </c>
      <c r="F1027" s="44" t="s">
        <v>749</v>
      </c>
      <c r="G1027" s="44" t="s">
        <v>648</v>
      </c>
      <c r="H1027" s="44" t="s">
        <v>650</v>
      </c>
      <c r="I1027" s="44" t="s">
        <v>461</v>
      </c>
      <c r="J1027" s="44" t="s">
        <v>644</v>
      </c>
      <c r="K1027" s="44" t="s">
        <v>14</v>
      </c>
      <c r="L1027" s="104">
        <v>140677</v>
      </c>
      <c r="M1027" s="104">
        <v>132714.17</v>
      </c>
      <c r="N1027" s="104">
        <v>7962.83</v>
      </c>
      <c r="O1027" s="44" t="s">
        <v>1717</v>
      </c>
    </row>
    <row r="1028" customHeight="1" spans="1:15">
      <c r="A1028" s="44" t="s">
        <v>637</v>
      </c>
      <c r="B1028" s="86">
        <v>45260</v>
      </c>
      <c r="C1028" s="44" t="s">
        <v>748</v>
      </c>
      <c r="D1028" s="44" t="s">
        <v>639</v>
      </c>
      <c r="E1028" s="44" t="s">
        <v>647</v>
      </c>
      <c r="F1028" s="44" t="s">
        <v>707</v>
      </c>
      <c r="G1028" s="44" t="s">
        <v>654</v>
      </c>
      <c r="H1028" s="44" t="s">
        <v>650</v>
      </c>
      <c r="I1028" s="44" t="s">
        <v>754</v>
      </c>
      <c r="J1028" s="44" t="s">
        <v>644</v>
      </c>
      <c r="K1028" s="44" t="s">
        <v>14</v>
      </c>
      <c r="L1028" s="104">
        <v>3522518</v>
      </c>
      <c r="M1028" s="104">
        <v>3323130.17</v>
      </c>
      <c r="N1028" s="104">
        <v>199387.83</v>
      </c>
      <c r="O1028" s="44" t="s">
        <v>1718</v>
      </c>
    </row>
    <row r="1029" customHeight="1" spans="1:15">
      <c r="A1029" s="44" t="s">
        <v>637</v>
      </c>
      <c r="B1029" s="86">
        <v>45260</v>
      </c>
      <c r="C1029" s="44" t="s">
        <v>748</v>
      </c>
      <c r="D1029" s="44" t="s">
        <v>639</v>
      </c>
      <c r="E1029" s="44" t="s">
        <v>647</v>
      </c>
      <c r="F1029" s="44" t="s">
        <v>707</v>
      </c>
      <c r="G1029" s="44" t="s">
        <v>648</v>
      </c>
      <c r="H1029" s="44" t="s">
        <v>650</v>
      </c>
      <c r="I1029" s="44" t="s">
        <v>763</v>
      </c>
      <c r="J1029" s="44" t="s">
        <v>644</v>
      </c>
      <c r="K1029" s="44" t="s">
        <v>165</v>
      </c>
      <c r="L1029" s="104">
        <v>4757.8</v>
      </c>
      <c r="M1029" s="104">
        <v>4488.48</v>
      </c>
      <c r="N1029" s="104">
        <v>269.32</v>
      </c>
      <c r="O1029" s="44" t="s">
        <v>1719</v>
      </c>
    </row>
    <row r="1030" customHeight="1" spans="1:15">
      <c r="A1030" s="44" t="s">
        <v>637</v>
      </c>
      <c r="B1030" s="86">
        <v>45260</v>
      </c>
      <c r="C1030" s="44" t="s">
        <v>748</v>
      </c>
      <c r="D1030" s="44" t="s">
        <v>639</v>
      </c>
      <c r="E1030" s="44" t="s">
        <v>647</v>
      </c>
      <c r="F1030" s="44" t="s">
        <v>707</v>
      </c>
      <c r="G1030" s="44" t="s">
        <v>648</v>
      </c>
      <c r="H1030" s="44" t="s">
        <v>643</v>
      </c>
      <c r="I1030" s="44" t="s">
        <v>429</v>
      </c>
      <c r="J1030" s="44" t="s">
        <v>644</v>
      </c>
      <c r="K1030" s="44" t="s">
        <v>14</v>
      </c>
      <c r="L1030" s="104">
        <v>2103952.94</v>
      </c>
      <c r="M1030" s="104">
        <v>1984861.23</v>
      </c>
      <c r="N1030" s="104">
        <v>119091.71</v>
      </c>
      <c r="O1030" s="44" t="s">
        <v>1720</v>
      </c>
    </row>
    <row r="1031" customHeight="1" spans="1:15">
      <c r="A1031" s="44" t="s">
        <v>637</v>
      </c>
      <c r="B1031" s="86">
        <v>45260</v>
      </c>
      <c r="C1031" s="44" t="s">
        <v>646</v>
      </c>
      <c r="D1031" s="44" t="s">
        <v>653</v>
      </c>
      <c r="E1031" s="44" t="s">
        <v>640</v>
      </c>
      <c r="F1031" s="44" t="s">
        <v>641</v>
      </c>
      <c r="G1031" s="44" t="s">
        <v>648</v>
      </c>
      <c r="H1031" s="44" t="s">
        <v>697</v>
      </c>
      <c r="I1031" s="44" t="s">
        <v>462</v>
      </c>
      <c r="J1031" s="44" t="s">
        <v>656</v>
      </c>
      <c r="K1031" s="44" t="s">
        <v>166</v>
      </c>
      <c r="L1031" s="104">
        <v>232969.1</v>
      </c>
      <c r="M1031" s="104">
        <v>219782.17</v>
      </c>
      <c r="N1031" s="104">
        <v>13186.93</v>
      </c>
      <c r="O1031" s="44" t="s">
        <v>1721</v>
      </c>
    </row>
    <row r="1032" customHeight="1" spans="1:15">
      <c r="A1032" s="44" t="s">
        <v>637</v>
      </c>
      <c r="B1032" s="86">
        <v>45260</v>
      </c>
      <c r="C1032" s="44" t="s">
        <v>646</v>
      </c>
      <c r="D1032" s="44" t="s">
        <v>653</v>
      </c>
      <c r="E1032" s="44" t="s">
        <v>640</v>
      </c>
      <c r="F1032" s="44" t="s">
        <v>659</v>
      </c>
      <c r="G1032" s="44" t="s">
        <v>648</v>
      </c>
      <c r="H1032" s="44" t="s">
        <v>650</v>
      </c>
      <c r="I1032" s="44" t="s">
        <v>462</v>
      </c>
      <c r="J1032" s="44" t="s">
        <v>656</v>
      </c>
      <c r="K1032" s="44" t="s">
        <v>166</v>
      </c>
      <c r="L1032" s="104">
        <v>931876.38</v>
      </c>
      <c r="M1032" s="104">
        <v>879128.66</v>
      </c>
      <c r="N1032" s="104">
        <v>52747.72</v>
      </c>
      <c r="O1032" s="44" t="s">
        <v>1722</v>
      </c>
    </row>
    <row r="1033" customHeight="1" spans="1:15">
      <c r="A1033" s="44" t="s">
        <v>637</v>
      </c>
      <c r="B1033" s="86">
        <v>45260</v>
      </c>
      <c r="C1033" s="44" t="s">
        <v>730</v>
      </c>
      <c r="D1033" s="44" t="s">
        <v>653</v>
      </c>
      <c r="E1033" s="44" t="s">
        <v>640</v>
      </c>
      <c r="F1033" s="44" t="s">
        <v>659</v>
      </c>
      <c r="G1033" s="44" t="s">
        <v>648</v>
      </c>
      <c r="H1033" s="44" t="s">
        <v>650</v>
      </c>
      <c r="I1033" s="44" t="s">
        <v>732</v>
      </c>
      <c r="J1033" s="44" t="s">
        <v>656</v>
      </c>
      <c r="K1033" s="44" t="s">
        <v>165</v>
      </c>
      <c r="L1033" s="104">
        <v>100667.6</v>
      </c>
      <c r="M1033" s="104">
        <v>94969.43</v>
      </c>
      <c r="N1033" s="104">
        <v>5698.17</v>
      </c>
      <c r="O1033" s="44" t="s">
        <v>1723</v>
      </c>
    </row>
    <row r="1034" customHeight="1" spans="1:15">
      <c r="A1034" s="44" t="s">
        <v>637</v>
      </c>
      <c r="B1034" s="86">
        <v>45260</v>
      </c>
      <c r="C1034" s="44" t="s">
        <v>730</v>
      </c>
      <c r="D1034" s="44" t="s">
        <v>653</v>
      </c>
      <c r="E1034" s="44" t="s">
        <v>640</v>
      </c>
      <c r="F1034" s="44" t="s">
        <v>641</v>
      </c>
      <c r="G1034" s="44" t="s">
        <v>642</v>
      </c>
      <c r="H1034" s="44" t="s">
        <v>650</v>
      </c>
      <c r="I1034" s="44" t="s">
        <v>728</v>
      </c>
      <c r="J1034" s="44" t="s">
        <v>644</v>
      </c>
      <c r="K1034" s="44" t="s">
        <v>166</v>
      </c>
      <c r="L1034" s="104">
        <v>1177.62</v>
      </c>
      <c r="M1034" s="104">
        <v>1110.96</v>
      </c>
      <c r="N1034" s="104">
        <v>66.66</v>
      </c>
      <c r="O1034" s="44" t="s">
        <v>1724</v>
      </c>
    </row>
    <row r="1035" customHeight="1" spans="1:15">
      <c r="A1035" s="44" t="s">
        <v>637</v>
      </c>
      <c r="B1035" s="86">
        <v>45260</v>
      </c>
      <c r="C1035" s="44" t="s">
        <v>811</v>
      </c>
      <c r="D1035" s="44" t="s">
        <v>639</v>
      </c>
      <c r="E1035" s="44" t="s">
        <v>640</v>
      </c>
      <c r="F1035" s="44" t="s">
        <v>641</v>
      </c>
      <c r="G1035" s="44" t="s">
        <v>642</v>
      </c>
      <c r="H1035" s="44" t="s">
        <v>643</v>
      </c>
      <c r="I1035" s="44" t="s">
        <v>430</v>
      </c>
      <c r="J1035" s="44" t="s">
        <v>656</v>
      </c>
      <c r="K1035" s="44" t="s">
        <v>14</v>
      </c>
      <c r="L1035" s="104">
        <v>-92482.27</v>
      </c>
      <c r="M1035" s="104">
        <v>-87247.42</v>
      </c>
      <c r="N1035" s="104">
        <v>-5234.85</v>
      </c>
      <c r="O1035" s="44" t="s">
        <v>1725</v>
      </c>
    </row>
    <row r="1036" customHeight="1" spans="1:15">
      <c r="A1036" s="44" t="s">
        <v>637</v>
      </c>
      <c r="B1036" s="86">
        <v>45260</v>
      </c>
      <c r="C1036" s="44" t="s">
        <v>730</v>
      </c>
      <c r="D1036" s="44" t="s">
        <v>653</v>
      </c>
      <c r="E1036" s="44" t="s">
        <v>640</v>
      </c>
      <c r="F1036" s="44" t="s">
        <v>641</v>
      </c>
      <c r="G1036" s="44" t="s">
        <v>642</v>
      </c>
      <c r="H1036" s="44" t="s">
        <v>650</v>
      </c>
      <c r="I1036" s="44" t="s">
        <v>728</v>
      </c>
      <c r="J1036" s="44" t="s">
        <v>644</v>
      </c>
      <c r="K1036" s="44" t="s">
        <v>166</v>
      </c>
      <c r="L1036" s="104">
        <v>476.88</v>
      </c>
      <c r="M1036" s="104">
        <v>449.89</v>
      </c>
      <c r="N1036" s="104">
        <v>26.99</v>
      </c>
      <c r="O1036" s="44" t="s">
        <v>1726</v>
      </c>
    </row>
    <row r="1037" customHeight="1" spans="1:15">
      <c r="A1037" s="44" t="s">
        <v>637</v>
      </c>
      <c r="B1037" s="86">
        <v>45260</v>
      </c>
      <c r="C1037" s="44" t="s">
        <v>748</v>
      </c>
      <c r="D1037" s="44" t="s">
        <v>653</v>
      </c>
      <c r="E1037" s="44" t="s">
        <v>640</v>
      </c>
      <c r="F1037" s="44" t="s">
        <v>641</v>
      </c>
      <c r="G1037" s="44" t="s">
        <v>642</v>
      </c>
      <c r="H1037" s="44" t="s">
        <v>643</v>
      </c>
      <c r="I1037" s="44" t="s">
        <v>728</v>
      </c>
      <c r="J1037" s="44" t="s">
        <v>644</v>
      </c>
      <c r="K1037" s="44" t="s">
        <v>166</v>
      </c>
      <c r="L1037" s="104">
        <v>1564.38</v>
      </c>
      <c r="M1037" s="104">
        <v>1475.83</v>
      </c>
      <c r="N1037" s="104">
        <v>88.55</v>
      </c>
      <c r="O1037" s="44" t="s">
        <v>1727</v>
      </c>
    </row>
    <row r="1038" customHeight="1" spans="1:15">
      <c r="A1038" s="44" t="s">
        <v>637</v>
      </c>
      <c r="B1038" s="86">
        <v>45260</v>
      </c>
      <c r="C1038" s="44" t="s">
        <v>748</v>
      </c>
      <c r="D1038" s="44" t="s">
        <v>653</v>
      </c>
      <c r="E1038" s="44" t="s">
        <v>640</v>
      </c>
      <c r="F1038" s="44" t="s">
        <v>659</v>
      </c>
      <c r="G1038" s="44" t="s">
        <v>642</v>
      </c>
      <c r="H1038" s="44" t="s">
        <v>650</v>
      </c>
      <c r="I1038" s="44" t="s">
        <v>429</v>
      </c>
      <c r="J1038" s="44" t="s">
        <v>656</v>
      </c>
      <c r="K1038" s="44" t="s">
        <v>166</v>
      </c>
      <c r="L1038" s="104">
        <v>9797</v>
      </c>
      <c r="M1038" s="104">
        <v>9242.45</v>
      </c>
      <c r="N1038" s="104">
        <v>554.55</v>
      </c>
      <c r="O1038" s="44" t="s">
        <v>1728</v>
      </c>
    </row>
    <row r="1039" customHeight="1" spans="1:15">
      <c r="A1039" s="44" t="s">
        <v>637</v>
      </c>
      <c r="B1039" s="86">
        <v>45260</v>
      </c>
      <c r="C1039" s="44" t="s">
        <v>748</v>
      </c>
      <c r="D1039" s="44" t="s">
        <v>653</v>
      </c>
      <c r="E1039" s="44" t="s">
        <v>640</v>
      </c>
      <c r="F1039" s="44" t="s">
        <v>659</v>
      </c>
      <c r="G1039" s="44" t="s">
        <v>642</v>
      </c>
      <c r="H1039" s="44" t="s">
        <v>650</v>
      </c>
      <c r="I1039" s="44" t="s">
        <v>728</v>
      </c>
      <c r="J1039" s="44" t="s">
        <v>656</v>
      </c>
      <c r="K1039" s="44" t="s">
        <v>166</v>
      </c>
      <c r="L1039" s="104">
        <v>20832</v>
      </c>
      <c r="M1039" s="104">
        <v>19652.83</v>
      </c>
      <c r="N1039" s="104">
        <v>1179.17</v>
      </c>
      <c r="O1039" s="44" t="s">
        <v>1729</v>
      </c>
    </row>
    <row r="1040" customHeight="1" spans="1:15">
      <c r="A1040" s="44" t="s">
        <v>637</v>
      </c>
      <c r="B1040" s="86">
        <v>45260</v>
      </c>
      <c r="C1040" s="44" t="s">
        <v>748</v>
      </c>
      <c r="D1040" s="44" t="s">
        <v>639</v>
      </c>
      <c r="E1040" s="44" t="s">
        <v>640</v>
      </c>
      <c r="F1040" s="44" t="s">
        <v>707</v>
      </c>
      <c r="G1040" s="44" t="s">
        <v>642</v>
      </c>
      <c r="H1040" s="44" t="s">
        <v>650</v>
      </c>
      <c r="I1040" s="44" t="s">
        <v>460</v>
      </c>
      <c r="J1040" s="44" t="s">
        <v>644</v>
      </c>
      <c r="K1040" s="44" t="s">
        <v>14</v>
      </c>
      <c r="L1040" s="104">
        <v>-1095819.08</v>
      </c>
      <c r="M1040" s="104">
        <v>-1033791.58</v>
      </c>
      <c r="N1040" s="104">
        <v>-62027.5</v>
      </c>
      <c r="O1040" s="44" t="s">
        <v>1730</v>
      </c>
    </row>
    <row r="1041" customHeight="1" spans="1:15">
      <c r="A1041" s="44" t="s">
        <v>637</v>
      </c>
      <c r="B1041" s="86">
        <v>45260</v>
      </c>
      <c r="C1041" s="44" t="s">
        <v>748</v>
      </c>
      <c r="D1041" s="44" t="s">
        <v>653</v>
      </c>
      <c r="E1041" s="44" t="s">
        <v>640</v>
      </c>
      <c r="F1041" s="44" t="s">
        <v>641</v>
      </c>
      <c r="G1041" s="44" t="s">
        <v>642</v>
      </c>
      <c r="H1041" s="44" t="s">
        <v>643</v>
      </c>
      <c r="I1041" s="44" t="s">
        <v>728</v>
      </c>
      <c r="J1041" s="44" t="s">
        <v>644</v>
      </c>
      <c r="K1041" s="44" t="s">
        <v>166</v>
      </c>
      <c r="L1041" s="104">
        <v>162.7</v>
      </c>
      <c r="M1041" s="104">
        <v>153.49</v>
      </c>
      <c r="N1041" s="104">
        <v>9.21</v>
      </c>
      <c r="O1041" s="44" t="s">
        <v>1731</v>
      </c>
    </row>
    <row r="1042" customHeight="1" spans="1:15">
      <c r="A1042" s="44" t="s">
        <v>637</v>
      </c>
      <c r="B1042" s="86">
        <v>45260</v>
      </c>
      <c r="C1042" s="44" t="s">
        <v>748</v>
      </c>
      <c r="D1042" s="44" t="s">
        <v>639</v>
      </c>
      <c r="E1042" s="44" t="s">
        <v>640</v>
      </c>
      <c r="F1042" s="44" t="s">
        <v>641</v>
      </c>
      <c r="G1042" s="44" t="s">
        <v>642</v>
      </c>
      <c r="H1042" s="44" t="s">
        <v>643</v>
      </c>
      <c r="I1042" s="44" t="s">
        <v>430</v>
      </c>
      <c r="J1042" s="44" t="s">
        <v>644</v>
      </c>
      <c r="K1042" s="44" t="s">
        <v>14</v>
      </c>
      <c r="L1042" s="104">
        <v>-62059.92</v>
      </c>
      <c r="M1042" s="104">
        <v>-58547.09</v>
      </c>
      <c r="N1042" s="104">
        <v>-3512.83</v>
      </c>
      <c r="O1042" s="44" t="s">
        <v>1732</v>
      </c>
    </row>
    <row r="1043" customHeight="1" spans="1:15">
      <c r="A1043" s="44" t="s">
        <v>637</v>
      </c>
      <c r="B1043" s="86">
        <v>45260</v>
      </c>
      <c r="C1043" s="44" t="s">
        <v>748</v>
      </c>
      <c r="D1043" s="44" t="s">
        <v>639</v>
      </c>
      <c r="E1043" s="44" t="s">
        <v>640</v>
      </c>
      <c r="F1043" s="44" t="s">
        <v>641</v>
      </c>
      <c r="G1043" s="44" t="s">
        <v>648</v>
      </c>
      <c r="H1043" s="44" t="s">
        <v>643</v>
      </c>
      <c r="I1043" s="44" t="s">
        <v>430</v>
      </c>
      <c r="J1043" s="44" t="s">
        <v>644</v>
      </c>
      <c r="K1043" s="44" t="s">
        <v>14</v>
      </c>
      <c r="L1043" s="104">
        <v>71176.74</v>
      </c>
      <c r="M1043" s="104">
        <v>67147.87</v>
      </c>
      <c r="N1043" s="104">
        <v>4028.87</v>
      </c>
      <c r="O1043" s="44" t="s">
        <v>1733</v>
      </c>
    </row>
    <row r="1044" customHeight="1" spans="1:15">
      <c r="A1044" s="44" t="s">
        <v>637</v>
      </c>
      <c r="B1044" s="86">
        <v>45260</v>
      </c>
      <c r="C1044" s="44" t="s">
        <v>748</v>
      </c>
      <c r="D1044" s="44" t="s">
        <v>639</v>
      </c>
      <c r="E1044" s="44" t="s">
        <v>640</v>
      </c>
      <c r="F1044" s="44" t="s">
        <v>641</v>
      </c>
      <c r="G1044" s="44" t="s">
        <v>642</v>
      </c>
      <c r="H1044" s="44" t="s">
        <v>650</v>
      </c>
      <c r="I1044" s="44" t="s">
        <v>460</v>
      </c>
      <c r="J1044" s="44" t="s">
        <v>644</v>
      </c>
      <c r="K1044" s="44" t="s">
        <v>14</v>
      </c>
      <c r="L1044" s="104">
        <v>1376416.8</v>
      </c>
      <c r="M1044" s="104">
        <v>1298506.42</v>
      </c>
      <c r="N1044" s="104">
        <v>77910.38</v>
      </c>
      <c r="O1044" s="44" t="s">
        <v>1734</v>
      </c>
    </row>
    <row r="1045" customHeight="1" spans="1:15">
      <c r="A1045" s="44" t="s">
        <v>637</v>
      </c>
      <c r="B1045" s="86">
        <v>45260</v>
      </c>
      <c r="C1045" s="44" t="s">
        <v>748</v>
      </c>
      <c r="D1045" s="44" t="s">
        <v>639</v>
      </c>
      <c r="E1045" s="44" t="s">
        <v>640</v>
      </c>
      <c r="F1045" s="44" t="s">
        <v>707</v>
      </c>
      <c r="G1045" s="44" t="s">
        <v>642</v>
      </c>
      <c r="H1045" s="44" t="s">
        <v>643</v>
      </c>
      <c r="I1045" s="44" t="s">
        <v>429</v>
      </c>
      <c r="J1045" s="44" t="s">
        <v>644</v>
      </c>
      <c r="K1045" s="44" t="s">
        <v>14</v>
      </c>
      <c r="L1045" s="104">
        <v>-657256.06</v>
      </c>
      <c r="M1045" s="104">
        <v>-620052.89</v>
      </c>
      <c r="N1045" s="104">
        <v>-37203.17</v>
      </c>
      <c r="O1045" s="44" t="s">
        <v>1735</v>
      </c>
    </row>
    <row r="1046" customHeight="1" spans="1:15">
      <c r="A1046" s="44" t="s">
        <v>637</v>
      </c>
      <c r="B1046" s="86">
        <v>45260</v>
      </c>
      <c r="C1046" s="44" t="s">
        <v>748</v>
      </c>
      <c r="D1046" s="44" t="s">
        <v>639</v>
      </c>
      <c r="E1046" s="44" t="s">
        <v>640</v>
      </c>
      <c r="F1046" s="44" t="s">
        <v>707</v>
      </c>
      <c r="G1046" s="44" t="s">
        <v>648</v>
      </c>
      <c r="H1046" s="44" t="s">
        <v>650</v>
      </c>
      <c r="I1046" s="44" t="s">
        <v>769</v>
      </c>
      <c r="J1046" s="44" t="s">
        <v>644</v>
      </c>
      <c r="K1046" s="44" t="s">
        <v>14</v>
      </c>
      <c r="L1046" s="104">
        <v>165285</v>
      </c>
      <c r="M1046" s="104">
        <v>155929.25</v>
      </c>
      <c r="N1046" s="104">
        <v>9355.75</v>
      </c>
      <c r="O1046" s="44" t="s">
        <v>1736</v>
      </c>
    </row>
    <row r="1047" customHeight="1" spans="1:15">
      <c r="A1047" s="44" t="s">
        <v>637</v>
      </c>
      <c r="B1047" s="86">
        <v>45260</v>
      </c>
      <c r="C1047" s="44" t="s">
        <v>748</v>
      </c>
      <c r="D1047" s="44" t="s">
        <v>682</v>
      </c>
      <c r="E1047" s="44" t="s">
        <v>640</v>
      </c>
      <c r="F1047" s="44" t="s">
        <v>641</v>
      </c>
      <c r="G1047" s="44" t="s">
        <v>642</v>
      </c>
      <c r="H1047" s="44" t="s">
        <v>650</v>
      </c>
      <c r="I1047" s="44" t="s">
        <v>747</v>
      </c>
      <c r="J1047" s="44" t="s">
        <v>656</v>
      </c>
      <c r="K1047" s="44" t="s">
        <v>13</v>
      </c>
      <c r="L1047" s="104">
        <v>42581.48</v>
      </c>
      <c r="M1047" s="104">
        <v>40171.21</v>
      </c>
      <c r="N1047" s="104">
        <v>2410.27</v>
      </c>
      <c r="O1047" s="44" t="s">
        <v>1737</v>
      </c>
    </row>
    <row r="1048" customHeight="1" spans="1:15">
      <c r="A1048" s="44" t="s">
        <v>637</v>
      </c>
      <c r="B1048" s="86">
        <v>45260</v>
      </c>
      <c r="C1048" s="44" t="s">
        <v>748</v>
      </c>
      <c r="D1048" s="44" t="s">
        <v>639</v>
      </c>
      <c r="E1048" s="44" t="s">
        <v>640</v>
      </c>
      <c r="F1048" s="44" t="s">
        <v>707</v>
      </c>
      <c r="G1048" s="44" t="s">
        <v>648</v>
      </c>
      <c r="H1048" s="44" t="s">
        <v>643</v>
      </c>
      <c r="I1048" s="44" t="s">
        <v>429</v>
      </c>
      <c r="J1048" s="44" t="s">
        <v>644</v>
      </c>
      <c r="K1048" s="44" t="s">
        <v>14</v>
      </c>
      <c r="L1048" s="104">
        <v>49995</v>
      </c>
      <c r="M1048" s="104">
        <v>47165.09</v>
      </c>
      <c r="N1048" s="104">
        <v>2829.91</v>
      </c>
      <c r="O1048" s="44" t="s">
        <v>1738</v>
      </c>
    </row>
    <row r="1049" customHeight="1" spans="1:15">
      <c r="A1049" s="44" t="s">
        <v>637</v>
      </c>
      <c r="B1049" s="86">
        <v>45260</v>
      </c>
      <c r="C1049" s="44" t="s">
        <v>748</v>
      </c>
      <c r="D1049" s="44" t="s">
        <v>682</v>
      </c>
      <c r="E1049" s="44" t="s">
        <v>640</v>
      </c>
      <c r="F1049" s="44" t="s">
        <v>641</v>
      </c>
      <c r="G1049" s="44" t="s">
        <v>642</v>
      </c>
      <c r="H1049" s="44" t="s">
        <v>650</v>
      </c>
      <c r="I1049" s="44" t="s">
        <v>747</v>
      </c>
      <c r="J1049" s="44" t="s">
        <v>656</v>
      </c>
      <c r="K1049" s="44" t="s">
        <v>13</v>
      </c>
      <c r="L1049" s="104">
        <v>105680</v>
      </c>
      <c r="M1049" s="104">
        <v>99698.11</v>
      </c>
      <c r="N1049" s="104">
        <v>5981.89</v>
      </c>
      <c r="O1049" s="44" t="s">
        <v>1739</v>
      </c>
    </row>
    <row r="1050" customHeight="1" spans="1:15">
      <c r="A1050" s="44" t="s">
        <v>637</v>
      </c>
      <c r="B1050" s="86">
        <v>45260</v>
      </c>
      <c r="C1050" s="44" t="s">
        <v>748</v>
      </c>
      <c r="D1050" s="44" t="s">
        <v>639</v>
      </c>
      <c r="E1050" s="44" t="s">
        <v>640</v>
      </c>
      <c r="F1050" s="44" t="s">
        <v>707</v>
      </c>
      <c r="G1050" s="44" t="s">
        <v>648</v>
      </c>
      <c r="H1050" s="44" t="s">
        <v>643</v>
      </c>
      <c r="I1050" s="44" t="s">
        <v>429</v>
      </c>
      <c r="J1050" s="44" t="s">
        <v>644</v>
      </c>
      <c r="K1050" s="44" t="s">
        <v>14</v>
      </c>
      <c r="L1050" s="104">
        <v>17943.5</v>
      </c>
      <c r="M1050" s="104">
        <v>16927.83</v>
      </c>
      <c r="N1050" s="104">
        <v>1015.67</v>
      </c>
      <c r="O1050" s="44" t="s">
        <v>1740</v>
      </c>
    </row>
    <row r="1051" customHeight="1" spans="1:15">
      <c r="A1051" s="44" t="s">
        <v>637</v>
      </c>
      <c r="B1051" s="86">
        <v>45260</v>
      </c>
      <c r="C1051" s="44" t="s">
        <v>638</v>
      </c>
      <c r="D1051" s="44" t="s">
        <v>639</v>
      </c>
      <c r="E1051" s="44" t="s">
        <v>640</v>
      </c>
      <c r="F1051" s="44" t="s">
        <v>641</v>
      </c>
      <c r="G1051" s="44" t="s">
        <v>648</v>
      </c>
      <c r="H1051" s="44" t="s">
        <v>643</v>
      </c>
      <c r="I1051" s="44" t="s">
        <v>430</v>
      </c>
      <c r="J1051" s="44" t="s">
        <v>644</v>
      </c>
      <c r="K1051" s="44" t="s">
        <v>14</v>
      </c>
      <c r="L1051" s="104">
        <v>2997098.43</v>
      </c>
      <c r="M1051" s="104">
        <v>2827451.35</v>
      </c>
      <c r="N1051" s="104">
        <v>169647.08</v>
      </c>
      <c r="O1051" s="44" t="s">
        <v>1741</v>
      </c>
    </row>
    <row r="1052" customHeight="1" spans="1:15">
      <c r="A1052" s="44" t="s">
        <v>637</v>
      </c>
      <c r="B1052" s="86">
        <v>45260</v>
      </c>
      <c r="C1052" s="44" t="s">
        <v>646</v>
      </c>
      <c r="D1052" s="44" t="s">
        <v>639</v>
      </c>
      <c r="E1052" s="44" t="s">
        <v>640</v>
      </c>
      <c r="F1052" s="44" t="s">
        <v>641</v>
      </c>
      <c r="G1052" s="44" t="s">
        <v>642</v>
      </c>
      <c r="H1052" s="44" t="s">
        <v>643</v>
      </c>
      <c r="I1052" s="44" t="s">
        <v>430</v>
      </c>
      <c r="J1052" s="44" t="s">
        <v>644</v>
      </c>
      <c r="K1052" s="44" t="s">
        <v>14</v>
      </c>
      <c r="L1052" s="104">
        <v>-1528638.63</v>
      </c>
      <c r="M1052" s="104">
        <v>-1442111.92</v>
      </c>
      <c r="N1052" s="104">
        <v>-86526.71</v>
      </c>
      <c r="O1052" s="44" t="s">
        <v>1742</v>
      </c>
    </row>
    <row r="1053" customHeight="1" spans="1:15">
      <c r="A1053" s="44" t="s">
        <v>637</v>
      </c>
      <c r="B1053" s="86">
        <v>45260</v>
      </c>
      <c r="C1053" s="44" t="s">
        <v>646</v>
      </c>
      <c r="D1053" s="44" t="s">
        <v>639</v>
      </c>
      <c r="E1053" s="44" t="s">
        <v>640</v>
      </c>
      <c r="F1053" s="44" t="s">
        <v>641</v>
      </c>
      <c r="G1053" s="44" t="s">
        <v>642</v>
      </c>
      <c r="H1053" s="44" t="s">
        <v>643</v>
      </c>
      <c r="I1053" s="44" t="s">
        <v>678</v>
      </c>
      <c r="J1053" s="44" t="s">
        <v>656</v>
      </c>
      <c r="K1053" s="44" t="s">
        <v>350</v>
      </c>
      <c r="L1053" s="104">
        <v>36</v>
      </c>
      <c r="M1053" s="104">
        <v>33.96</v>
      </c>
      <c r="N1053" s="104">
        <v>2.04</v>
      </c>
      <c r="O1053" s="44" t="s">
        <v>1743</v>
      </c>
    </row>
    <row r="1054" customHeight="1" spans="1:15">
      <c r="A1054" s="44" t="s">
        <v>637</v>
      </c>
      <c r="B1054" s="86">
        <v>45260</v>
      </c>
      <c r="C1054" s="44" t="s">
        <v>638</v>
      </c>
      <c r="D1054" s="44" t="s">
        <v>639</v>
      </c>
      <c r="E1054" s="44" t="s">
        <v>640</v>
      </c>
      <c r="F1054" s="44" t="s">
        <v>641</v>
      </c>
      <c r="G1054" s="44" t="s">
        <v>642</v>
      </c>
      <c r="H1054" s="44" t="s">
        <v>643</v>
      </c>
      <c r="I1054" s="44" t="s">
        <v>430</v>
      </c>
      <c r="J1054" s="44" t="s">
        <v>644</v>
      </c>
      <c r="K1054" s="44" t="s">
        <v>14</v>
      </c>
      <c r="L1054" s="104">
        <v>-3642082.64</v>
      </c>
      <c r="M1054" s="104">
        <v>-3435927.02</v>
      </c>
      <c r="N1054" s="104">
        <v>-206155.62</v>
      </c>
      <c r="O1054" s="44" t="s">
        <v>1744</v>
      </c>
    </row>
    <row r="1055" customHeight="1" spans="1:15">
      <c r="A1055" s="44" t="s">
        <v>637</v>
      </c>
      <c r="B1055" s="86">
        <v>45260</v>
      </c>
      <c r="C1055" s="44" t="s">
        <v>646</v>
      </c>
      <c r="D1055" s="44" t="s">
        <v>682</v>
      </c>
      <c r="E1055" s="44" t="s">
        <v>640</v>
      </c>
      <c r="F1055" s="44" t="s">
        <v>641</v>
      </c>
      <c r="G1055" s="44" t="s">
        <v>642</v>
      </c>
      <c r="H1055" s="44" t="s">
        <v>650</v>
      </c>
      <c r="I1055" s="44" t="s">
        <v>742</v>
      </c>
      <c r="J1055" s="44" t="s">
        <v>656</v>
      </c>
      <c r="K1055" s="44" t="s">
        <v>13</v>
      </c>
      <c r="L1055" s="104">
        <v>128</v>
      </c>
      <c r="M1055" s="104">
        <v>120.75</v>
      </c>
      <c r="N1055" s="104">
        <v>7.25</v>
      </c>
      <c r="O1055" s="44" t="s">
        <v>1745</v>
      </c>
    </row>
    <row r="1056" customHeight="1" spans="1:15">
      <c r="A1056" s="44" t="s">
        <v>637</v>
      </c>
      <c r="B1056" s="86">
        <v>45260</v>
      </c>
      <c r="C1056" s="44" t="s">
        <v>646</v>
      </c>
      <c r="D1056" s="44" t="s">
        <v>682</v>
      </c>
      <c r="E1056" s="44" t="s">
        <v>640</v>
      </c>
      <c r="F1056" s="44" t="s">
        <v>641</v>
      </c>
      <c r="G1056" s="44" t="s">
        <v>642</v>
      </c>
      <c r="H1056" s="44" t="s">
        <v>650</v>
      </c>
      <c r="I1056" s="44" t="s">
        <v>756</v>
      </c>
      <c r="J1056" s="44" t="s">
        <v>656</v>
      </c>
      <c r="K1056" s="44" t="s">
        <v>13</v>
      </c>
      <c r="L1056" s="104">
        <v>16330</v>
      </c>
      <c r="M1056" s="104">
        <v>15405.66</v>
      </c>
      <c r="N1056" s="104">
        <v>924.34</v>
      </c>
      <c r="O1056" s="44" t="s">
        <v>1746</v>
      </c>
    </row>
    <row r="1057" customHeight="1" spans="1:15">
      <c r="A1057" s="44" t="s">
        <v>637</v>
      </c>
      <c r="B1057" s="86">
        <v>45260</v>
      </c>
      <c r="C1057" s="44" t="s">
        <v>748</v>
      </c>
      <c r="D1057" s="44" t="s">
        <v>639</v>
      </c>
      <c r="E1057" s="44" t="s">
        <v>640</v>
      </c>
      <c r="F1057" s="44" t="s">
        <v>749</v>
      </c>
      <c r="G1057" s="44" t="s">
        <v>642</v>
      </c>
      <c r="H1057" s="44" t="s">
        <v>643</v>
      </c>
      <c r="I1057" s="44" t="s">
        <v>779</v>
      </c>
      <c r="J1057" s="44" t="s">
        <v>644</v>
      </c>
      <c r="K1057" s="44" t="s">
        <v>14</v>
      </c>
      <c r="L1057" s="104">
        <v>3290.02</v>
      </c>
      <c r="M1057" s="104">
        <v>3103.79</v>
      </c>
      <c r="N1057" s="104">
        <v>186.23</v>
      </c>
      <c r="O1057" s="44" t="s">
        <v>1747</v>
      </c>
    </row>
    <row r="1058" customHeight="1" spans="1:15">
      <c r="A1058" s="44" t="s">
        <v>637</v>
      </c>
      <c r="B1058" s="86">
        <v>45260</v>
      </c>
      <c r="C1058" s="44" t="s">
        <v>730</v>
      </c>
      <c r="D1058" s="44" t="s">
        <v>653</v>
      </c>
      <c r="E1058" s="44" t="s">
        <v>640</v>
      </c>
      <c r="F1058" s="44" t="s">
        <v>659</v>
      </c>
      <c r="G1058" s="44" t="s">
        <v>642</v>
      </c>
      <c r="H1058" s="44" t="s">
        <v>650</v>
      </c>
      <c r="I1058" s="44" t="s">
        <v>732</v>
      </c>
      <c r="J1058" s="44" t="s">
        <v>644</v>
      </c>
      <c r="K1058" s="44" t="s">
        <v>165</v>
      </c>
      <c r="L1058" s="104">
        <v>26108</v>
      </c>
      <c r="M1058" s="104">
        <v>24630.19</v>
      </c>
      <c r="N1058" s="104">
        <v>1477.81</v>
      </c>
      <c r="O1058" s="44" t="s">
        <v>1748</v>
      </c>
    </row>
    <row r="1059" customHeight="1" spans="1:15">
      <c r="A1059" s="44" t="s">
        <v>637</v>
      </c>
      <c r="B1059" s="86">
        <v>45260</v>
      </c>
      <c r="C1059" s="44" t="s">
        <v>748</v>
      </c>
      <c r="D1059" s="44" t="s">
        <v>639</v>
      </c>
      <c r="E1059" s="44" t="s">
        <v>640</v>
      </c>
      <c r="F1059" s="44" t="s">
        <v>641</v>
      </c>
      <c r="G1059" s="44" t="s">
        <v>642</v>
      </c>
      <c r="H1059" s="44" t="s">
        <v>643</v>
      </c>
      <c r="I1059" s="44" t="s">
        <v>441</v>
      </c>
      <c r="J1059" s="44" t="s">
        <v>644</v>
      </c>
      <c r="K1059" s="44" t="s">
        <v>14</v>
      </c>
      <c r="L1059" s="104">
        <v>835481.15</v>
      </c>
      <c r="M1059" s="104">
        <v>788189.76</v>
      </c>
      <c r="N1059" s="104">
        <v>47291.39</v>
      </c>
      <c r="O1059" s="44" t="s">
        <v>1749</v>
      </c>
    </row>
    <row r="1060" customHeight="1" spans="1:15">
      <c r="A1060" s="44" t="s">
        <v>637</v>
      </c>
      <c r="B1060" s="86">
        <v>45260</v>
      </c>
      <c r="C1060" s="44" t="s">
        <v>748</v>
      </c>
      <c r="D1060" s="44" t="s">
        <v>682</v>
      </c>
      <c r="E1060" s="44" t="s">
        <v>640</v>
      </c>
      <c r="F1060" s="44" t="s">
        <v>641</v>
      </c>
      <c r="G1060" s="44" t="s">
        <v>642</v>
      </c>
      <c r="H1060" s="44" t="s">
        <v>650</v>
      </c>
      <c r="I1060" s="44" t="s">
        <v>742</v>
      </c>
      <c r="J1060" s="44" t="s">
        <v>656</v>
      </c>
      <c r="K1060" s="44" t="s">
        <v>13</v>
      </c>
      <c r="L1060" s="104">
        <v>74045.86</v>
      </c>
      <c r="M1060" s="104">
        <v>69854.58</v>
      </c>
      <c r="N1060" s="104">
        <v>4191.28</v>
      </c>
      <c r="O1060" s="44" t="s">
        <v>1750</v>
      </c>
    </row>
    <row r="1061" customHeight="1" spans="1:15">
      <c r="A1061" s="44" t="s">
        <v>637</v>
      </c>
      <c r="B1061" s="86">
        <v>45260</v>
      </c>
      <c r="C1061" s="44" t="s">
        <v>1751</v>
      </c>
      <c r="D1061" s="44" t="s">
        <v>1296</v>
      </c>
      <c r="E1061" s="44" t="s">
        <v>640</v>
      </c>
      <c r="F1061" s="44" t="s">
        <v>659</v>
      </c>
      <c r="G1061" s="44" t="s">
        <v>648</v>
      </c>
      <c r="H1061" s="44" t="s">
        <v>650</v>
      </c>
      <c r="I1061" s="44" t="s">
        <v>794</v>
      </c>
      <c r="J1061" s="44" t="s">
        <v>656</v>
      </c>
      <c r="K1061" s="44" t="s">
        <v>14</v>
      </c>
      <c r="L1061" s="104">
        <v>206918.14</v>
      </c>
      <c r="M1061" s="104">
        <v>195205.79</v>
      </c>
      <c r="N1061" s="104">
        <v>11712.35</v>
      </c>
      <c r="O1061" s="44" t="s">
        <v>1752</v>
      </c>
    </row>
    <row r="1062" customHeight="1" spans="1:15">
      <c r="A1062" s="44" t="s">
        <v>637</v>
      </c>
      <c r="B1062" s="86">
        <v>45260</v>
      </c>
      <c r="C1062" s="44" t="s">
        <v>748</v>
      </c>
      <c r="D1062" s="44" t="s">
        <v>639</v>
      </c>
      <c r="E1062" s="44" t="s">
        <v>640</v>
      </c>
      <c r="F1062" s="44" t="s">
        <v>641</v>
      </c>
      <c r="G1062" s="44" t="s">
        <v>654</v>
      </c>
      <c r="H1062" s="44" t="s">
        <v>650</v>
      </c>
      <c r="I1062" s="44" t="s">
        <v>792</v>
      </c>
      <c r="J1062" s="44" t="s">
        <v>644</v>
      </c>
      <c r="K1062" s="44" t="s">
        <v>14</v>
      </c>
      <c r="L1062" s="104">
        <v>-251.96</v>
      </c>
      <c r="M1062" s="104">
        <v>-237.7</v>
      </c>
      <c r="N1062" s="104">
        <v>-14.26</v>
      </c>
      <c r="O1062" s="44" t="s">
        <v>1753</v>
      </c>
    </row>
    <row r="1063" customHeight="1" spans="1:15">
      <c r="A1063" s="44" t="s">
        <v>637</v>
      </c>
      <c r="B1063" s="86">
        <v>45260</v>
      </c>
      <c r="C1063" s="44" t="s">
        <v>1382</v>
      </c>
      <c r="D1063" s="44" t="s">
        <v>639</v>
      </c>
      <c r="E1063" s="44" t="s">
        <v>640</v>
      </c>
      <c r="F1063" s="44" t="s">
        <v>707</v>
      </c>
      <c r="G1063" s="44" t="s">
        <v>642</v>
      </c>
      <c r="H1063" s="44" t="s">
        <v>650</v>
      </c>
      <c r="I1063" s="44" t="s">
        <v>796</v>
      </c>
      <c r="J1063" s="44" t="s">
        <v>644</v>
      </c>
      <c r="K1063" s="44" t="s">
        <v>14</v>
      </c>
      <c r="L1063" s="104">
        <v>42343.04</v>
      </c>
      <c r="M1063" s="104">
        <v>39946.26</v>
      </c>
      <c r="N1063" s="104">
        <v>2396.78</v>
      </c>
      <c r="O1063" s="44" t="s">
        <v>1754</v>
      </c>
    </row>
    <row r="1064" customHeight="1" spans="1:15">
      <c r="A1064" s="44" t="s">
        <v>637</v>
      </c>
      <c r="B1064" s="86">
        <v>45260</v>
      </c>
      <c r="C1064" s="44" t="s">
        <v>1382</v>
      </c>
      <c r="D1064" s="44" t="s">
        <v>639</v>
      </c>
      <c r="E1064" s="44" t="s">
        <v>640</v>
      </c>
      <c r="F1064" s="44" t="s">
        <v>707</v>
      </c>
      <c r="G1064" s="44" t="s">
        <v>654</v>
      </c>
      <c r="H1064" s="44" t="s">
        <v>650</v>
      </c>
      <c r="I1064" s="44" t="s">
        <v>796</v>
      </c>
      <c r="J1064" s="44" t="s">
        <v>644</v>
      </c>
      <c r="K1064" s="44" t="s">
        <v>14</v>
      </c>
      <c r="L1064" s="104">
        <v>2750</v>
      </c>
      <c r="M1064" s="104">
        <v>2594.34</v>
      </c>
      <c r="N1064" s="104">
        <v>155.66</v>
      </c>
      <c r="O1064" s="44" t="s">
        <v>1755</v>
      </c>
    </row>
    <row r="1065" customHeight="1" spans="1:15">
      <c r="A1065" s="37" t="s">
        <v>637</v>
      </c>
      <c r="B1065" s="38">
        <v>45291</v>
      </c>
      <c r="C1065" s="37" t="s">
        <v>700</v>
      </c>
      <c r="D1065" s="37" t="s">
        <v>639</v>
      </c>
      <c r="E1065" s="37" t="s">
        <v>647</v>
      </c>
      <c r="F1065" s="37" t="s">
        <v>659</v>
      </c>
      <c r="G1065" s="37" t="s">
        <v>642</v>
      </c>
      <c r="H1065" s="37" t="s">
        <v>650</v>
      </c>
      <c r="I1065" s="37" t="s">
        <v>442</v>
      </c>
      <c r="J1065" s="37" t="s">
        <v>644</v>
      </c>
      <c r="K1065" s="37" t="s">
        <v>14</v>
      </c>
      <c r="L1065" s="47">
        <v>18870</v>
      </c>
      <c r="M1065" s="47">
        <v>17801.91</v>
      </c>
      <c r="N1065" s="47">
        <v>1068.09</v>
      </c>
      <c r="O1065" s="37" t="s">
        <v>1756</v>
      </c>
    </row>
    <row r="1066" customHeight="1" spans="1:15">
      <c r="A1066" s="37" t="s">
        <v>637</v>
      </c>
      <c r="B1066" s="38">
        <v>45291</v>
      </c>
      <c r="C1066" s="37" t="s">
        <v>992</v>
      </c>
      <c r="D1066" s="37" t="s">
        <v>639</v>
      </c>
      <c r="E1066" s="37" t="s">
        <v>647</v>
      </c>
      <c r="F1066" s="37" t="s">
        <v>641</v>
      </c>
      <c r="G1066" s="37" t="s">
        <v>648</v>
      </c>
      <c r="H1066" s="37" t="s">
        <v>643</v>
      </c>
      <c r="I1066" s="37" t="s">
        <v>430</v>
      </c>
      <c r="J1066" s="37" t="s">
        <v>644</v>
      </c>
      <c r="K1066" s="37" t="s">
        <v>14</v>
      </c>
      <c r="L1066" s="47">
        <v>239212.2</v>
      </c>
      <c r="M1066" s="47">
        <v>225671.87</v>
      </c>
      <c r="N1066" s="47">
        <v>13540.33</v>
      </c>
      <c r="O1066" s="37" t="s">
        <v>1757</v>
      </c>
    </row>
    <row r="1067" customHeight="1" spans="1:15">
      <c r="A1067" s="37" t="s">
        <v>637</v>
      </c>
      <c r="B1067" s="38">
        <v>45291</v>
      </c>
      <c r="C1067" s="37" t="s">
        <v>811</v>
      </c>
      <c r="D1067" s="37" t="s">
        <v>639</v>
      </c>
      <c r="E1067" s="37" t="s">
        <v>647</v>
      </c>
      <c r="F1067" s="37" t="s">
        <v>641</v>
      </c>
      <c r="G1067" s="37" t="s">
        <v>642</v>
      </c>
      <c r="H1067" s="37" t="s">
        <v>650</v>
      </c>
      <c r="I1067" s="37" t="s">
        <v>430</v>
      </c>
      <c r="J1067" s="37" t="s">
        <v>644</v>
      </c>
      <c r="K1067" s="37" t="s">
        <v>14</v>
      </c>
      <c r="L1067" s="47">
        <v>98817.84</v>
      </c>
      <c r="M1067" s="47">
        <v>93224.39</v>
      </c>
      <c r="N1067" s="47">
        <v>5593.45</v>
      </c>
      <c r="O1067" s="37" t="s">
        <v>1758</v>
      </c>
    </row>
    <row r="1068" customHeight="1" spans="1:15">
      <c r="A1068" s="37" t="s">
        <v>637</v>
      </c>
      <c r="B1068" s="38">
        <v>45291</v>
      </c>
      <c r="C1068" s="37" t="s">
        <v>811</v>
      </c>
      <c r="D1068" s="37" t="s">
        <v>726</v>
      </c>
      <c r="E1068" s="37" t="s">
        <v>647</v>
      </c>
      <c r="F1068" s="37" t="s">
        <v>641</v>
      </c>
      <c r="G1068" s="37" t="s">
        <v>648</v>
      </c>
      <c r="H1068" s="37" t="s">
        <v>643</v>
      </c>
      <c r="I1068" s="37" t="s">
        <v>430</v>
      </c>
      <c r="J1068" s="37" t="s">
        <v>644</v>
      </c>
      <c r="K1068" s="37" t="s">
        <v>14</v>
      </c>
      <c r="L1068" s="47">
        <v>1044037</v>
      </c>
      <c r="M1068" s="47">
        <v>984940.59</v>
      </c>
      <c r="N1068" s="47">
        <v>59096.41</v>
      </c>
      <c r="O1068" s="37" t="s">
        <v>1759</v>
      </c>
    </row>
    <row r="1069" customHeight="1" spans="1:15">
      <c r="A1069" s="37" t="s">
        <v>637</v>
      </c>
      <c r="B1069" s="38">
        <v>45291</v>
      </c>
      <c r="C1069" s="37" t="s">
        <v>646</v>
      </c>
      <c r="D1069" s="37" t="s">
        <v>639</v>
      </c>
      <c r="E1069" s="37" t="s">
        <v>647</v>
      </c>
      <c r="F1069" s="37" t="s">
        <v>641</v>
      </c>
      <c r="G1069" s="37" t="s">
        <v>642</v>
      </c>
      <c r="H1069" s="37" t="s">
        <v>650</v>
      </c>
      <c r="I1069" s="37" t="s">
        <v>430</v>
      </c>
      <c r="J1069" s="37" t="s">
        <v>644</v>
      </c>
      <c r="K1069" s="37" t="s">
        <v>14</v>
      </c>
      <c r="L1069" s="47">
        <v>555308.86</v>
      </c>
      <c r="M1069" s="47">
        <v>523876.29</v>
      </c>
      <c r="N1069" s="47">
        <v>31432.57</v>
      </c>
      <c r="O1069" s="37" t="s">
        <v>1760</v>
      </c>
    </row>
    <row r="1070" customHeight="1" spans="1:15">
      <c r="A1070" s="37" t="s">
        <v>637</v>
      </c>
      <c r="B1070" s="38">
        <v>45291</v>
      </c>
      <c r="C1070" s="37" t="s">
        <v>811</v>
      </c>
      <c r="D1070" s="37" t="s">
        <v>1296</v>
      </c>
      <c r="E1070" s="37" t="s">
        <v>647</v>
      </c>
      <c r="F1070" s="37" t="s">
        <v>641</v>
      </c>
      <c r="G1070" s="37" t="s">
        <v>648</v>
      </c>
      <c r="H1070" s="37" t="s">
        <v>643</v>
      </c>
      <c r="I1070" s="37" t="s">
        <v>430</v>
      </c>
      <c r="J1070" s="37" t="s">
        <v>644</v>
      </c>
      <c r="K1070" s="37" t="s">
        <v>14</v>
      </c>
      <c r="L1070" s="47">
        <v>436614.55</v>
      </c>
      <c r="M1070" s="47">
        <v>411900.54</v>
      </c>
      <c r="N1070" s="47">
        <v>24714.01</v>
      </c>
      <c r="O1070" s="37" t="s">
        <v>1761</v>
      </c>
    </row>
    <row r="1071" customHeight="1" spans="1:15">
      <c r="A1071" s="37" t="s">
        <v>637</v>
      </c>
      <c r="B1071" s="38">
        <v>45291</v>
      </c>
      <c r="C1071" s="37" t="s">
        <v>646</v>
      </c>
      <c r="D1071" s="37" t="s">
        <v>639</v>
      </c>
      <c r="E1071" s="37" t="s">
        <v>647</v>
      </c>
      <c r="F1071" s="37" t="s">
        <v>641</v>
      </c>
      <c r="G1071" s="37" t="s">
        <v>648</v>
      </c>
      <c r="H1071" s="37" t="s">
        <v>643</v>
      </c>
      <c r="I1071" s="37" t="s">
        <v>430</v>
      </c>
      <c r="J1071" s="37" t="s">
        <v>644</v>
      </c>
      <c r="K1071" s="37" t="s">
        <v>14</v>
      </c>
      <c r="L1071" s="47">
        <v>4054.5</v>
      </c>
      <c r="M1071" s="47">
        <v>3824.97</v>
      </c>
      <c r="N1071" s="47">
        <v>229.53</v>
      </c>
      <c r="O1071" s="37" t="s">
        <v>1762</v>
      </c>
    </row>
    <row r="1072" customHeight="1" spans="1:15">
      <c r="A1072" s="37" t="s">
        <v>637</v>
      </c>
      <c r="B1072" s="38">
        <v>45291</v>
      </c>
      <c r="C1072" s="37" t="s">
        <v>710</v>
      </c>
      <c r="D1072" s="37" t="s">
        <v>682</v>
      </c>
      <c r="E1072" s="37" t="s">
        <v>640</v>
      </c>
      <c r="F1072" s="37" t="s">
        <v>641</v>
      </c>
      <c r="G1072" s="37" t="s">
        <v>642</v>
      </c>
      <c r="H1072" s="37" t="s">
        <v>650</v>
      </c>
      <c r="I1072" s="37" t="s">
        <v>747</v>
      </c>
      <c r="J1072" s="37" t="s">
        <v>656</v>
      </c>
      <c r="K1072" s="37" t="s">
        <v>13</v>
      </c>
      <c r="L1072" s="47">
        <v>105680</v>
      </c>
      <c r="M1072" s="47">
        <v>99698.11</v>
      </c>
      <c r="N1072" s="47">
        <v>5981.89</v>
      </c>
      <c r="O1072" s="37" t="s">
        <v>1763</v>
      </c>
    </row>
    <row r="1073" customHeight="1" spans="1:15">
      <c r="A1073" s="37" t="s">
        <v>637</v>
      </c>
      <c r="B1073" s="38">
        <v>45291</v>
      </c>
      <c r="C1073" s="37" t="s">
        <v>710</v>
      </c>
      <c r="D1073" s="37" t="s">
        <v>682</v>
      </c>
      <c r="E1073" s="37" t="s">
        <v>640</v>
      </c>
      <c r="F1073" s="37" t="s">
        <v>641</v>
      </c>
      <c r="G1073" s="37" t="s">
        <v>642</v>
      </c>
      <c r="H1073" s="37" t="s">
        <v>650</v>
      </c>
      <c r="I1073" s="37" t="s">
        <v>742</v>
      </c>
      <c r="J1073" s="37" t="s">
        <v>656</v>
      </c>
      <c r="K1073" s="37" t="s">
        <v>13</v>
      </c>
      <c r="L1073" s="47">
        <v>327600</v>
      </c>
      <c r="M1073" s="47">
        <v>309056.6</v>
      </c>
      <c r="N1073" s="47">
        <v>18543.4</v>
      </c>
      <c r="O1073" s="37" t="s">
        <v>1764</v>
      </c>
    </row>
    <row r="1074" customHeight="1" spans="1:15">
      <c r="A1074" s="37" t="s">
        <v>637</v>
      </c>
      <c r="B1074" s="38">
        <v>45291</v>
      </c>
      <c r="C1074" s="37" t="s">
        <v>700</v>
      </c>
      <c r="D1074" s="37" t="s">
        <v>639</v>
      </c>
      <c r="E1074" s="37" t="s">
        <v>647</v>
      </c>
      <c r="F1074" s="37" t="s">
        <v>641</v>
      </c>
      <c r="G1074" s="37" t="s">
        <v>648</v>
      </c>
      <c r="H1074" s="37" t="s">
        <v>643</v>
      </c>
      <c r="I1074" s="37" t="s">
        <v>442</v>
      </c>
      <c r="J1074" s="37" t="s">
        <v>644</v>
      </c>
      <c r="K1074" s="37" t="s">
        <v>14</v>
      </c>
      <c r="L1074" s="47">
        <v>746588.66</v>
      </c>
      <c r="M1074" s="47">
        <v>704328.91</v>
      </c>
      <c r="N1074" s="47">
        <v>42259.75</v>
      </c>
      <c r="O1074" s="37" t="s">
        <v>1765</v>
      </c>
    </row>
    <row r="1075" customHeight="1" spans="1:15">
      <c r="A1075" s="37" t="s">
        <v>637</v>
      </c>
      <c r="B1075" s="38">
        <v>45291</v>
      </c>
      <c r="C1075" s="37" t="s">
        <v>710</v>
      </c>
      <c r="D1075" s="37" t="s">
        <v>682</v>
      </c>
      <c r="E1075" s="37" t="s">
        <v>640</v>
      </c>
      <c r="F1075" s="37" t="s">
        <v>641</v>
      </c>
      <c r="G1075" s="37" t="s">
        <v>642</v>
      </c>
      <c r="H1075" s="37" t="s">
        <v>650</v>
      </c>
      <c r="I1075" s="37" t="s">
        <v>747</v>
      </c>
      <c r="J1075" s="37" t="s">
        <v>656</v>
      </c>
      <c r="K1075" s="37" t="s">
        <v>13</v>
      </c>
      <c r="L1075" s="47">
        <v>214970</v>
      </c>
      <c r="M1075" s="47">
        <v>202801.89</v>
      </c>
      <c r="N1075" s="47">
        <v>12168.11</v>
      </c>
      <c r="O1075" s="37" t="s">
        <v>1766</v>
      </c>
    </row>
    <row r="1076" customHeight="1" spans="1:15">
      <c r="A1076" s="37" t="s">
        <v>637</v>
      </c>
      <c r="B1076" s="38">
        <v>45291</v>
      </c>
      <c r="C1076" s="37" t="s">
        <v>700</v>
      </c>
      <c r="D1076" s="37" t="s">
        <v>639</v>
      </c>
      <c r="E1076" s="37" t="s">
        <v>647</v>
      </c>
      <c r="F1076" s="37" t="s">
        <v>641</v>
      </c>
      <c r="G1076" s="37" t="s">
        <v>648</v>
      </c>
      <c r="H1076" s="37" t="s">
        <v>643</v>
      </c>
      <c r="I1076" s="37" t="s">
        <v>430</v>
      </c>
      <c r="J1076" s="37" t="s">
        <v>644</v>
      </c>
      <c r="K1076" s="37" t="s">
        <v>14</v>
      </c>
      <c r="L1076" s="47">
        <v>260985.89</v>
      </c>
      <c r="M1076" s="47">
        <v>246213.09</v>
      </c>
      <c r="N1076" s="47">
        <v>14772.8</v>
      </c>
      <c r="O1076" s="37" t="s">
        <v>1767</v>
      </c>
    </row>
    <row r="1077" customHeight="1" spans="1:15">
      <c r="A1077" s="37" t="s">
        <v>637</v>
      </c>
      <c r="B1077" s="38">
        <v>45291</v>
      </c>
      <c r="C1077" s="37" t="s">
        <v>710</v>
      </c>
      <c r="D1077" s="37" t="s">
        <v>682</v>
      </c>
      <c r="E1077" s="37" t="s">
        <v>640</v>
      </c>
      <c r="F1077" s="37" t="s">
        <v>641</v>
      </c>
      <c r="G1077" s="37" t="s">
        <v>642</v>
      </c>
      <c r="H1077" s="37" t="s">
        <v>650</v>
      </c>
      <c r="I1077" s="37" t="s">
        <v>747</v>
      </c>
      <c r="J1077" s="37" t="s">
        <v>656</v>
      </c>
      <c r="K1077" s="37" t="s">
        <v>13</v>
      </c>
      <c r="L1077" s="47">
        <v>55150</v>
      </c>
      <c r="M1077" s="47">
        <v>52028.3</v>
      </c>
      <c r="N1077" s="47">
        <v>3121.7</v>
      </c>
      <c r="O1077" s="37" t="s">
        <v>1768</v>
      </c>
    </row>
    <row r="1078" customHeight="1" spans="1:15">
      <c r="A1078" s="37" t="s">
        <v>637</v>
      </c>
      <c r="B1078" s="38">
        <v>45291</v>
      </c>
      <c r="C1078" s="37" t="s">
        <v>715</v>
      </c>
      <c r="D1078" s="37" t="s">
        <v>653</v>
      </c>
      <c r="E1078" s="37" t="s">
        <v>647</v>
      </c>
      <c r="F1078" s="37" t="s">
        <v>659</v>
      </c>
      <c r="G1078" s="37" t="s">
        <v>648</v>
      </c>
      <c r="H1078" s="37" t="s">
        <v>650</v>
      </c>
      <c r="I1078" s="37" t="s">
        <v>716</v>
      </c>
      <c r="J1078" s="37" t="s">
        <v>656</v>
      </c>
      <c r="K1078" s="37" t="s">
        <v>166</v>
      </c>
      <c r="L1078" s="47">
        <v>323.19</v>
      </c>
      <c r="M1078" s="47">
        <v>304.88</v>
      </c>
      <c r="N1078" s="47">
        <v>18.31</v>
      </c>
      <c r="O1078" s="37" t="s">
        <v>1769</v>
      </c>
    </row>
    <row r="1079" customHeight="1" spans="1:15">
      <c r="A1079" s="37" t="s">
        <v>637</v>
      </c>
      <c r="B1079" s="38">
        <v>45291</v>
      </c>
      <c r="C1079" s="37" t="s">
        <v>710</v>
      </c>
      <c r="D1079" s="37" t="s">
        <v>682</v>
      </c>
      <c r="E1079" s="37" t="s">
        <v>640</v>
      </c>
      <c r="F1079" s="37" t="s">
        <v>641</v>
      </c>
      <c r="G1079" s="37" t="s">
        <v>642</v>
      </c>
      <c r="H1079" s="37" t="s">
        <v>650</v>
      </c>
      <c r="I1079" s="37" t="s">
        <v>747</v>
      </c>
      <c r="J1079" s="37" t="s">
        <v>656</v>
      </c>
      <c r="K1079" s="37" t="s">
        <v>13</v>
      </c>
      <c r="L1079" s="47">
        <v>71900</v>
      </c>
      <c r="M1079" s="47">
        <v>67830.19</v>
      </c>
      <c r="N1079" s="47">
        <v>4069.81</v>
      </c>
      <c r="O1079" s="37" t="s">
        <v>1770</v>
      </c>
    </row>
    <row r="1080" customHeight="1" spans="1:15">
      <c r="A1080" s="37" t="s">
        <v>637</v>
      </c>
      <c r="B1080" s="38">
        <v>45291</v>
      </c>
      <c r="C1080" s="37" t="s">
        <v>710</v>
      </c>
      <c r="D1080" s="37" t="s">
        <v>682</v>
      </c>
      <c r="E1080" s="37" t="s">
        <v>640</v>
      </c>
      <c r="F1080" s="37" t="s">
        <v>641</v>
      </c>
      <c r="G1080" s="37" t="s">
        <v>642</v>
      </c>
      <c r="H1080" s="37" t="s">
        <v>650</v>
      </c>
      <c r="I1080" s="37" t="s">
        <v>742</v>
      </c>
      <c r="J1080" s="37" t="s">
        <v>656</v>
      </c>
      <c r="K1080" s="37" t="s">
        <v>13</v>
      </c>
      <c r="L1080" s="47">
        <v>85880</v>
      </c>
      <c r="M1080" s="47">
        <v>81018.87</v>
      </c>
      <c r="N1080" s="47">
        <v>4861.13</v>
      </c>
      <c r="O1080" s="37" t="s">
        <v>1771</v>
      </c>
    </row>
    <row r="1081" customHeight="1" spans="1:15">
      <c r="A1081" s="37" t="s">
        <v>637</v>
      </c>
      <c r="B1081" s="38">
        <v>45291</v>
      </c>
      <c r="C1081" s="37" t="s">
        <v>710</v>
      </c>
      <c r="D1081" s="37" t="s">
        <v>639</v>
      </c>
      <c r="E1081" s="37" t="s">
        <v>647</v>
      </c>
      <c r="F1081" s="37" t="s">
        <v>707</v>
      </c>
      <c r="G1081" s="37" t="s">
        <v>648</v>
      </c>
      <c r="H1081" s="37" t="s">
        <v>650</v>
      </c>
      <c r="I1081" s="37" t="s">
        <v>723</v>
      </c>
      <c r="J1081" s="37" t="s">
        <v>644</v>
      </c>
      <c r="K1081" s="37" t="s">
        <v>165</v>
      </c>
      <c r="L1081" s="47">
        <v>336334</v>
      </c>
      <c r="M1081" s="47">
        <v>317296.23</v>
      </c>
      <c r="N1081" s="47">
        <v>19037.77</v>
      </c>
      <c r="O1081" s="37" t="s">
        <v>1772</v>
      </c>
    </row>
    <row r="1082" customHeight="1" spans="1:15">
      <c r="A1082" s="37" t="s">
        <v>637</v>
      </c>
      <c r="B1082" s="38">
        <v>45291</v>
      </c>
      <c r="C1082" s="37" t="s">
        <v>638</v>
      </c>
      <c r="D1082" s="37" t="s">
        <v>639</v>
      </c>
      <c r="E1082" s="37" t="s">
        <v>647</v>
      </c>
      <c r="F1082" s="37" t="s">
        <v>641</v>
      </c>
      <c r="G1082" s="37" t="s">
        <v>648</v>
      </c>
      <c r="H1082" s="37" t="s">
        <v>643</v>
      </c>
      <c r="I1082" s="37" t="s">
        <v>430</v>
      </c>
      <c r="J1082" s="37" t="s">
        <v>644</v>
      </c>
      <c r="K1082" s="37" t="s">
        <v>14</v>
      </c>
      <c r="L1082" s="47">
        <v>179099.9</v>
      </c>
      <c r="M1082" s="47">
        <v>168962.12</v>
      </c>
      <c r="N1082" s="47">
        <v>10137.78</v>
      </c>
      <c r="O1082" s="37" t="s">
        <v>1773</v>
      </c>
    </row>
    <row r="1083" customHeight="1" spans="1:15">
      <c r="A1083" s="37" t="s">
        <v>637</v>
      </c>
      <c r="B1083" s="38">
        <v>45291</v>
      </c>
      <c r="C1083" s="37" t="s">
        <v>638</v>
      </c>
      <c r="D1083" s="37" t="s">
        <v>639</v>
      </c>
      <c r="E1083" s="37" t="s">
        <v>647</v>
      </c>
      <c r="F1083" s="37" t="s">
        <v>641</v>
      </c>
      <c r="G1083" s="37" t="s">
        <v>648</v>
      </c>
      <c r="H1083" s="37" t="s">
        <v>697</v>
      </c>
      <c r="I1083" s="37" t="s">
        <v>430</v>
      </c>
      <c r="J1083" s="37" t="s">
        <v>644</v>
      </c>
      <c r="K1083" s="37" t="s">
        <v>14</v>
      </c>
      <c r="L1083" s="47">
        <v>950.4</v>
      </c>
      <c r="M1083" s="47">
        <v>896.59</v>
      </c>
      <c r="N1083" s="47">
        <v>53.81</v>
      </c>
      <c r="O1083" s="37" t="s">
        <v>1774</v>
      </c>
    </row>
    <row r="1084" customHeight="1" spans="1:15">
      <c r="A1084" s="37" t="s">
        <v>637</v>
      </c>
      <c r="B1084" s="38">
        <v>45291</v>
      </c>
      <c r="C1084" s="37" t="s">
        <v>638</v>
      </c>
      <c r="D1084" s="37" t="s">
        <v>639</v>
      </c>
      <c r="E1084" s="37" t="s">
        <v>647</v>
      </c>
      <c r="F1084" s="37" t="s">
        <v>641</v>
      </c>
      <c r="G1084" s="37" t="s">
        <v>642</v>
      </c>
      <c r="H1084" s="37" t="s">
        <v>650</v>
      </c>
      <c r="I1084" s="37" t="s">
        <v>430</v>
      </c>
      <c r="J1084" s="37" t="s">
        <v>644</v>
      </c>
      <c r="K1084" s="37" t="s">
        <v>14</v>
      </c>
      <c r="L1084" s="47">
        <v>488704.32</v>
      </c>
      <c r="M1084" s="47">
        <v>461041.85</v>
      </c>
      <c r="N1084" s="47">
        <v>27662.47</v>
      </c>
      <c r="O1084" s="37" t="s">
        <v>1775</v>
      </c>
    </row>
    <row r="1085" customHeight="1" spans="1:15">
      <c r="A1085" s="37" t="s">
        <v>637</v>
      </c>
      <c r="B1085" s="38">
        <v>45291</v>
      </c>
      <c r="C1085" s="37" t="s">
        <v>1382</v>
      </c>
      <c r="D1085" s="37" t="s">
        <v>639</v>
      </c>
      <c r="E1085" s="37" t="s">
        <v>640</v>
      </c>
      <c r="F1085" s="37" t="s">
        <v>641</v>
      </c>
      <c r="G1085" s="37" t="s">
        <v>654</v>
      </c>
      <c r="H1085" s="37" t="s">
        <v>650</v>
      </c>
      <c r="I1085" s="37" t="s">
        <v>798</v>
      </c>
      <c r="J1085" s="37" t="s">
        <v>644</v>
      </c>
      <c r="K1085" s="37" t="s">
        <v>14</v>
      </c>
      <c r="L1085" s="47">
        <v>90015</v>
      </c>
      <c r="M1085" s="47">
        <v>84919.81</v>
      </c>
      <c r="N1085" s="47">
        <v>5095.19</v>
      </c>
      <c r="O1085" s="37" t="s">
        <v>1776</v>
      </c>
    </row>
    <row r="1086" customHeight="1" spans="1:15">
      <c r="A1086" s="37" t="s">
        <v>637</v>
      </c>
      <c r="B1086" s="38">
        <v>45291</v>
      </c>
      <c r="C1086" s="37" t="s">
        <v>638</v>
      </c>
      <c r="D1086" s="37" t="s">
        <v>639</v>
      </c>
      <c r="E1086" s="37" t="s">
        <v>647</v>
      </c>
      <c r="F1086" s="37" t="s">
        <v>641</v>
      </c>
      <c r="G1086" s="37" t="s">
        <v>648</v>
      </c>
      <c r="H1086" s="37" t="s">
        <v>643</v>
      </c>
      <c r="I1086" s="37" t="s">
        <v>430</v>
      </c>
      <c r="J1086" s="37" t="s">
        <v>644</v>
      </c>
      <c r="K1086" s="37" t="s">
        <v>14</v>
      </c>
      <c r="L1086" s="47">
        <v>186676.81</v>
      </c>
      <c r="M1086" s="47">
        <v>176110.21</v>
      </c>
      <c r="N1086" s="47">
        <v>10566.6</v>
      </c>
      <c r="O1086" s="37" t="s">
        <v>1777</v>
      </c>
    </row>
    <row r="1087" customHeight="1" spans="1:15">
      <c r="A1087" s="37" t="s">
        <v>637</v>
      </c>
      <c r="B1087" s="38">
        <v>45291</v>
      </c>
      <c r="C1087" s="37" t="s">
        <v>646</v>
      </c>
      <c r="D1087" s="37" t="s">
        <v>639</v>
      </c>
      <c r="E1087" s="37" t="s">
        <v>640</v>
      </c>
      <c r="F1087" s="37" t="s">
        <v>641</v>
      </c>
      <c r="G1087" s="37" t="s">
        <v>642</v>
      </c>
      <c r="H1087" s="37" t="s">
        <v>650</v>
      </c>
      <c r="I1087" s="37" t="s">
        <v>704</v>
      </c>
      <c r="J1087" s="37" t="s">
        <v>656</v>
      </c>
      <c r="K1087" s="37" t="s">
        <v>350</v>
      </c>
      <c r="L1087" s="47">
        <v>33324.9</v>
      </c>
      <c r="M1087" s="47">
        <v>31438.58</v>
      </c>
      <c r="N1087" s="47">
        <v>1886.32</v>
      </c>
      <c r="O1087" s="37" t="s">
        <v>1778</v>
      </c>
    </row>
    <row r="1088" customHeight="1" spans="1:15">
      <c r="A1088" s="37" t="s">
        <v>637</v>
      </c>
      <c r="B1088" s="38">
        <v>45291</v>
      </c>
      <c r="C1088" s="37" t="s">
        <v>646</v>
      </c>
      <c r="D1088" s="37" t="s">
        <v>639</v>
      </c>
      <c r="E1088" s="37" t="s">
        <v>640</v>
      </c>
      <c r="F1088" s="37" t="s">
        <v>689</v>
      </c>
      <c r="G1088" s="37" t="s">
        <v>654</v>
      </c>
      <c r="H1088" s="37" t="s">
        <v>697</v>
      </c>
      <c r="I1088" s="37" t="s">
        <v>658</v>
      </c>
      <c r="J1088" s="37" t="s">
        <v>656</v>
      </c>
      <c r="K1088" s="37" t="s">
        <v>350</v>
      </c>
      <c r="L1088" s="47">
        <v>500000</v>
      </c>
      <c r="M1088" s="47">
        <v>471698.11</v>
      </c>
      <c r="N1088" s="47">
        <v>28301.89</v>
      </c>
      <c r="O1088" s="37" t="s">
        <v>1779</v>
      </c>
    </row>
    <row r="1089" customHeight="1" spans="1:15">
      <c r="A1089" s="37" t="s">
        <v>637</v>
      </c>
      <c r="B1089" s="38">
        <v>45291</v>
      </c>
      <c r="C1089" s="37" t="s">
        <v>1382</v>
      </c>
      <c r="D1089" s="37" t="s">
        <v>639</v>
      </c>
      <c r="E1089" s="37" t="s">
        <v>647</v>
      </c>
      <c r="F1089" s="37" t="s">
        <v>707</v>
      </c>
      <c r="G1089" s="37" t="s">
        <v>642</v>
      </c>
      <c r="H1089" s="37" t="s">
        <v>650</v>
      </c>
      <c r="I1089" s="37" t="s">
        <v>796</v>
      </c>
      <c r="J1089" s="37" t="s">
        <v>644</v>
      </c>
      <c r="K1089" s="37" t="s">
        <v>14</v>
      </c>
      <c r="L1089" s="47">
        <v>23697.98</v>
      </c>
      <c r="M1089" s="47">
        <v>22356.61</v>
      </c>
      <c r="N1089" s="47">
        <v>1341.37</v>
      </c>
      <c r="O1089" s="37" t="s">
        <v>1780</v>
      </c>
    </row>
    <row r="1090" customHeight="1" spans="1:15">
      <c r="A1090" s="37" t="s">
        <v>637</v>
      </c>
      <c r="B1090" s="38">
        <v>45291</v>
      </c>
      <c r="C1090" s="37" t="s">
        <v>748</v>
      </c>
      <c r="D1090" s="37" t="s">
        <v>682</v>
      </c>
      <c r="E1090" s="37" t="s">
        <v>640</v>
      </c>
      <c r="F1090" s="37" t="s">
        <v>641</v>
      </c>
      <c r="G1090" s="37" t="s">
        <v>642</v>
      </c>
      <c r="H1090" s="37" t="s">
        <v>650</v>
      </c>
      <c r="I1090" s="37" t="s">
        <v>747</v>
      </c>
      <c r="J1090" s="37" t="s">
        <v>656</v>
      </c>
      <c r="K1090" s="37" t="s">
        <v>13</v>
      </c>
      <c r="L1090" s="47">
        <v>-55150</v>
      </c>
      <c r="M1090" s="47">
        <v>-52028.3</v>
      </c>
      <c r="N1090" s="47">
        <v>-3121.7</v>
      </c>
      <c r="O1090" s="37" t="s">
        <v>1781</v>
      </c>
    </row>
    <row r="1091" customHeight="1" spans="1:15">
      <c r="A1091" s="37" t="s">
        <v>637</v>
      </c>
      <c r="B1091" s="38">
        <v>45291</v>
      </c>
      <c r="C1091" s="37" t="s">
        <v>748</v>
      </c>
      <c r="D1091" s="37" t="s">
        <v>682</v>
      </c>
      <c r="E1091" s="37" t="s">
        <v>640</v>
      </c>
      <c r="F1091" s="37" t="s">
        <v>641</v>
      </c>
      <c r="G1091" s="37" t="s">
        <v>642</v>
      </c>
      <c r="H1091" s="37" t="s">
        <v>650</v>
      </c>
      <c r="I1091" s="37" t="s">
        <v>742</v>
      </c>
      <c r="J1091" s="37" t="s">
        <v>656</v>
      </c>
      <c r="K1091" s="37" t="s">
        <v>13</v>
      </c>
      <c r="L1091" s="47">
        <v>-327600</v>
      </c>
      <c r="M1091" s="47">
        <v>-309056.6</v>
      </c>
      <c r="N1091" s="47">
        <v>-18543.4</v>
      </c>
      <c r="O1091" s="37" t="s">
        <v>1782</v>
      </c>
    </row>
    <row r="1092" customHeight="1" spans="1:15">
      <c r="A1092" s="37" t="s">
        <v>637</v>
      </c>
      <c r="B1092" s="38">
        <v>45291</v>
      </c>
      <c r="C1092" s="37" t="s">
        <v>748</v>
      </c>
      <c r="D1092" s="37" t="s">
        <v>682</v>
      </c>
      <c r="E1092" s="37" t="s">
        <v>640</v>
      </c>
      <c r="F1092" s="37" t="s">
        <v>641</v>
      </c>
      <c r="G1092" s="37" t="s">
        <v>642</v>
      </c>
      <c r="H1092" s="37" t="s">
        <v>650</v>
      </c>
      <c r="I1092" s="37" t="s">
        <v>742</v>
      </c>
      <c r="J1092" s="37" t="s">
        <v>656</v>
      </c>
      <c r="K1092" s="37" t="s">
        <v>13</v>
      </c>
      <c r="L1092" s="47">
        <v>-85880</v>
      </c>
      <c r="M1092" s="47">
        <v>-81018.87</v>
      </c>
      <c r="N1092" s="47">
        <v>-4861.13</v>
      </c>
      <c r="O1092" s="37" t="s">
        <v>1783</v>
      </c>
    </row>
    <row r="1093" customHeight="1" spans="1:15">
      <c r="A1093" s="37" t="s">
        <v>637</v>
      </c>
      <c r="B1093" s="38">
        <v>45291</v>
      </c>
      <c r="C1093" s="37" t="s">
        <v>730</v>
      </c>
      <c r="D1093" s="37" t="s">
        <v>653</v>
      </c>
      <c r="E1093" s="37" t="s">
        <v>640</v>
      </c>
      <c r="F1093" s="37" t="s">
        <v>659</v>
      </c>
      <c r="G1093" s="37" t="s">
        <v>654</v>
      </c>
      <c r="H1093" s="37" t="s">
        <v>650</v>
      </c>
      <c r="I1093" s="37" t="s">
        <v>719</v>
      </c>
      <c r="J1093" s="37" t="s">
        <v>656</v>
      </c>
      <c r="K1093" s="37" t="s">
        <v>166</v>
      </c>
      <c r="L1093" s="47">
        <v>742.38</v>
      </c>
      <c r="M1093" s="47">
        <v>700.36</v>
      </c>
      <c r="N1093" s="47">
        <v>42.02</v>
      </c>
      <c r="O1093" s="37" t="s">
        <v>1784</v>
      </c>
    </row>
    <row r="1094" customHeight="1" spans="1:15">
      <c r="A1094" s="37" t="s">
        <v>637</v>
      </c>
      <c r="B1094" s="38">
        <v>45291</v>
      </c>
      <c r="C1094" s="37" t="s">
        <v>748</v>
      </c>
      <c r="D1094" s="37" t="s">
        <v>682</v>
      </c>
      <c r="E1094" s="37" t="s">
        <v>640</v>
      </c>
      <c r="F1094" s="37" t="s">
        <v>641</v>
      </c>
      <c r="G1094" s="37" t="s">
        <v>642</v>
      </c>
      <c r="H1094" s="37" t="s">
        <v>650</v>
      </c>
      <c r="I1094" s="37" t="s">
        <v>747</v>
      </c>
      <c r="J1094" s="37" t="s">
        <v>656</v>
      </c>
      <c r="K1094" s="37" t="s">
        <v>13</v>
      </c>
      <c r="L1094" s="47">
        <v>-219950</v>
      </c>
      <c r="M1094" s="47">
        <v>-207500</v>
      </c>
      <c r="N1094" s="47">
        <v>-12450</v>
      </c>
      <c r="O1094" s="37" t="s">
        <v>1785</v>
      </c>
    </row>
    <row r="1095" customHeight="1" spans="1:15">
      <c r="A1095" s="37" t="s">
        <v>637</v>
      </c>
      <c r="B1095" s="38">
        <v>45291</v>
      </c>
      <c r="C1095" s="37" t="s">
        <v>748</v>
      </c>
      <c r="D1095" s="37" t="s">
        <v>639</v>
      </c>
      <c r="E1095" s="37" t="s">
        <v>640</v>
      </c>
      <c r="F1095" s="37" t="s">
        <v>641</v>
      </c>
      <c r="G1095" s="37" t="s">
        <v>642</v>
      </c>
      <c r="H1095" s="37" t="s">
        <v>643</v>
      </c>
      <c r="I1095" s="37" t="s">
        <v>670</v>
      </c>
      <c r="J1095" s="37" t="s">
        <v>656</v>
      </c>
      <c r="K1095" s="37" t="s">
        <v>350</v>
      </c>
      <c r="L1095" s="47">
        <v>93603.72</v>
      </c>
      <c r="M1095" s="47">
        <v>88305.4</v>
      </c>
      <c r="N1095" s="47">
        <v>5298.32</v>
      </c>
      <c r="O1095" s="37" t="s">
        <v>1786</v>
      </c>
    </row>
    <row r="1096" customHeight="1" spans="1:15">
      <c r="A1096" s="37" t="s">
        <v>637</v>
      </c>
      <c r="B1096" s="38">
        <v>45291</v>
      </c>
      <c r="C1096" s="37" t="s">
        <v>748</v>
      </c>
      <c r="D1096" s="37" t="s">
        <v>682</v>
      </c>
      <c r="E1096" s="37" t="s">
        <v>640</v>
      </c>
      <c r="F1096" s="37" t="s">
        <v>641</v>
      </c>
      <c r="G1096" s="37" t="s">
        <v>642</v>
      </c>
      <c r="H1096" s="37" t="s">
        <v>650</v>
      </c>
      <c r="I1096" s="37" t="s">
        <v>747</v>
      </c>
      <c r="J1096" s="37" t="s">
        <v>656</v>
      </c>
      <c r="K1096" s="37" t="s">
        <v>13</v>
      </c>
      <c r="L1096" s="47">
        <v>-71900</v>
      </c>
      <c r="M1096" s="47">
        <v>-67830.19</v>
      </c>
      <c r="N1096" s="47">
        <v>-4069.81</v>
      </c>
      <c r="O1096" s="37" t="s">
        <v>1787</v>
      </c>
    </row>
    <row r="1097" customHeight="1" spans="1:15">
      <c r="A1097" s="37" t="s">
        <v>637</v>
      </c>
      <c r="B1097" s="38">
        <v>45291</v>
      </c>
      <c r="C1097" s="37" t="s">
        <v>748</v>
      </c>
      <c r="D1097" s="37" t="s">
        <v>682</v>
      </c>
      <c r="E1097" s="37" t="s">
        <v>640</v>
      </c>
      <c r="F1097" s="37" t="s">
        <v>641</v>
      </c>
      <c r="G1097" s="37" t="s">
        <v>642</v>
      </c>
      <c r="H1097" s="37" t="s">
        <v>650</v>
      </c>
      <c r="I1097" s="37" t="s">
        <v>747</v>
      </c>
      <c r="J1097" s="37" t="s">
        <v>656</v>
      </c>
      <c r="K1097" s="37" t="s">
        <v>13</v>
      </c>
      <c r="L1097" s="47">
        <v>-105680</v>
      </c>
      <c r="M1097" s="47">
        <v>-99698.11</v>
      </c>
      <c r="N1097" s="47">
        <v>-5981.89</v>
      </c>
      <c r="O1097" s="37" t="s">
        <v>1788</v>
      </c>
    </row>
    <row r="1098" customHeight="1" spans="1:15">
      <c r="A1098" s="37" t="s">
        <v>637</v>
      </c>
      <c r="B1098" s="38">
        <v>45291</v>
      </c>
      <c r="C1098" s="37" t="s">
        <v>748</v>
      </c>
      <c r="D1098" s="37" t="s">
        <v>682</v>
      </c>
      <c r="E1098" s="37" t="s">
        <v>640</v>
      </c>
      <c r="F1098" s="37" t="s">
        <v>641</v>
      </c>
      <c r="G1098" s="37" t="s">
        <v>642</v>
      </c>
      <c r="H1098" s="37" t="s">
        <v>650</v>
      </c>
      <c r="I1098" s="37" t="s">
        <v>742</v>
      </c>
      <c r="J1098" s="37" t="s">
        <v>656</v>
      </c>
      <c r="K1098" s="37" t="s">
        <v>13</v>
      </c>
      <c r="L1098" s="47">
        <v>18000</v>
      </c>
      <c r="M1098" s="47">
        <v>16981.13</v>
      </c>
      <c r="N1098" s="47">
        <v>1018.87</v>
      </c>
      <c r="O1098" s="37" t="s">
        <v>1789</v>
      </c>
    </row>
    <row r="1099" customHeight="1" spans="1:15">
      <c r="A1099" s="37" t="s">
        <v>637</v>
      </c>
      <c r="B1099" s="38">
        <v>45291</v>
      </c>
      <c r="C1099" s="37" t="s">
        <v>748</v>
      </c>
      <c r="D1099" s="37" t="s">
        <v>639</v>
      </c>
      <c r="E1099" s="37" t="s">
        <v>640</v>
      </c>
      <c r="F1099" s="37" t="s">
        <v>749</v>
      </c>
      <c r="G1099" s="37" t="s">
        <v>642</v>
      </c>
      <c r="H1099" s="37" t="s">
        <v>643</v>
      </c>
      <c r="I1099" s="37" t="s">
        <v>662</v>
      </c>
      <c r="J1099" s="37" t="s">
        <v>644</v>
      </c>
      <c r="K1099" s="37" t="s">
        <v>350</v>
      </c>
      <c r="L1099" s="47">
        <v>100074.23</v>
      </c>
      <c r="M1099" s="47">
        <v>94409.65</v>
      </c>
      <c r="N1099" s="47">
        <v>5664.58</v>
      </c>
      <c r="O1099" s="37" t="s">
        <v>1790</v>
      </c>
    </row>
    <row r="1100" customHeight="1" spans="1:15">
      <c r="A1100" s="37" t="s">
        <v>637</v>
      </c>
      <c r="B1100" s="38">
        <v>45291</v>
      </c>
      <c r="C1100" s="37" t="s">
        <v>748</v>
      </c>
      <c r="D1100" s="37" t="s">
        <v>639</v>
      </c>
      <c r="E1100" s="37" t="s">
        <v>640</v>
      </c>
      <c r="F1100" s="37" t="s">
        <v>641</v>
      </c>
      <c r="G1100" s="37" t="s">
        <v>642</v>
      </c>
      <c r="H1100" s="37" t="s">
        <v>643</v>
      </c>
      <c r="I1100" s="37" t="s">
        <v>706</v>
      </c>
      <c r="J1100" s="37" t="s">
        <v>656</v>
      </c>
      <c r="K1100" s="37" t="s">
        <v>350</v>
      </c>
      <c r="L1100" s="47">
        <v>-93597.85</v>
      </c>
      <c r="M1100" s="47">
        <v>-88299.86</v>
      </c>
      <c r="N1100" s="47">
        <v>-5297.99</v>
      </c>
      <c r="O1100" s="37" t="s">
        <v>1791</v>
      </c>
    </row>
    <row r="1101" customHeight="1" spans="1:15">
      <c r="A1101" s="37" t="s">
        <v>637</v>
      </c>
      <c r="B1101" s="38">
        <v>45291</v>
      </c>
      <c r="C1101" s="37" t="s">
        <v>748</v>
      </c>
      <c r="D1101" s="37" t="s">
        <v>653</v>
      </c>
      <c r="E1101" s="37" t="s">
        <v>640</v>
      </c>
      <c r="F1101" s="37" t="s">
        <v>659</v>
      </c>
      <c r="G1101" s="37" t="s">
        <v>642</v>
      </c>
      <c r="H1101" s="37" t="s">
        <v>650</v>
      </c>
      <c r="I1101" s="37" t="s">
        <v>728</v>
      </c>
      <c r="J1101" s="37" t="s">
        <v>656</v>
      </c>
      <c r="K1101" s="37" t="s">
        <v>166</v>
      </c>
      <c r="L1101" s="47">
        <v>-93.64</v>
      </c>
      <c r="M1101" s="47">
        <v>-88.34</v>
      </c>
      <c r="N1101" s="47">
        <v>-5.3</v>
      </c>
      <c r="O1101" s="37" t="s">
        <v>1792</v>
      </c>
    </row>
    <row r="1102" customHeight="1" spans="1:15">
      <c r="A1102" s="37" t="s">
        <v>637</v>
      </c>
      <c r="B1102" s="38">
        <v>45291</v>
      </c>
      <c r="C1102" s="37" t="s">
        <v>748</v>
      </c>
      <c r="D1102" s="37" t="s">
        <v>639</v>
      </c>
      <c r="E1102" s="37" t="s">
        <v>640</v>
      </c>
      <c r="F1102" s="37" t="s">
        <v>707</v>
      </c>
      <c r="G1102" s="37" t="s">
        <v>642</v>
      </c>
      <c r="H1102" s="37" t="s">
        <v>643</v>
      </c>
      <c r="I1102" s="37" t="s">
        <v>429</v>
      </c>
      <c r="J1102" s="37" t="s">
        <v>644</v>
      </c>
      <c r="K1102" s="37" t="s">
        <v>14</v>
      </c>
      <c r="L1102" s="47">
        <v>-157265.21</v>
      </c>
      <c r="M1102" s="47">
        <v>-148363.41</v>
      </c>
      <c r="N1102" s="47">
        <v>-8901.8</v>
      </c>
      <c r="O1102" s="37" t="s">
        <v>1793</v>
      </c>
    </row>
    <row r="1103" customHeight="1" spans="1:15">
      <c r="A1103" s="37" t="s">
        <v>637</v>
      </c>
      <c r="B1103" s="38">
        <v>45291</v>
      </c>
      <c r="C1103" s="37" t="s">
        <v>748</v>
      </c>
      <c r="D1103" s="37" t="s">
        <v>653</v>
      </c>
      <c r="E1103" s="37" t="s">
        <v>640</v>
      </c>
      <c r="F1103" s="37" t="s">
        <v>659</v>
      </c>
      <c r="G1103" s="37" t="s">
        <v>642</v>
      </c>
      <c r="H1103" s="37" t="s">
        <v>650</v>
      </c>
      <c r="I1103" s="37" t="s">
        <v>728</v>
      </c>
      <c r="J1103" s="37" t="s">
        <v>656</v>
      </c>
      <c r="K1103" s="37" t="s">
        <v>166</v>
      </c>
      <c r="L1103" s="47">
        <v>-653.5</v>
      </c>
      <c r="M1103" s="47">
        <v>-616.51</v>
      </c>
      <c r="N1103" s="47">
        <v>-36.99</v>
      </c>
      <c r="O1103" s="37" t="s">
        <v>1794</v>
      </c>
    </row>
    <row r="1104" customHeight="1" spans="1:15">
      <c r="A1104" s="37" t="s">
        <v>637</v>
      </c>
      <c r="B1104" s="38">
        <v>45291</v>
      </c>
      <c r="C1104" s="37" t="s">
        <v>748</v>
      </c>
      <c r="D1104" s="37" t="s">
        <v>653</v>
      </c>
      <c r="E1104" s="37" t="s">
        <v>640</v>
      </c>
      <c r="F1104" s="37" t="s">
        <v>659</v>
      </c>
      <c r="G1104" s="37" t="s">
        <v>642</v>
      </c>
      <c r="H1104" s="37" t="s">
        <v>650</v>
      </c>
      <c r="I1104" s="37" t="s">
        <v>429</v>
      </c>
      <c r="J1104" s="37" t="s">
        <v>656</v>
      </c>
      <c r="K1104" s="37" t="s">
        <v>166</v>
      </c>
      <c r="L1104" s="47">
        <v>-85.81</v>
      </c>
      <c r="M1104" s="47">
        <v>-80.95</v>
      </c>
      <c r="N1104" s="47">
        <v>-4.86</v>
      </c>
      <c r="O1104" s="37" t="s">
        <v>1795</v>
      </c>
    </row>
    <row r="1105" customHeight="1" spans="1:15">
      <c r="A1105" s="37" t="s">
        <v>637</v>
      </c>
      <c r="B1105" s="38">
        <v>45291</v>
      </c>
      <c r="C1105" s="37" t="s">
        <v>748</v>
      </c>
      <c r="D1105" s="37" t="s">
        <v>639</v>
      </c>
      <c r="E1105" s="37" t="s">
        <v>640</v>
      </c>
      <c r="F1105" s="37" t="s">
        <v>707</v>
      </c>
      <c r="G1105" s="37" t="s">
        <v>648</v>
      </c>
      <c r="H1105" s="37" t="s">
        <v>650</v>
      </c>
      <c r="I1105" s="37" t="s">
        <v>769</v>
      </c>
      <c r="J1105" s="37" t="s">
        <v>644</v>
      </c>
      <c r="K1105" s="37" t="s">
        <v>14</v>
      </c>
      <c r="L1105" s="47">
        <v>177511.5</v>
      </c>
      <c r="M1105" s="47">
        <v>167463.68</v>
      </c>
      <c r="N1105" s="47">
        <v>10047.82</v>
      </c>
      <c r="O1105" s="37" t="s">
        <v>1796</v>
      </c>
    </row>
    <row r="1106" customHeight="1" spans="1:15">
      <c r="A1106" s="37" t="s">
        <v>637</v>
      </c>
      <c r="B1106" s="38">
        <v>45291</v>
      </c>
      <c r="C1106" s="37" t="s">
        <v>748</v>
      </c>
      <c r="D1106" s="37" t="s">
        <v>653</v>
      </c>
      <c r="E1106" s="37" t="s">
        <v>640</v>
      </c>
      <c r="F1106" s="37" t="s">
        <v>659</v>
      </c>
      <c r="G1106" s="37" t="s">
        <v>642</v>
      </c>
      <c r="H1106" s="37" t="s">
        <v>650</v>
      </c>
      <c r="I1106" s="37" t="s">
        <v>429</v>
      </c>
      <c r="J1106" s="37" t="s">
        <v>656</v>
      </c>
      <c r="K1106" s="37" t="s">
        <v>166</v>
      </c>
      <c r="L1106" s="47">
        <v>-26.96</v>
      </c>
      <c r="M1106" s="47">
        <v>-25.43</v>
      </c>
      <c r="N1106" s="47">
        <v>-1.53</v>
      </c>
      <c r="O1106" s="37" t="s">
        <v>1797</v>
      </c>
    </row>
    <row r="1107" customHeight="1" spans="1:15">
      <c r="A1107" s="37" t="s">
        <v>637</v>
      </c>
      <c r="B1107" s="38">
        <v>45291</v>
      </c>
      <c r="C1107" s="37" t="s">
        <v>748</v>
      </c>
      <c r="D1107" s="37" t="s">
        <v>639</v>
      </c>
      <c r="E1107" s="37" t="s">
        <v>640</v>
      </c>
      <c r="F1107" s="37" t="s">
        <v>707</v>
      </c>
      <c r="G1107" s="37" t="s">
        <v>648</v>
      </c>
      <c r="H1107" s="37" t="s">
        <v>650</v>
      </c>
      <c r="I1107" s="37" t="s">
        <v>769</v>
      </c>
      <c r="J1107" s="37" t="s">
        <v>644</v>
      </c>
      <c r="K1107" s="37" t="s">
        <v>14</v>
      </c>
      <c r="L1107" s="47">
        <v>-486.76</v>
      </c>
      <c r="M1107" s="47">
        <v>-459.21</v>
      </c>
      <c r="N1107" s="47">
        <v>-27.55</v>
      </c>
      <c r="O1107" s="37" t="s">
        <v>1798</v>
      </c>
    </row>
    <row r="1108" customHeight="1" spans="1:15">
      <c r="A1108" s="37" t="s">
        <v>637</v>
      </c>
      <c r="B1108" s="38">
        <v>45291</v>
      </c>
      <c r="C1108" s="37" t="s">
        <v>748</v>
      </c>
      <c r="D1108" s="37" t="s">
        <v>639</v>
      </c>
      <c r="E1108" s="37" t="s">
        <v>640</v>
      </c>
      <c r="F1108" s="37" t="s">
        <v>641</v>
      </c>
      <c r="G1108" s="37" t="s">
        <v>648</v>
      </c>
      <c r="H1108" s="37" t="s">
        <v>697</v>
      </c>
      <c r="I1108" s="37" t="s">
        <v>444</v>
      </c>
      <c r="J1108" s="37" t="s">
        <v>644</v>
      </c>
      <c r="K1108" s="37" t="s">
        <v>14</v>
      </c>
      <c r="L1108" s="47">
        <v>9870.45</v>
      </c>
      <c r="M1108" s="47">
        <v>9311.75</v>
      </c>
      <c r="N1108" s="47">
        <v>558.7</v>
      </c>
      <c r="O1108" s="37" t="s">
        <v>1799</v>
      </c>
    </row>
    <row r="1109" customHeight="1" spans="1:15">
      <c r="A1109" s="37" t="s">
        <v>637</v>
      </c>
      <c r="B1109" s="38">
        <v>45291</v>
      </c>
      <c r="C1109" s="37" t="s">
        <v>748</v>
      </c>
      <c r="D1109" s="37" t="s">
        <v>639</v>
      </c>
      <c r="E1109" s="37" t="s">
        <v>647</v>
      </c>
      <c r="F1109" s="37" t="s">
        <v>641</v>
      </c>
      <c r="G1109" s="37" t="s">
        <v>654</v>
      </c>
      <c r="H1109" s="37" t="s">
        <v>697</v>
      </c>
      <c r="I1109" s="37" t="s">
        <v>792</v>
      </c>
      <c r="J1109" s="37" t="s">
        <v>644</v>
      </c>
      <c r="K1109" s="37" t="s">
        <v>14</v>
      </c>
      <c r="L1109" s="47">
        <v>27846.64</v>
      </c>
      <c r="M1109" s="47">
        <v>26270.4</v>
      </c>
      <c r="N1109" s="47">
        <v>1576.24</v>
      </c>
      <c r="O1109" s="37" t="s">
        <v>1800</v>
      </c>
    </row>
    <row r="1110" customHeight="1" spans="1:15">
      <c r="A1110" s="37" t="s">
        <v>637</v>
      </c>
      <c r="B1110" s="38">
        <v>45291</v>
      </c>
      <c r="C1110" s="37" t="s">
        <v>748</v>
      </c>
      <c r="D1110" s="37" t="s">
        <v>639</v>
      </c>
      <c r="E1110" s="37" t="s">
        <v>647</v>
      </c>
      <c r="F1110" s="37" t="s">
        <v>689</v>
      </c>
      <c r="G1110" s="37" t="s">
        <v>654</v>
      </c>
      <c r="H1110" s="37" t="s">
        <v>697</v>
      </c>
      <c r="I1110" s="37" t="s">
        <v>672</v>
      </c>
      <c r="J1110" s="37" t="s">
        <v>656</v>
      </c>
      <c r="K1110" s="37" t="s">
        <v>350</v>
      </c>
      <c r="L1110" s="47">
        <v>84780</v>
      </c>
      <c r="M1110" s="47">
        <v>79981.12</v>
      </c>
      <c r="N1110" s="47">
        <v>4798.88</v>
      </c>
      <c r="O1110" s="37" t="s">
        <v>1801</v>
      </c>
    </row>
    <row r="1111" customHeight="1" spans="1:15">
      <c r="A1111" s="37" t="s">
        <v>637</v>
      </c>
      <c r="B1111" s="38">
        <v>45291</v>
      </c>
      <c r="C1111" s="37" t="s">
        <v>748</v>
      </c>
      <c r="D1111" s="37" t="s">
        <v>639</v>
      </c>
      <c r="E1111" s="37" t="s">
        <v>647</v>
      </c>
      <c r="F1111" s="37" t="s">
        <v>707</v>
      </c>
      <c r="G1111" s="37" t="s">
        <v>654</v>
      </c>
      <c r="H1111" s="37" t="s">
        <v>697</v>
      </c>
      <c r="I1111" s="37" t="s">
        <v>694</v>
      </c>
      <c r="J1111" s="37" t="s">
        <v>656</v>
      </c>
      <c r="K1111" s="37" t="s">
        <v>350</v>
      </c>
      <c r="L1111" s="47">
        <v>600</v>
      </c>
      <c r="M1111" s="47">
        <v>566.04</v>
      </c>
      <c r="N1111" s="47">
        <v>33.96</v>
      </c>
      <c r="O1111" s="37" t="s">
        <v>1802</v>
      </c>
    </row>
    <row r="1112" customHeight="1" spans="1:15">
      <c r="A1112" s="37" t="s">
        <v>637</v>
      </c>
      <c r="B1112" s="38">
        <v>45291</v>
      </c>
      <c r="C1112" s="37" t="s">
        <v>748</v>
      </c>
      <c r="D1112" s="37" t="s">
        <v>639</v>
      </c>
      <c r="E1112" s="37" t="s">
        <v>647</v>
      </c>
      <c r="F1112" s="37" t="s">
        <v>707</v>
      </c>
      <c r="G1112" s="37" t="s">
        <v>642</v>
      </c>
      <c r="H1112" s="37" t="s">
        <v>650</v>
      </c>
      <c r="I1112" s="37" t="s">
        <v>429</v>
      </c>
      <c r="J1112" s="37" t="s">
        <v>644</v>
      </c>
      <c r="K1112" s="37" t="s">
        <v>165</v>
      </c>
      <c r="L1112" s="47">
        <v>309259.94</v>
      </c>
      <c r="M1112" s="47">
        <v>291754.65</v>
      </c>
      <c r="N1112" s="47">
        <v>17505.29</v>
      </c>
      <c r="O1112" s="37" t="s">
        <v>1803</v>
      </c>
    </row>
    <row r="1113" customHeight="1" spans="1:15">
      <c r="A1113" s="37" t="s">
        <v>637</v>
      </c>
      <c r="B1113" s="38">
        <v>45291</v>
      </c>
      <c r="C1113" s="37" t="s">
        <v>748</v>
      </c>
      <c r="D1113" s="37" t="s">
        <v>639</v>
      </c>
      <c r="E1113" s="37" t="s">
        <v>647</v>
      </c>
      <c r="F1113" s="37" t="s">
        <v>689</v>
      </c>
      <c r="G1113" s="37" t="s">
        <v>654</v>
      </c>
      <c r="H1113" s="37" t="s">
        <v>650</v>
      </c>
      <c r="I1113" s="37" t="s">
        <v>664</v>
      </c>
      <c r="J1113" s="37" t="s">
        <v>656</v>
      </c>
      <c r="K1113" s="37" t="s">
        <v>350</v>
      </c>
      <c r="L1113" s="47">
        <v>7499.7</v>
      </c>
      <c r="M1113" s="47">
        <v>7075.21</v>
      </c>
      <c r="N1113" s="47">
        <v>424.49</v>
      </c>
      <c r="O1113" s="37" t="s">
        <v>1804</v>
      </c>
    </row>
    <row r="1114" customHeight="1" spans="1:15">
      <c r="A1114" s="37" t="s">
        <v>637</v>
      </c>
      <c r="B1114" s="38">
        <v>45291</v>
      </c>
      <c r="C1114" s="37" t="s">
        <v>748</v>
      </c>
      <c r="D1114" s="37" t="s">
        <v>639</v>
      </c>
      <c r="E1114" s="37" t="s">
        <v>647</v>
      </c>
      <c r="F1114" s="37" t="s">
        <v>707</v>
      </c>
      <c r="G1114" s="37" t="s">
        <v>642</v>
      </c>
      <c r="H1114" s="37" t="s">
        <v>650</v>
      </c>
      <c r="I1114" s="37" t="s">
        <v>429</v>
      </c>
      <c r="J1114" s="37" t="s">
        <v>644</v>
      </c>
      <c r="K1114" s="37" t="s">
        <v>165</v>
      </c>
      <c r="L1114" s="47">
        <v>1472</v>
      </c>
      <c r="M1114" s="47">
        <v>1388.68</v>
      </c>
      <c r="N1114" s="47">
        <v>83.32</v>
      </c>
      <c r="O1114" s="37" t="s">
        <v>1805</v>
      </c>
    </row>
    <row r="1115" customHeight="1" spans="1:15">
      <c r="A1115" s="37" t="s">
        <v>637</v>
      </c>
      <c r="B1115" s="38">
        <v>45291</v>
      </c>
      <c r="C1115" s="37" t="s">
        <v>748</v>
      </c>
      <c r="D1115" s="37" t="s">
        <v>639</v>
      </c>
      <c r="E1115" s="37" t="s">
        <v>647</v>
      </c>
      <c r="F1115" s="37" t="s">
        <v>689</v>
      </c>
      <c r="G1115" s="37" t="s">
        <v>654</v>
      </c>
      <c r="H1115" s="37" t="s">
        <v>697</v>
      </c>
      <c r="I1115" s="37" t="s">
        <v>669</v>
      </c>
      <c r="J1115" s="37" t="s">
        <v>656</v>
      </c>
      <c r="K1115" s="37" t="s">
        <v>350</v>
      </c>
      <c r="L1115" s="47">
        <v>93890</v>
      </c>
      <c r="M1115" s="47">
        <v>88575.47</v>
      </c>
      <c r="N1115" s="47">
        <v>5314.53</v>
      </c>
      <c r="O1115" s="37" t="s">
        <v>1806</v>
      </c>
    </row>
    <row r="1116" customHeight="1" spans="1:15">
      <c r="A1116" s="37" t="s">
        <v>637</v>
      </c>
      <c r="B1116" s="38">
        <v>45291</v>
      </c>
      <c r="C1116" s="37" t="s">
        <v>748</v>
      </c>
      <c r="D1116" s="37" t="s">
        <v>639</v>
      </c>
      <c r="E1116" s="37" t="s">
        <v>647</v>
      </c>
      <c r="F1116" s="37" t="s">
        <v>707</v>
      </c>
      <c r="G1116" s="37" t="s">
        <v>642</v>
      </c>
      <c r="H1116" s="37" t="s">
        <v>650</v>
      </c>
      <c r="I1116" s="37" t="s">
        <v>429</v>
      </c>
      <c r="J1116" s="37" t="s">
        <v>644</v>
      </c>
      <c r="K1116" s="37" t="s">
        <v>165</v>
      </c>
      <c r="L1116" s="47">
        <v>45.6</v>
      </c>
      <c r="M1116" s="47">
        <v>43.01</v>
      </c>
      <c r="N1116" s="47">
        <v>2.59</v>
      </c>
      <c r="O1116" s="37" t="s">
        <v>1807</v>
      </c>
    </row>
    <row r="1117" customHeight="1" spans="1:15">
      <c r="A1117" s="37" t="s">
        <v>637</v>
      </c>
      <c r="B1117" s="38">
        <v>45291</v>
      </c>
      <c r="C1117" s="37" t="s">
        <v>748</v>
      </c>
      <c r="D1117" s="37" t="s">
        <v>639</v>
      </c>
      <c r="E1117" s="37" t="s">
        <v>647</v>
      </c>
      <c r="F1117" s="37" t="s">
        <v>641</v>
      </c>
      <c r="G1117" s="37" t="s">
        <v>648</v>
      </c>
      <c r="H1117" s="37" t="s">
        <v>650</v>
      </c>
      <c r="I1117" s="37" t="s">
        <v>447</v>
      </c>
      <c r="J1117" s="37" t="s">
        <v>656</v>
      </c>
      <c r="K1117" s="37" t="s">
        <v>14</v>
      </c>
      <c r="L1117" s="47">
        <v>73665.64</v>
      </c>
      <c r="M1117" s="47">
        <v>69495.86</v>
      </c>
      <c r="N1117" s="47">
        <v>4169.78</v>
      </c>
      <c r="O1117" s="37" t="s">
        <v>1808</v>
      </c>
    </row>
    <row r="1118" customHeight="1" spans="1:15">
      <c r="A1118" s="37" t="s">
        <v>637</v>
      </c>
      <c r="B1118" s="38">
        <v>45291</v>
      </c>
      <c r="C1118" s="37" t="s">
        <v>748</v>
      </c>
      <c r="D1118" s="37" t="s">
        <v>639</v>
      </c>
      <c r="E1118" s="37" t="s">
        <v>647</v>
      </c>
      <c r="F1118" s="37" t="s">
        <v>641</v>
      </c>
      <c r="G1118" s="37" t="s">
        <v>642</v>
      </c>
      <c r="H1118" s="37" t="s">
        <v>650</v>
      </c>
      <c r="I1118" s="37" t="s">
        <v>430</v>
      </c>
      <c r="J1118" s="37" t="s">
        <v>644</v>
      </c>
      <c r="K1118" s="37" t="s">
        <v>14</v>
      </c>
      <c r="L1118" s="47">
        <v>1574.16</v>
      </c>
      <c r="M1118" s="47">
        <v>1485.07</v>
      </c>
      <c r="N1118" s="47">
        <v>89.09</v>
      </c>
      <c r="O1118" s="37" t="s">
        <v>1809</v>
      </c>
    </row>
    <row r="1119" customHeight="1" spans="1:15">
      <c r="A1119" s="37" t="s">
        <v>637</v>
      </c>
      <c r="B1119" s="38">
        <v>45291</v>
      </c>
      <c r="C1119" s="37" t="s">
        <v>748</v>
      </c>
      <c r="D1119" s="37" t="s">
        <v>639</v>
      </c>
      <c r="E1119" s="37" t="s">
        <v>647</v>
      </c>
      <c r="F1119" s="37" t="s">
        <v>641</v>
      </c>
      <c r="G1119" s="37" t="s">
        <v>642</v>
      </c>
      <c r="H1119" s="37" t="s">
        <v>650</v>
      </c>
      <c r="I1119" s="37" t="s">
        <v>678</v>
      </c>
      <c r="J1119" s="37" t="s">
        <v>656</v>
      </c>
      <c r="K1119" s="37" t="s">
        <v>350</v>
      </c>
      <c r="L1119" s="47">
        <v>37368</v>
      </c>
      <c r="M1119" s="47">
        <v>35252.84</v>
      </c>
      <c r="N1119" s="47">
        <v>2115.16</v>
      </c>
      <c r="O1119" s="37" t="s">
        <v>1810</v>
      </c>
    </row>
    <row r="1120" customHeight="1" spans="1:15">
      <c r="A1120" s="37" t="s">
        <v>637</v>
      </c>
      <c r="B1120" s="38">
        <v>45291</v>
      </c>
      <c r="C1120" s="37" t="s">
        <v>748</v>
      </c>
      <c r="D1120" s="37" t="s">
        <v>639</v>
      </c>
      <c r="E1120" s="37" t="s">
        <v>647</v>
      </c>
      <c r="F1120" s="37" t="s">
        <v>707</v>
      </c>
      <c r="G1120" s="37" t="s">
        <v>642</v>
      </c>
      <c r="H1120" s="37" t="s">
        <v>650</v>
      </c>
      <c r="I1120" s="37" t="s">
        <v>429</v>
      </c>
      <c r="J1120" s="37" t="s">
        <v>644</v>
      </c>
      <c r="K1120" s="37" t="s">
        <v>14</v>
      </c>
      <c r="L1120" s="47">
        <v>416814</v>
      </c>
      <c r="M1120" s="47">
        <v>393220.75</v>
      </c>
      <c r="N1120" s="47">
        <v>23593.25</v>
      </c>
      <c r="O1120" s="37" t="s">
        <v>1811</v>
      </c>
    </row>
    <row r="1121" customHeight="1" spans="1:15">
      <c r="A1121" s="37" t="s">
        <v>637</v>
      </c>
      <c r="B1121" s="38">
        <v>45291</v>
      </c>
      <c r="C1121" s="37" t="s">
        <v>748</v>
      </c>
      <c r="D1121" s="37" t="s">
        <v>639</v>
      </c>
      <c r="E1121" s="37" t="s">
        <v>647</v>
      </c>
      <c r="F1121" s="37" t="s">
        <v>749</v>
      </c>
      <c r="G1121" s="37" t="s">
        <v>642</v>
      </c>
      <c r="H1121" s="37" t="s">
        <v>650</v>
      </c>
      <c r="I1121" s="37" t="s">
        <v>779</v>
      </c>
      <c r="J1121" s="37" t="s">
        <v>644</v>
      </c>
      <c r="K1121" s="37" t="s">
        <v>14</v>
      </c>
      <c r="L1121" s="47">
        <v>36850.91</v>
      </c>
      <c r="M1121" s="47">
        <v>34765.03</v>
      </c>
      <c r="N1121" s="47">
        <v>2085.88</v>
      </c>
      <c r="O1121" s="37" t="s">
        <v>1812</v>
      </c>
    </row>
    <row r="1122" customHeight="1" spans="1:15">
      <c r="A1122" s="37" t="s">
        <v>637</v>
      </c>
      <c r="B1122" s="38">
        <v>45291</v>
      </c>
      <c r="C1122" s="37" t="s">
        <v>748</v>
      </c>
      <c r="D1122" s="37" t="s">
        <v>639</v>
      </c>
      <c r="E1122" s="37" t="s">
        <v>647</v>
      </c>
      <c r="F1122" s="37" t="s">
        <v>707</v>
      </c>
      <c r="G1122" s="37" t="s">
        <v>642</v>
      </c>
      <c r="H1122" s="37" t="s">
        <v>650</v>
      </c>
      <c r="I1122" s="37" t="s">
        <v>429</v>
      </c>
      <c r="J1122" s="37" t="s">
        <v>644</v>
      </c>
      <c r="K1122" s="37" t="s">
        <v>14</v>
      </c>
      <c r="L1122" s="47">
        <v>379673.7</v>
      </c>
      <c r="M1122" s="47">
        <v>358182.75</v>
      </c>
      <c r="N1122" s="47">
        <v>21490.95</v>
      </c>
      <c r="O1122" s="37" t="s">
        <v>1813</v>
      </c>
    </row>
    <row r="1123" customHeight="1" spans="1:15">
      <c r="A1123" s="37" t="s">
        <v>637</v>
      </c>
      <c r="B1123" s="38">
        <v>45291</v>
      </c>
      <c r="C1123" s="37" t="s">
        <v>748</v>
      </c>
      <c r="D1123" s="37" t="s">
        <v>639</v>
      </c>
      <c r="E1123" s="37" t="s">
        <v>647</v>
      </c>
      <c r="F1123" s="37" t="s">
        <v>641</v>
      </c>
      <c r="G1123" s="37" t="s">
        <v>642</v>
      </c>
      <c r="H1123" s="37" t="s">
        <v>650</v>
      </c>
      <c r="I1123" s="37" t="s">
        <v>436</v>
      </c>
      <c r="J1123" s="37" t="s">
        <v>644</v>
      </c>
      <c r="K1123" s="37" t="s">
        <v>350</v>
      </c>
      <c r="L1123" s="47">
        <v>877840.1</v>
      </c>
      <c r="M1123" s="47">
        <v>828151.04</v>
      </c>
      <c r="N1123" s="47">
        <v>49689.06</v>
      </c>
      <c r="O1123" s="37" t="s">
        <v>1814</v>
      </c>
    </row>
    <row r="1124" customHeight="1" spans="1:15">
      <c r="A1124" s="37" t="s">
        <v>637</v>
      </c>
      <c r="B1124" s="38">
        <v>45291</v>
      </c>
      <c r="C1124" s="37" t="s">
        <v>748</v>
      </c>
      <c r="D1124" s="37" t="s">
        <v>639</v>
      </c>
      <c r="E1124" s="37" t="s">
        <v>647</v>
      </c>
      <c r="F1124" s="37" t="s">
        <v>641</v>
      </c>
      <c r="G1124" s="37" t="s">
        <v>648</v>
      </c>
      <c r="H1124" s="37" t="s">
        <v>643</v>
      </c>
      <c r="I1124" s="37" t="s">
        <v>430</v>
      </c>
      <c r="J1124" s="37" t="s">
        <v>644</v>
      </c>
      <c r="K1124" s="37" t="s">
        <v>14</v>
      </c>
      <c r="L1124" s="47">
        <v>2137909.87</v>
      </c>
      <c r="M1124" s="47">
        <v>2016896.12</v>
      </c>
      <c r="N1124" s="47">
        <v>121013.75</v>
      </c>
      <c r="O1124" s="37" t="s">
        <v>1815</v>
      </c>
    </row>
    <row r="1125" customHeight="1" spans="1:15">
      <c r="A1125" s="37" t="s">
        <v>637</v>
      </c>
      <c r="B1125" s="38">
        <v>45291</v>
      </c>
      <c r="C1125" s="37" t="s">
        <v>748</v>
      </c>
      <c r="D1125" s="37" t="s">
        <v>639</v>
      </c>
      <c r="E1125" s="37" t="s">
        <v>647</v>
      </c>
      <c r="F1125" s="37" t="s">
        <v>707</v>
      </c>
      <c r="G1125" s="37" t="s">
        <v>648</v>
      </c>
      <c r="H1125" s="37" t="s">
        <v>643</v>
      </c>
      <c r="I1125" s="37" t="s">
        <v>429</v>
      </c>
      <c r="J1125" s="37" t="s">
        <v>644</v>
      </c>
      <c r="K1125" s="37" t="s">
        <v>14</v>
      </c>
      <c r="L1125" s="47">
        <v>3373317.96</v>
      </c>
      <c r="M1125" s="47">
        <v>3182375.42</v>
      </c>
      <c r="N1125" s="47">
        <v>190942.54</v>
      </c>
      <c r="O1125" s="37" t="s">
        <v>1816</v>
      </c>
    </row>
    <row r="1126" customHeight="1" spans="1:15">
      <c r="A1126" s="37" t="s">
        <v>637</v>
      </c>
      <c r="B1126" s="38">
        <v>45291</v>
      </c>
      <c r="C1126" s="37" t="s">
        <v>748</v>
      </c>
      <c r="D1126" s="37" t="s">
        <v>639</v>
      </c>
      <c r="E1126" s="37" t="s">
        <v>647</v>
      </c>
      <c r="F1126" s="37" t="s">
        <v>749</v>
      </c>
      <c r="G1126" s="37" t="s">
        <v>648</v>
      </c>
      <c r="H1126" s="37" t="s">
        <v>650</v>
      </c>
      <c r="I1126" s="37" t="s">
        <v>461</v>
      </c>
      <c r="J1126" s="37" t="s">
        <v>644</v>
      </c>
      <c r="K1126" s="37" t="s">
        <v>14</v>
      </c>
      <c r="L1126" s="47">
        <v>298525.8</v>
      </c>
      <c r="M1126" s="47">
        <v>281628.12</v>
      </c>
      <c r="N1126" s="47">
        <v>16897.68</v>
      </c>
      <c r="O1126" s="37" t="s">
        <v>1817</v>
      </c>
    </row>
    <row r="1127" customHeight="1" spans="1:15">
      <c r="A1127" s="37" t="s">
        <v>637</v>
      </c>
      <c r="B1127" s="38">
        <v>45291</v>
      </c>
      <c r="C1127" s="37" t="s">
        <v>748</v>
      </c>
      <c r="D1127" s="37" t="s">
        <v>639</v>
      </c>
      <c r="E1127" s="37" t="s">
        <v>647</v>
      </c>
      <c r="F1127" s="37" t="s">
        <v>641</v>
      </c>
      <c r="G1127" s="37" t="s">
        <v>648</v>
      </c>
      <c r="H1127" s="37" t="s">
        <v>697</v>
      </c>
      <c r="I1127" s="37" t="s">
        <v>441</v>
      </c>
      <c r="J1127" s="37" t="s">
        <v>644</v>
      </c>
      <c r="K1127" s="37" t="s">
        <v>14</v>
      </c>
      <c r="L1127" s="47">
        <v>3437339</v>
      </c>
      <c r="M1127" s="47">
        <v>3242772.63</v>
      </c>
      <c r="N1127" s="47">
        <v>194566.37</v>
      </c>
      <c r="O1127" s="37" t="s">
        <v>1818</v>
      </c>
    </row>
    <row r="1128" customHeight="1" spans="1:15">
      <c r="A1128" s="37" t="s">
        <v>637</v>
      </c>
      <c r="B1128" s="38">
        <v>45291</v>
      </c>
      <c r="C1128" s="37" t="s">
        <v>748</v>
      </c>
      <c r="D1128" s="37" t="s">
        <v>639</v>
      </c>
      <c r="E1128" s="37" t="s">
        <v>647</v>
      </c>
      <c r="F1128" s="37" t="s">
        <v>749</v>
      </c>
      <c r="G1128" s="37" t="s">
        <v>648</v>
      </c>
      <c r="H1128" s="37" t="s">
        <v>650</v>
      </c>
      <c r="I1128" s="37" t="s">
        <v>461</v>
      </c>
      <c r="J1128" s="37" t="s">
        <v>644</v>
      </c>
      <c r="K1128" s="37" t="s">
        <v>14</v>
      </c>
      <c r="L1128" s="47">
        <v>176977.6</v>
      </c>
      <c r="M1128" s="47">
        <v>166960.01</v>
      </c>
      <c r="N1128" s="47">
        <v>10017.59</v>
      </c>
      <c r="O1128" s="37" t="s">
        <v>1819</v>
      </c>
    </row>
    <row r="1129" customHeight="1" spans="1:15">
      <c r="A1129" s="37" t="s">
        <v>637</v>
      </c>
      <c r="B1129" s="38">
        <v>45291</v>
      </c>
      <c r="C1129" s="37" t="s">
        <v>748</v>
      </c>
      <c r="D1129" s="37" t="s">
        <v>639</v>
      </c>
      <c r="E1129" s="37" t="s">
        <v>647</v>
      </c>
      <c r="F1129" s="37" t="s">
        <v>707</v>
      </c>
      <c r="G1129" s="37" t="s">
        <v>654</v>
      </c>
      <c r="H1129" s="37" t="s">
        <v>650</v>
      </c>
      <c r="I1129" s="37" t="s">
        <v>754</v>
      </c>
      <c r="J1129" s="37" t="s">
        <v>644</v>
      </c>
      <c r="K1129" s="37" t="s">
        <v>14</v>
      </c>
      <c r="L1129" s="47">
        <v>4923885.4</v>
      </c>
      <c r="M1129" s="47">
        <v>4645174.9</v>
      </c>
      <c r="N1129" s="47">
        <v>278710.5</v>
      </c>
      <c r="O1129" s="37" t="s">
        <v>1820</v>
      </c>
    </row>
    <row r="1130" customHeight="1" spans="1:15">
      <c r="A1130" s="37" t="s">
        <v>637</v>
      </c>
      <c r="B1130" s="38">
        <v>45291</v>
      </c>
      <c r="C1130" s="37" t="s">
        <v>748</v>
      </c>
      <c r="D1130" s="37" t="s">
        <v>639</v>
      </c>
      <c r="E1130" s="37" t="s">
        <v>647</v>
      </c>
      <c r="F1130" s="37" t="s">
        <v>707</v>
      </c>
      <c r="G1130" s="37" t="s">
        <v>648</v>
      </c>
      <c r="H1130" s="37" t="s">
        <v>650</v>
      </c>
      <c r="I1130" s="37" t="s">
        <v>763</v>
      </c>
      <c r="J1130" s="37" t="s">
        <v>644</v>
      </c>
      <c r="K1130" s="37" t="s">
        <v>165</v>
      </c>
      <c r="L1130" s="47">
        <v>2550.47</v>
      </c>
      <c r="M1130" s="47">
        <v>2406.12</v>
      </c>
      <c r="N1130" s="47">
        <v>144.35</v>
      </c>
      <c r="O1130" s="37" t="s">
        <v>1821</v>
      </c>
    </row>
    <row r="1131" customHeight="1" spans="1:15">
      <c r="A1131" s="37" t="s">
        <v>637</v>
      </c>
      <c r="B1131" s="38">
        <v>45291</v>
      </c>
      <c r="C1131" s="37" t="s">
        <v>730</v>
      </c>
      <c r="D1131" s="37" t="s">
        <v>653</v>
      </c>
      <c r="E1131" s="37" t="s">
        <v>640</v>
      </c>
      <c r="F1131" s="37" t="s">
        <v>659</v>
      </c>
      <c r="G1131" s="37" t="s">
        <v>648</v>
      </c>
      <c r="H1131" s="37" t="s">
        <v>650</v>
      </c>
      <c r="I1131" s="37" t="s">
        <v>735</v>
      </c>
      <c r="J1131" s="37" t="s">
        <v>656</v>
      </c>
      <c r="K1131" s="37" t="s">
        <v>166</v>
      </c>
      <c r="L1131" s="47">
        <v>466.54</v>
      </c>
      <c r="M1131" s="47">
        <v>440.13</v>
      </c>
      <c r="N1131" s="47">
        <v>26.41</v>
      </c>
      <c r="O1131" s="37" t="s">
        <v>1822</v>
      </c>
    </row>
    <row r="1132" customHeight="1" spans="1:15">
      <c r="A1132" s="37" t="s">
        <v>637</v>
      </c>
      <c r="B1132" s="38">
        <v>45291</v>
      </c>
      <c r="C1132" s="37" t="s">
        <v>646</v>
      </c>
      <c r="D1132" s="37" t="s">
        <v>682</v>
      </c>
      <c r="E1132" s="37" t="s">
        <v>640</v>
      </c>
      <c r="F1132" s="37" t="s">
        <v>641</v>
      </c>
      <c r="G1132" s="37" t="s">
        <v>642</v>
      </c>
      <c r="H1132" s="37" t="s">
        <v>650</v>
      </c>
      <c r="I1132" s="37" t="s">
        <v>743</v>
      </c>
      <c r="J1132" s="37" t="s">
        <v>656</v>
      </c>
      <c r="K1132" s="37" t="s">
        <v>13</v>
      </c>
      <c r="L1132" s="47">
        <v>925</v>
      </c>
      <c r="M1132" s="47">
        <v>872.64</v>
      </c>
      <c r="N1132" s="47">
        <v>52.36</v>
      </c>
      <c r="O1132" s="37" t="s">
        <v>1823</v>
      </c>
    </row>
    <row r="1133" customHeight="1" spans="1:15">
      <c r="A1133" s="37" t="s">
        <v>637</v>
      </c>
      <c r="B1133" s="38">
        <v>45291</v>
      </c>
      <c r="C1133" s="37" t="s">
        <v>1751</v>
      </c>
      <c r="D1133" s="37" t="s">
        <v>1296</v>
      </c>
      <c r="E1133" s="37" t="s">
        <v>640</v>
      </c>
      <c r="F1133" s="37" t="s">
        <v>659</v>
      </c>
      <c r="G1133" s="37" t="s">
        <v>648</v>
      </c>
      <c r="H1133" s="37" t="s">
        <v>643</v>
      </c>
      <c r="I1133" s="37" t="s">
        <v>794</v>
      </c>
      <c r="J1133" s="37" t="s">
        <v>656</v>
      </c>
      <c r="K1133" s="37" t="s">
        <v>14</v>
      </c>
      <c r="L1133" s="47">
        <v>145525.13</v>
      </c>
      <c r="M1133" s="47">
        <v>137287.86</v>
      </c>
      <c r="N1133" s="47">
        <v>8237.27</v>
      </c>
      <c r="O1133" s="37" t="s">
        <v>1824</v>
      </c>
    </row>
    <row r="1134" customHeight="1" spans="1:15">
      <c r="A1134" s="37" t="s">
        <v>637</v>
      </c>
      <c r="B1134" s="38">
        <v>45291</v>
      </c>
      <c r="C1134" s="37" t="s">
        <v>1382</v>
      </c>
      <c r="D1134" s="37" t="s">
        <v>639</v>
      </c>
      <c r="E1134" s="37" t="s">
        <v>640</v>
      </c>
      <c r="F1134" s="37" t="s">
        <v>641</v>
      </c>
      <c r="G1134" s="37" t="s">
        <v>654</v>
      </c>
      <c r="H1134" s="37" t="s">
        <v>650</v>
      </c>
      <c r="I1134" s="37" t="s">
        <v>798</v>
      </c>
      <c r="J1134" s="37" t="s">
        <v>644</v>
      </c>
      <c r="K1134" s="37" t="s">
        <v>14</v>
      </c>
      <c r="L1134" s="47">
        <v>22500</v>
      </c>
      <c r="M1134" s="47">
        <v>21226.42</v>
      </c>
      <c r="N1134" s="47">
        <v>1273.58</v>
      </c>
      <c r="O1134" s="37" t="s">
        <v>1825</v>
      </c>
    </row>
    <row r="1135" customHeight="1" spans="1:15">
      <c r="A1135" s="37" t="s">
        <v>637</v>
      </c>
      <c r="B1135" s="38">
        <v>45291</v>
      </c>
      <c r="C1135" s="37" t="s">
        <v>638</v>
      </c>
      <c r="D1135" s="37" t="s">
        <v>639</v>
      </c>
      <c r="E1135" s="37" t="s">
        <v>640</v>
      </c>
      <c r="F1135" s="37" t="s">
        <v>641</v>
      </c>
      <c r="G1135" s="37" t="s">
        <v>648</v>
      </c>
      <c r="H1135" s="37" t="s">
        <v>643</v>
      </c>
      <c r="I1135" s="37" t="s">
        <v>430</v>
      </c>
      <c r="J1135" s="37" t="s">
        <v>644</v>
      </c>
      <c r="K1135" s="37" t="s">
        <v>14</v>
      </c>
      <c r="L1135" s="47">
        <v>639808.18</v>
      </c>
      <c r="M1135" s="47">
        <v>603592.62</v>
      </c>
      <c r="N1135" s="47">
        <v>36215.56</v>
      </c>
      <c r="O1135" s="37" t="s">
        <v>1826</v>
      </c>
    </row>
    <row r="1136" customHeight="1" spans="1:15">
      <c r="A1136" s="37" t="s">
        <v>637</v>
      </c>
      <c r="B1136" s="38">
        <v>45291</v>
      </c>
      <c r="C1136" s="37" t="s">
        <v>1751</v>
      </c>
      <c r="D1136" s="37" t="s">
        <v>1296</v>
      </c>
      <c r="E1136" s="37" t="s">
        <v>640</v>
      </c>
      <c r="F1136" s="37" t="s">
        <v>659</v>
      </c>
      <c r="G1136" s="37" t="s">
        <v>648</v>
      </c>
      <c r="H1136" s="37" t="s">
        <v>643</v>
      </c>
      <c r="I1136" s="37" t="s">
        <v>794</v>
      </c>
      <c r="J1136" s="37" t="s">
        <v>656</v>
      </c>
      <c r="K1136" s="37" t="s">
        <v>14</v>
      </c>
      <c r="L1136" s="47">
        <v>51477.99</v>
      </c>
      <c r="M1136" s="47">
        <v>48564.14</v>
      </c>
      <c r="N1136" s="47">
        <v>2913.85</v>
      </c>
      <c r="O1136" s="37" t="s">
        <v>1827</v>
      </c>
    </row>
    <row r="1137" customHeight="1" spans="1:15">
      <c r="A1137" s="37" t="s">
        <v>637</v>
      </c>
      <c r="B1137" s="38">
        <v>45291</v>
      </c>
      <c r="C1137" s="37" t="s">
        <v>638</v>
      </c>
      <c r="D1137" s="37" t="s">
        <v>639</v>
      </c>
      <c r="E1137" s="37" t="s">
        <v>640</v>
      </c>
      <c r="F1137" s="37" t="s">
        <v>641</v>
      </c>
      <c r="G1137" s="37" t="s">
        <v>648</v>
      </c>
      <c r="H1137" s="37" t="s">
        <v>697</v>
      </c>
      <c r="I1137" s="37" t="s">
        <v>430</v>
      </c>
      <c r="J1137" s="37" t="s">
        <v>644</v>
      </c>
      <c r="K1137" s="37" t="s">
        <v>14</v>
      </c>
      <c r="L1137" s="47">
        <v>1206184.05</v>
      </c>
      <c r="M1137" s="47">
        <v>1137909.48</v>
      </c>
      <c r="N1137" s="47">
        <v>68274.57</v>
      </c>
      <c r="O1137" s="37" t="s">
        <v>1828</v>
      </c>
    </row>
    <row r="1138" customHeight="1" spans="1:15">
      <c r="A1138" s="37" t="s">
        <v>637</v>
      </c>
      <c r="B1138" s="38">
        <v>45291</v>
      </c>
      <c r="C1138" s="37" t="s">
        <v>1273</v>
      </c>
      <c r="D1138" s="37" t="s">
        <v>653</v>
      </c>
      <c r="E1138" s="37" t="s">
        <v>640</v>
      </c>
      <c r="F1138" s="37" t="s">
        <v>689</v>
      </c>
      <c r="G1138" s="37" t="s">
        <v>654</v>
      </c>
      <c r="H1138" s="37" t="s">
        <v>697</v>
      </c>
      <c r="I1138" s="37" t="s">
        <v>737</v>
      </c>
      <c r="J1138" s="37" t="s">
        <v>644</v>
      </c>
      <c r="K1138" s="37" t="s">
        <v>166</v>
      </c>
      <c r="L1138" s="47">
        <v>5987590</v>
      </c>
      <c r="M1138" s="47">
        <v>5648669.81</v>
      </c>
      <c r="N1138" s="47">
        <v>338920.19</v>
      </c>
      <c r="O1138" s="37" t="s">
        <v>1829</v>
      </c>
    </row>
    <row r="1139" customHeight="1" spans="1:15">
      <c r="A1139" s="37" t="s">
        <v>637</v>
      </c>
      <c r="B1139" s="38">
        <v>45291</v>
      </c>
      <c r="C1139" s="37" t="s">
        <v>638</v>
      </c>
      <c r="D1139" s="37" t="s">
        <v>639</v>
      </c>
      <c r="E1139" s="37" t="s">
        <v>640</v>
      </c>
      <c r="F1139" s="37" t="s">
        <v>641</v>
      </c>
      <c r="G1139" s="37" t="s">
        <v>642</v>
      </c>
      <c r="H1139" s="37" t="s">
        <v>643</v>
      </c>
      <c r="I1139" s="37" t="s">
        <v>430</v>
      </c>
      <c r="J1139" s="37" t="s">
        <v>644</v>
      </c>
      <c r="K1139" s="37" t="s">
        <v>14</v>
      </c>
      <c r="L1139" s="47">
        <v>-704582.93</v>
      </c>
      <c r="M1139" s="47">
        <v>-664700.88</v>
      </c>
      <c r="N1139" s="47">
        <v>-39882.05</v>
      </c>
      <c r="O1139" s="37" t="s">
        <v>1830</v>
      </c>
    </row>
    <row r="1140" customHeight="1" spans="1:15">
      <c r="A1140" s="37" t="s">
        <v>637</v>
      </c>
      <c r="B1140" s="38">
        <v>45291</v>
      </c>
      <c r="C1140" s="37" t="s">
        <v>646</v>
      </c>
      <c r="D1140" s="37" t="s">
        <v>639</v>
      </c>
      <c r="E1140" s="37" t="s">
        <v>640</v>
      </c>
      <c r="F1140" s="37" t="s">
        <v>641</v>
      </c>
      <c r="G1140" s="37" t="s">
        <v>648</v>
      </c>
      <c r="H1140" s="37" t="s">
        <v>697</v>
      </c>
      <c r="I1140" s="37" t="s">
        <v>430</v>
      </c>
      <c r="J1140" s="37" t="s">
        <v>644</v>
      </c>
      <c r="K1140" s="37" t="s">
        <v>14</v>
      </c>
      <c r="L1140" s="47">
        <v>424935.43</v>
      </c>
      <c r="M1140" s="47">
        <v>400882.48</v>
      </c>
      <c r="N1140" s="47">
        <v>24052.95</v>
      </c>
      <c r="O1140" s="37" t="s">
        <v>1831</v>
      </c>
    </row>
    <row r="1141" customHeight="1" spans="1:15">
      <c r="A1141" s="37" t="s">
        <v>637</v>
      </c>
      <c r="B1141" s="38">
        <v>45291</v>
      </c>
      <c r="C1141" s="37" t="s">
        <v>646</v>
      </c>
      <c r="D1141" s="37" t="s">
        <v>682</v>
      </c>
      <c r="E1141" s="37" t="s">
        <v>640</v>
      </c>
      <c r="F1141" s="37" t="s">
        <v>641</v>
      </c>
      <c r="G1141" s="37" t="s">
        <v>642</v>
      </c>
      <c r="H1141" s="37" t="s">
        <v>650</v>
      </c>
      <c r="I1141" s="37" t="s">
        <v>756</v>
      </c>
      <c r="J1141" s="37" t="s">
        <v>656</v>
      </c>
      <c r="K1141" s="37" t="s">
        <v>13</v>
      </c>
      <c r="L1141" s="47">
        <v>317340</v>
      </c>
      <c r="M1141" s="47">
        <v>299377.36</v>
      </c>
      <c r="N1141" s="47">
        <v>17962.64</v>
      </c>
      <c r="O1141" s="37" t="s">
        <v>1832</v>
      </c>
    </row>
    <row r="1142" customHeight="1" spans="1:15">
      <c r="A1142" s="37" t="s">
        <v>637</v>
      </c>
      <c r="B1142" s="38">
        <v>45291</v>
      </c>
      <c r="C1142" s="37" t="s">
        <v>646</v>
      </c>
      <c r="D1142" s="37" t="s">
        <v>639</v>
      </c>
      <c r="E1142" s="37" t="s">
        <v>640</v>
      </c>
      <c r="F1142" s="37" t="s">
        <v>641</v>
      </c>
      <c r="G1142" s="37" t="s">
        <v>642</v>
      </c>
      <c r="H1142" s="37" t="s">
        <v>643</v>
      </c>
      <c r="I1142" s="37" t="s">
        <v>430</v>
      </c>
      <c r="J1142" s="37" t="s">
        <v>644</v>
      </c>
      <c r="K1142" s="37" t="s">
        <v>14</v>
      </c>
      <c r="L1142" s="47">
        <v>-533790.86</v>
      </c>
      <c r="M1142" s="47">
        <v>-503576.28</v>
      </c>
      <c r="N1142" s="47">
        <v>-30214.58</v>
      </c>
      <c r="O1142" s="37" t="s">
        <v>1833</v>
      </c>
    </row>
    <row r="1143" customHeight="1" spans="1:15">
      <c r="A1143" s="37" t="s">
        <v>637</v>
      </c>
      <c r="B1143" s="38">
        <v>45291</v>
      </c>
      <c r="C1143" s="37" t="s">
        <v>646</v>
      </c>
      <c r="D1143" s="37" t="s">
        <v>639</v>
      </c>
      <c r="E1143" s="37" t="s">
        <v>640</v>
      </c>
      <c r="F1143" s="37" t="s">
        <v>689</v>
      </c>
      <c r="G1143" s="37" t="s">
        <v>654</v>
      </c>
      <c r="H1143" s="37" t="s">
        <v>697</v>
      </c>
      <c r="I1143" s="37" t="s">
        <v>658</v>
      </c>
      <c r="J1143" s="37" t="s">
        <v>656</v>
      </c>
      <c r="K1143" s="37" t="s">
        <v>350</v>
      </c>
      <c r="L1143" s="47">
        <v>175740.54</v>
      </c>
      <c r="M1143" s="47">
        <v>165792.96</v>
      </c>
      <c r="N1143" s="47">
        <v>9947.58</v>
      </c>
      <c r="O1143" s="37" t="s">
        <v>1834</v>
      </c>
    </row>
    <row r="1144" customHeight="1" spans="1:15">
      <c r="A1144" s="37" t="s">
        <v>637</v>
      </c>
      <c r="B1144" s="38">
        <v>45291</v>
      </c>
      <c r="C1144" s="37" t="s">
        <v>646</v>
      </c>
      <c r="D1144" s="37" t="s">
        <v>639</v>
      </c>
      <c r="E1144" s="37" t="s">
        <v>640</v>
      </c>
      <c r="F1144" s="37" t="s">
        <v>641</v>
      </c>
      <c r="G1144" s="37" t="s">
        <v>648</v>
      </c>
      <c r="H1144" s="37" t="s">
        <v>643</v>
      </c>
      <c r="I1144" s="37" t="s">
        <v>430</v>
      </c>
      <c r="J1144" s="37" t="s">
        <v>644</v>
      </c>
      <c r="K1144" s="37" t="s">
        <v>14</v>
      </c>
      <c r="L1144" s="47">
        <v>426920.25</v>
      </c>
      <c r="M1144" s="47">
        <v>402754.95</v>
      </c>
      <c r="N1144" s="47">
        <v>24165.3</v>
      </c>
      <c r="O1144" s="37" t="s">
        <v>1835</v>
      </c>
    </row>
    <row r="1145" customHeight="1" spans="1:15">
      <c r="A1145" s="37" t="s">
        <v>637</v>
      </c>
      <c r="B1145" s="38">
        <v>45291</v>
      </c>
      <c r="C1145" s="37" t="s">
        <v>646</v>
      </c>
      <c r="D1145" s="37" t="s">
        <v>1836</v>
      </c>
      <c r="E1145" s="37" t="s">
        <v>640</v>
      </c>
      <c r="F1145" s="37" t="s">
        <v>641</v>
      </c>
      <c r="G1145" s="37" t="s">
        <v>642</v>
      </c>
      <c r="H1145" s="37" t="s">
        <v>650</v>
      </c>
      <c r="I1145" s="37" t="s">
        <v>728</v>
      </c>
      <c r="J1145" s="37" t="s">
        <v>644</v>
      </c>
      <c r="K1145" s="37" t="s">
        <v>165</v>
      </c>
      <c r="L1145" s="47">
        <v>4.82</v>
      </c>
      <c r="M1145" s="47">
        <v>4.55</v>
      </c>
      <c r="N1145" s="47">
        <v>0.27</v>
      </c>
      <c r="O1145" s="37" t="s">
        <v>1837</v>
      </c>
    </row>
    <row r="1146" customHeight="1" spans="1:15">
      <c r="A1146" s="37" t="s">
        <v>637</v>
      </c>
      <c r="B1146" s="38">
        <v>45291</v>
      </c>
      <c r="C1146" s="37" t="s">
        <v>710</v>
      </c>
      <c r="D1146" s="37" t="s">
        <v>682</v>
      </c>
      <c r="E1146" s="37" t="s">
        <v>640</v>
      </c>
      <c r="F1146" s="37" t="s">
        <v>641</v>
      </c>
      <c r="G1146" s="37" t="s">
        <v>642</v>
      </c>
      <c r="H1146" s="37" t="s">
        <v>650</v>
      </c>
      <c r="I1146" s="37" t="s">
        <v>742</v>
      </c>
      <c r="J1146" s="37" t="s">
        <v>656</v>
      </c>
      <c r="K1146" s="37" t="s">
        <v>13</v>
      </c>
      <c r="L1146" s="47">
        <v>361060</v>
      </c>
      <c r="M1146" s="47">
        <v>340622.64</v>
      </c>
      <c r="N1146" s="47">
        <v>20437.36</v>
      </c>
      <c r="O1146" s="37" t="s">
        <v>1838</v>
      </c>
    </row>
    <row r="1147" customHeight="1" spans="1:15">
      <c r="A1147" s="37" t="s">
        <v>637</v>
      </c>
      <c r="B1147" s="38">
        <v>45291</v>
      </c>
      <c r="C1147" s="37" t="s">
        <v>700</v>
      </c>
      <c r="D1147" s="37" t="s">
        <v>639</v>
      </c>
      <c r="E1147" s="37" t="s">
        <v>640</v>
      </c>
      <c r="F1147" s="37" t="s">
        <v>641</v>
      </c>
      <c r="G1147" s="37" t="s">
        <v>648</v>
      </c>
      <c r="H1147" s="37" t="s">
        <v>650</v>
      </c>
      <c r="I1147" s="37" t="s">
        <v>442</v>
      </c>
      <c r="J1147" s="37" t="s">
        <v>644</v>
      </c>
      <c r="K1147" s="37" t="s">
        <v>14</v>
      </c>
      <c r="L1147" s="47">
        <v>-2005739.94</v>
      </c>
      <c r="M1147" s="47">
        <v>-1892207.49</v>
      </c>
      <c r="N1147" s="47">
        <v>-113532.45</v>
      </c>
      <c r="O1147" s="37" t="s">
        <v>1839</v>
      </c>
    </row>
    <row r="1148" customHeight="1" spans="1:15">
      <c r="A1148" s="37" t="s">
        <v>637</v>
      </c>
      <c r="B1148" s="38">
        <v>45291</v>
      </c>
      <c r="C1148" s="37" t="s">
        <v>811</v>
      </c>
      <c r="D1148" s="37" t="s">
        <v>639</v>
      </c>
      <c r="E1148" s="37" t="s">
        <v>640</v>
      </c>
      <c r="F1148" s="37" t="s">
        <v>641</v>
      </c>
      <c r="G1148" s="37" t="s">
        <v>648</v>
      </c>
      <c r="H1148" s="37" t="s">
        <v>697</v>
      </c>
      <c r="I1148" s="37" t="s">
        <v>430</v>
      </c>
      <c r="J1148" s="37" t="s">
        <v>656</v>
      </c>
      <c r="K1148" s="37" t="s">
        <v>14</v>
      </c>
      <c r="L1148" s="47">
        <v>1479244.78</v>
      </c>
      <c r="M1148" s="47">
        <v>1395513.94</v>
      </c>
      <c r="N1148" s="47">
        <v>83730.84</v>
      </c>
      <c r="O1148" s="37" t="s">
        <v>1840</v>
      </c>
    </row>
    <row r="1149" customHeight="1" spans="1:15">
      <c r="A1149" s="37" t="s">
        <v>637</v>
      </c>
      <c r="B1149" s="38">
        <v>45291</v>
      </c>
      <c r="C1149" s="37" t="s">
        <v>748</v>
      </c>
      <c r="D1149" s="37" t="s">
        <v>682</v>
      </c>
      <c r="E1149" s="37" t="s">
        <v>640</v>
      </c>
      <c r="F1149" s="37" t="s">
        <v>641</v>
      </c>
      <c r="G1149" s="37" t="s">
        <v>642</v>
      </c>
      <c r="H1149" s="37" t="s">
        <v>650</v>
      </c>
      <c r="I1149" s="37" t="s">
        <v>747</v>
      </c>
      <c r="J1149" s="37" t="s">
        <v>656</v>
      </c>
      <c r="K1149" s="37" t="s">
        <v>13</v>
      </c>
      <c r="L1149" s="47">
        <v>11618.99</v>
      </c>
      <c r="M1149" s="47">
        <v>10961.31</v>
      </c>
      <c r="N1149" s="47">
        <v>657.68</v>
      </c>
      <c r="O1149" s="37" t="s">
        <v>1841</v>
      </c>
    </row>
    <row r="1150" customHeight="1" spans="1:15">
      <c r="A1150" s="37" t="s">
        <v>637</v>
      </c>
      <c r="B1150" s="38">
        <v>45291</v>
      </c>
      <c r="C1150" s="37" t="s">
        <v>811</v>
      </c>
      <c r="D1150" s="37" t="s">
        <v>639</v>
      </c>
      <c r="E1150" s="37" t="s">
        <v>640</v>
      </c>
      <c r="F1150" s="37" t="s">
        <v>641</v>
      </c>
      <c r="G1150" s="37" t="s">
        <v>642</v>
      </c>
      <c r="H1150" s="37" t="s">
        <v>643</v>
      </c>
      <c r="I1150" s="37" t="s">
        <v>430</v>
      </c>
      <c r="J1150" s="37" t="s">
        <v>656</v>
      </c>
      <c r="K1150" s="37" t="s">
        <v>14</v>
      </c>
      <c r="L1150" s="47">
        <v>76940.69</v>
      </c>
      <c r="M1150" s="47">
        <v>72585.56</v>
      </c>
      <c r="N1150" s="47">
        <v>4355.13</v>
      </c>
      <c r="O1150" s="37" t="s">
        <v>1842</v>
      </c>
    </row>
    <row r="1151" customHeight="1" spans="1:15">
      <c r="A1151" s="37" t="s">
        <v>637</v>
      </c>
      <c r="B1151" s="38">
        <v>45291</v>
      </c>
      <c r="C1151" s="37" t="s">
        <v>748</v>
      </c>
      <c r="D1151" s="37" t="s">
        <v>682</v>
      </c>
      <c r="E1151" s="37" t="s">
        <v>640</v>
      </c>
      <c r="F1151" s="37" t="s">
        <v>641</v>
      </c>
      <c r="G1151" s="37" t="s">
        <v>642</v>
      </c>
      <c r="H1151" s="37" t="s">
        <v>650</v>
      </c>
      <c r="I1151" s="37" t="s">
        <v>742</v>
      </c>
      <c r="J1151" s="37" t="s">
        <v>656</v>
      </c>
      <c r="K1151" s="37" t="s">
        <v>13</v>
      </c>
      <c r="L1151" s="47">
        <v>146465.41</v>
      </c>
      <c r="M1151" s="47">
        <v>138174.92</v>
      </c>
      <c r="N1151" s="47">
        <v>8290.49</v>
      </c>
      <c r="O1151" s="37" t="s">
        <v>1843</v>
      </c>
    </row>
    <row r="1152" customHeight="1" spans="1:15">
      <c r="A1152" s="37" t="s">
        <v>637</v>
      </c>
      <c r="B1152" s="38">
        <v>45291</v>
      </c>
      <c r="C1152" s="37" t="s">
        <v>811</v>
      </c>
      <c r="D1152" s="37" t="s">
        <v>639</v>
      </c>
      <c r="E1152" s="37" t="s">
        <v>640</v>
      </c>
      <c r="F1152" s="37" t="s">
        <v>641</v>
      </c>
      <c r="G1152" s="37" t="s">
        <v>648</v>
      </c>
      <c r="H1152" s="37" t="s">
        <v>643</v>
      </c>
      <c r="I1152" s="37" t="s">
        <v>430</v>
      </c>
      <c r="J1152" s="37" t="s">
        <v>656</v>
      </c>
      <c r="K1152" s="37" t="s">
        <v>14</v>
      </c>
      <c r="L1152" s="47">
        <v>330646.88</v>
      </c>
      <c r="M1152" s="47">
        <v>311931.02</v>
      </c>
      <c r="N1152" s="47">
        <v>18715.86</v>
      </c>
      <c r="O1152" s="37" t="s">
        <v>1844</v>
      </c>
    </row>
    <row r="1153" customHeight="1" spans="1:15">
      <c r="A1153" s="37" t="s">
        <v>637</v>
      </c>
      <c r="B1153" s="38">
        <v>45291</v>
      </c>
      <c r="C1153" s="37" t="s">
        <v>748</v>
      </c>
      <c r="D1153" s="37" t="s">
        <v>639</v>
      </c>
      <c r="E1153" s="37" t="s">
        <v>640</v>
      </c>
      <c r="F1153" s="37" t="s">
        <v>641</v>
      </c>
      <c r="G1153" s="37" t="s">
        <v>642</v>
      </c>
      <c r="H1153" s="37" t="s">
        <v>650</v>
      </c>
      <c r="I1153" s="37" t="s">
        <v>670</v>
      </c>
      <c r="J1153" s="37" t="s">
        <v>656</v>
      </c>
      <c r="K1153" s="37" t="s">
        <v>350</v>
      </c>
      <c r="L1153" s="47">
        <v>79801.63</v>
      </c>
      <c r="M1153" s="47">
        <v>75284.56</v>
      </c>
      <c r="N1153" s="47">
        <v>4517.07</v>
      </c>
      <c r="O1153" s="37" t="s">
        <v>1845</v>
      </c>
    </row>
    <row r="1154" customHeight="1" spans="1:15">
      <c r="A1154" s="37" t="s">
        <v>637</v>
      </c>
      <c r="B1154" s="38">
        <v>45291</v>
      </c>
      <c r="C1154" s="37" t="s">
        <v>748</v>
      </c>
      <c r="D1154" s="37" t="s">
        <v>639</v>
      </c>
      <c r="E1154" s="37" t="s">
        <v>640</v>
      </c>
      <c r="F1154" s="37" t="s">
        <v>641</v>
      </c>
      <c r="G1154" s="37" t="s">
        <v>654</v>
      </c>
      <c r="H1154" s="37" t="s">
        <v>650</v>
      </c>
      <c r="I1154" s="37" t="s">
        <v>792</v>
      </c>
      <c r="J1154" s="37" t="s">
        <v>644</v>
      </c>
      <c r="K1154" s="37" t="s">
        <v>14</v>
      </c>
      <c r="L1154" s="47">
        <v>65738.71</v>
      </c>
      <c r="M1154" s="47">
        <v>62017.65</v>
      </c>
      <c r="N1154" s="47">
        <v>3721.06</v>
      </c>
      <c r="O1154" s="37" t="s">
        <v>1846</v>
      </c>
    </row>
    <row r="1155" customHeight="1" spans="1:15">
      <c r="A1155" s="37" t="s">
        <v>637</v>
      </c>
      <c r="B1155" s="38">
        <v>45291</v>
      </c>
      <c r="C1155" s="37" t="s">
        <v>748</v>
      </c>
      <c r="D1155" s="37" t="s">
        <v>639</v>
      </c>
      <c r="E1155" s="37" t="s">
        <v>640</v>
      </c>
      <c r="F1155" s="37" t="s">
        <v>641</v>
      </c>
      <c r="G1155" s="37" t="s">
        <v>642</v>
      </c>
      <c r="H1155" s="37" t="s">
        <v>650</v>
      </c>
      <c r="I1155" s="37" t="s">
        <v>460</v>
      </c>
      <c r="J1155" s="37" t="s">
        <v>644</v>
      </c>
      <c r="K1155" s="37" t="s">
        <v>14</v>
      </c>
      <c r="L1155" s="47">
        <v>92931.4</v>
      </c>
      <c r="M1155" s="47">
        <v>87671.13</v>
      </c>
      <c r="N1155" s="47">
        <v>5260.27</v>
      </c>
      <c r="O1155" s="37" t="s">
        <v>1847</v>
      </c>
    </row>
    <row r="1156" customHeight="1" spans="1:15">
      <c r="A1156" s="37" t="s">
        <v>637</v>
      </c>
      <c r="B1156" s="38">
        <v>45291</v>
      </c>
      <c r="C1156" s="37" t="s">
        <v>748</v>
      </c>
      <c r="D1156" s="37" t="s">
        <v>639</v>
      </c>
      <c r="E1156" s="37" t="s">
        <v>640</v>
      </c>
      <c r="F1156" s="37" t="s">
        <v>641</v>
      </c>
      <c r="G1156" s="37" t="s">
        <v>642</v>
      </c>
      <c r="H1156" s="37" t="s">
        <v>650</v>
      </c>
      <c r="I1156" s="37" t="s">
        <v>792</v>
      </c>
      <c r="J1156" s="37" t="s">
        <v>644</v>
      </c>
      <c r="K1156" s="37" t="s">
        <v>14</v>
      </c>
      <c r="L1156" s="47">
        <v>1975</v>
      </c>
      <c r="M1156" s="47">
        <v>1863.21</v>
      </c>
      <c r="N1156" s="47">
        <v>111.79</v>
      </c>
      <c r="O1156" s="37" t="s">
        <v>1848</v>
      </c>
    </row>
    <row r="1157" customHeight="1" spans="1:15">
      <c r="A1157" s="37" t="s">
        <v>637</v>
      </c>
      <c r="B1157" s="38">
        <v>45291</v>
      </c>
      <c r="C1157" s="37" t="s">
        <v>748</v>
      </c>
      <c r="D1157" s="37" t="s">
        <v>639</v>
      </c>
      <c r="E1157" s="37" t="s">
        <v>640</v>
      </c>
      <c r="F1157" s="37" t="s">
        <v>641</v>
      </c>
      <c r="G1157" s="37" t="s">
        <v>642</v>
      </c>
      <c r="H1157" s="37" t="s">
        <v>650</v>
      </c>
      <c r="I1157" s="37" t="s">
        <v>670</v>
      </c>
      <c r="J1157" s="37" t="s">
        <v>656</v>
      </c>
      <c r="K1157" s="37" t="s">
        <v>350</v>
      </c>
      <c r="L1157" s="47">
        <v>5.87</v>
      </c>
      <c r="M1157" s="47">
        <v>5.54</v>
      </c>
      <c r="N1157" s="47">
        <v>0.33</v>
      </c>
      <c r="O1157" s="37" t="s">
        <v>1849</v>
      </c>
    </row>
    <row r="1158" customHeight="1" spans="1:15">
      <c r="A1158" s="37" t="s">
        <v>637</v>
      </c>
      <c r="B1158" s="38">
        <v>45291</v>
      </c>
      <c r="C1158" s="37" t="s">
        <v>748</v>
      </c>
      <c r="D1158" s="37" t="s">
        <v>639</v>
      </c>
      <c r="E1158" s="37" t="s">
        <v>640</v>
      </c>
      <c r="F1158" s="37" t="s">
        <v>707</v>
      </c>
      <c r="G1158" s="37" t="s">
        <v>642</v>
      </c>
      <c r="H1158" s="37" t="s">
        <v>650</v>
      </c>
      <c r="I1158" s="37" t="s">
        <v>429</v>
      </c>
      <c r="J1158" s="37" t="s">
        <v>644</v>
      </c>
      <c r="K1158" s="37" t="s">
        <v>165</v>
      </c>
      <c r="L1158" s="47">
        <v>-588.8</v>
      </c>
      <c r="M1158" s="47">
        <v>-555.47</v>
      </c>
      <c r="N1158" s="47">
        <v>-33.33</v>
      </c>
      <c r="O1158" s="37" t="s">
        <v>1850</v>
      </c>
    </row>
    <row r="1159" customHeight="1" spans="1:15">
      <c r="A1159" s="37" t="s">
        <v>637</v>
      </c>
      <c r="B1159" s="38">
        <v>45291</v>
      </c>
      <c r="C1159" s="37" t="s">
        <v>638</v>
      </c>
      <c r="D1159" s="37" t="s">
        <v>639</v>
      </c>
      <c r="E1159" s="37" t="s">
        <v>640</v>
      </c>
      <c r="F1159" s="37" t="s">
        <v>641</v>
      </c>
      <c r="G1159" s="37" t="s">
        <v>642</v>
      </c>
      <c r="H1159" s="37" t="s">
        <v>643</v>
      </c>
      <c r="I1159" s="37" t="s">
        <v>430</v>
      </c>
      <c r="J1159" s="37" t="s">
        <v>644</v>
      </c>
      <c r="K1159" s="37" t="s">
        <v>14</v>
      </c>
      <c r="L1159" s="47">
        <v>-267906.52</v>
      </c>
      <c r="M1159" s="47">
        <v>-252742</v>
      </c>
      <c r="N1159" s="47">
        <v>-15164.52</v>
      </c>
      <c r="O1159" s="37" t="s">
        <v>1851</v>
      </c>
    </row>
    <row r="1160" customHeight="1" spans="1:15">
      <c r="A1160" s="37" t="s">
        <v>637</v>
      </c>
      <c r="B1160" s="38">
        <v>45291</v>
      </c>
      <c r="C1160" s="37" t="s">
        <v>748</v>
      </c>
      <c r="D1160" s="37" t="s">
        <v>639</v>
      </c>
      <c r="E1160" s="37" t="s">
        <v>640</v>
      </c>
      <c r="F1160" s="37" t="s">
        <v>641</v>
      </c>
      <c r="G1160" s="37" t="s">
        <v>642</v>
      </c>
      <c r="H1160" s="37" t="s">
        <v>697</v>
      </c>
      <c r="I1160" s="37" t="s">
        <v>436</v>
      </c>
      <c r="J1160" s="37" t="s">
        <v>644</v>
      </c>
      <c r="K1160" s="37" t="s">
        <v>350</v>
      </c>
      <c r="L1160" s="47">
        <v>104535.39</v>
      </c>
      <c r="M1160" s="47">
        <v>98618.29</v>
      </c>
      <c r="N1160" s="47">
        <v>5917.1</v>
      </c>
      <c r="O1160" s="37" t="s">
        <v>1852</v>
      </c>
    </row>
    <row r="1161" customHeight="1" spans="1:15">
      <c r="A1161" s="37" t="s">
        <v>637</v>
      </c>
      <c r="B1161" s="38">
        <v>45291</v>
      </c>
      <c r="C1161" s="37" t="s">
        <v>811</v>
      </c>
      <c r="D1161" s="37" t="s">
        <v>639</v>
      </c>
      <c r="E1161" s="37" t="s">
        <v>640</v>
      </c>
      <c r="F1161" s="37" t="s">
        <v>641</v>
      </c>
      <c r="G1161" s="37" t="s">
        <v>642</v>
      </c>
      <c r="H1161" s="37" t="s">
        <v>643</v>
      </c>
      <c r="I1161" s="37" t="s">
        <v>430</v>
      </c>
      <c r="J1161" s="37" t="s">
        <v>656</v>
      </c>
      <c r="K1161" s="37" t="s">
        <v>14</v>
      </c>
      <c r="L1161" s="47">
        <v>-1372861.83</v>
      </c>
      <c r="M1161" s="47">
        <v>-1295152.67</v>
      </c>
      <c r="N1161" s="47">
        <v>-77709.16</v>
      </c>
      <c r="O1161" s="37" t="s">
        <v>1853</v>
      </c>
    </row>
    <row r="1162" customHeight="1" spans="1:15">
      <c r="A1162" s="37" t="s">
        <v>637</v>
      </c>
      <c r="B1162" s="38">
        <v>45291</v>
      </c>
      <c r="C1162" s="37" t="s">
        <v>730</v>
      </c>
      <c r="D1162" s="37" t="s">
        <v>653</v>
      </c>
      <c r="E1162" s="37" t="s">
        <v>640</v>
      </c>
      <c r="F1162" s="37" t="s">
        <v>659</v>
      </c>
      <c r="G1162" s="37" t="s">
        <v>648</v>
      </c>
      <c r="H1162" s="37" t="s">
        <v>650</v>
      </c>
      <c r="I1162" s="37" t="s">
        <v>732</v>
      </c>
      <c r="J1162" s="37" t="s">
        <v>656</v>
      </c>
      <c r="K1162" s="37" t="s">
        <v>166</v>
      </c>
      <c r="L1162" s="47">
        <v>31097.1</v>
      </c>
      <c r="M1162" s="47">
        <v>29336.89</v>
      </c>
      <c r="N1162" s="47">
        <v>1760.21</v>
      </c>
      <c r="O1162" s="37" t="s">
        <v>1854</v>
      </c>
    </row>
    <row r="1163" customHeight="1" spans="1:15">
      <c r="A1163" s="37" t="s">
        <v>637</v>
      </c>
      <c r="B1163" s="38">
        <v>45291</v>
      </c>
      <c r="C1163" s="37" t="s">
        <v>1855</v>
      </c>
      <c r="D1163" s="37" t="s">
        <v>639</v>
      </c>
      <c r="E1163" s="37" t="s">
        <v>640</v>
      </c>
      <c r="F1163" s="37" t="s">
        <v>641</v>
      </c>
      <c r="G1163" s="37" t="s">
        <v>654</v>
      </c>
      <c r="H1163" s="37" t="s">
        <v>650</v>
      </c>
      <c r="I1163" s="37" t="s">
        <v>709</v>
      </c>
      <c r="J1163" s="37" t="s">
        <v>644</v>
      </c>
      <c r="K1163" s="37" t="s">
        <v>350</v>
      </c>
      <c r="L1163" s="47">
        <v>34800</v>
      </c>
      <c r="M1163" s="47">
        <v>32830.19</v>
      </c>
      <c r="N1163" s="47">
        <v>1969.81</v>
      </c>
      <c r="O1163" s="37" t="s">
        <v>1856</v>
      </c>
    </row>
    <row r="1164" customHeight="1" spans="1:15">
      <c r="A1164" s="37" t="s">
        <v>637</v>
      </c>
      <c r="B1164" s="38">
        <v>45291</v>
      </c>
      <c r="C1164" s="37" t="s">
        <v>748</v>
      </c>
      <c r="D1164" s="37" t="s">
        <v>639</v>
      </c>
      <c r="E1164" s="37" t="s">
        <v>640</v>
      </c>
      <c r="F1164" s="37" t="s">
        <v>707</v>
      </c>
      <c r="G1164" s="37" t="s">
        <v>648</v>
      </c>
      <c r="H1164" s="37" t="s">
        <v>643</v>
      </c>
      <c r="I1164" s="37" t="s">
        <v>429</v>
      </c>
      <c r="J1164" s="37" t="s">
        <v>644</v>
      </c>
      <c r="K1164" s="37" t="s">
        <v>14</v>
      </c>
      <c r="L1164" s="47">
        <v>-1209422.4</v>
      </c>
      <c r="M1164" s="47">
        <v>-1140964.53</v>
      </c>
      <c r="N1164" s="47">
        <v>-68457.87</v>
      </c>
      <c r="O1164" s="37" t="s">
        <v>1857</v>
      </c>
    </row>
    <row r="1165" customHeight="1" spans="1:15">
      <c r="A1165" s="37" t="s">
        <v>637</v>
      </c>
      <c r="B1165" s="38">
        <v>45291</v>
      </c>
      <c r="C1165" s="37" t="s">
        <v>748</v>
      </c>
      <c r="D1165" s="37" t="s">
        <v>639</v>
      </c>
      <c r="E1165" s="37" t="s">
        <v>640</v>
      </c>
      <c r="F1165" s="37" t="s">
        <v>641</v>
      </c>
      <c r="G1165" s="37" t="s">
        <v>642</v>
      </c>
      <c r="H1165" s="37" t="s">
        <v>650</v>
      </c>
      <c r="I1165" s="37" t="s">
        <v>678</v>
      </c>
      <c r="J1165" s="37" t="s">
        <v>644</v>
      </c>
      <c r="K1165" s="37" t="s">
        <v>350</v>
      </c>
      <c r="L1165" s="47">
        <v>-37368</v>
      </c>
      <c r="M1165" s="47">
        <v>-35252.83</v>
      </c>
      <c r="N1165" s="47">
        <v>-2115.17</v>
      </c>
      <c r="O1165" s="37" t="s">
        <v>1858</v>
      </c>
    </row>
    <row r="1166" customHeight="1" spans="1:15">
      <c r="A1166" s="37" t="s">
        <v>637</v>
      </c>
      <c r="B1166" s="38">
        <v>45291</v>
      </c>
      <c r="C1166" s="37" t="s">
        <v>748</v>
      </c>
      <c r="D1166" s="37" t="s">
        <v>639</v>
      </c>
      <c r="E1166" s="37" t="s">
        <v>640</v>
      </c>
      <c r="F1166" s="37" t="s">
        <v>707</v>
      </c>
      <c r="G1166" s="37" t="s">
        <v>642</v>
      </c>
      <c r="H1166" s="37" t="s">
        <v>643</v>
      </c>
      <c r="I1166" s="37" t="s">
        <v>429</v>
      </c>
      <c r="J1166" s="37" t="s">
        <v>644</v>
      </c>
      <c r="K1166" s="37" t="s">
        <v>14</v>
      </c>
      <c r="L1166" s="47">
        <v>114642.56</v>
      </c>
      <c r="M1166" s="47">
        <v>108153.36</v>
      </c>
      <c r="N1166" s="47">
        <v>6489.2</v>
      </c>
      <c r="O1166" s="37" t="s">
        <v>1859</v>
      </c>
    </row>
    <row r="1167" customHeight="1" spans="1:15">
      <c r="A1167" s="37" t="s">
        <v>637</v>
      </c>
      <c r="B1167" s="38">
        <v>45291</v>
      </c>
      <c r="C1167" s="37" t="s">
        <v>748</v>
      </c>
      <c r="D1167" s="37" t="s">
        <v>639</v>
      </c>
      <c r="E1167" s="37" t="s">
        <v>640</v>
      </c>
      <c r="F1167" s="37" t="s">
        <v>641</v>
      </c>
      <c r="G1167" s="37" t="s">
        <v>642</v>
      </c>
      <c r="H1167" s="37" t="s">
        <v>643</v>
      </c>
      <c r="I1167" s="37" t="s">
        <v>441</v>
      </c>
      <c r="J1167" s="37" t="s">
        <v>644</v>
      </c>
      <c r="K1167" s="37" t="s">
        <v>14</v>
      </c>
      <c r="L1167" s="47">
        <v>4921949.25</v>
      </c>
      <c r="M1167" s="47">
        <v>4643348.35</v>
      </c>
      <c r="N1167" s="47">
        <v>278600.9</v>
      </c>
      <c r="O1167" s="37" t="s">
        <v>1860</v>
      </c>
    </row>
    <row r="1168" customHeight="1" spans="1:15">
      <c r="A1168" s="37" t="s">
        <v>637</v>
      </c>
      <c r="B1168" s="38">
        <v>45291</v>
      </c>
      <c r="C1168" s="37" t="s">
        <v>748</v>
      </c>
      <c r="D1168" s="37" t="s">
        <v>639</v>
      </c>
      <c r="E1168" s="37" t="s">
        <v>640</v>
      </c>
      <c r="F1168" s="37" t="s">
        <v>707</v>
      </c>
      <c r="G1168" s="37" t="s">
        <v>648</v>
      </c>
      <c r="H1168" s="37" t="s">
        <v>643</v>
      </c>
      <c r="I1168" s="37" t="s">
        <v>429</v>
      </c>
      <c r="J1168" s="37" t="s">
        <v>644</v>
      </c>
      <c r="K1168" s="37" t="s">
        <v>14</v>
      </c>
      <c r="L1168" s="47">
        <v>616507.09</v>
      </c>
      <c r="M1168" s="47">
        <v>581610.46</v>
      </c>
      <c r="N1168" s="47">
        <v>34896.63</v>
      </c>
      <c r="O1168" s="37" t="s">
        <v>1861</v>
      </c>
    </row>
    <row r="1169" customHeight="1" spans="1:15">
      <c r="A1169" s="37" t="s">
        <v>637</v>
      </c>
      <c r="B1169" s="38">
        <v>45291</v>
      </c>
      <c r="C1169" s="37" t="s">
        <v>748</v>
      </c>
      <c r="D1169" s="37" t="s">
        <v>639</v>
      </c>
      <c r="E1169" s="37" t="s">
        <v>640</v>
      </c>
      <c r="F1169" s="37" t="s">
        <v>641</v>
      </c>
      <c r="G1169" s="37" t="s">
        <v>642</v>
      </c>
      <c r="H1169" s="37" t="s">
        <v>643</v>
      </c>
      <c r="I1169" s="37" t="s">
        <v>779</v>
      </c>
      <c r="J1169" s="37" t="s">
        <v>644</v>
      </c>
      <c r="K1169" s="37" t="s">
        <v>14</v>
      </c>
      <c r="L1169" s="47">
        <v>120680.49</v>
      </c>
      <c r="M1169" s="47">
        <v>113849.52</v>
      </c>
      <c r="N1169" s="47">
        <v>6830.97</v>
      </c>
      <c r="O1169" s="37" t="s">
        <v>1862</v>
      </c>
    </row>
    <row r="1170" customHeight="1" spans="1:15">
      <c r="A1170" s="37" t="s">
        <v>637</v>
      </c>
      <c r="B1170" s="38">
        <v>45291</v>
      </c>
      <c r="C1170" s="37" t="s">
        <v>748</v>
      </c>
      <c r="D1170" s="37" t="s">
        <v>639</v>
      </c>
      <c r="E1170" s="37" t="s">
        <v>640</v>
      </c>
      <c r="F1170" s="37" t="s">
        <v>707</v>
      </c>
      <c r="G1170" s="37" t="s">
        <v>654</v>
      </c>
      <c r="H1170" s="37" t="s">
        <v>650</v>
      </c>
      <c r="I1170" s="37" t="s">
        <v>754</v>
      </c>
      <c r="J1170" s="37" t="s">
        <v>644</v>
      </c>
      <c r="K1170" s="37" t="s">
        <v>14</v>
      </c>
      <c r="L1170" s="47">
        <v>137094</v>
      </c>
      <c r="M1170" s="47">
        <v>129333.96</v>
      </c>
      <c r="N1170" s="47">
        <v>7760.04</v>
      </c>
      <c r="O1170" s="37" t="s">
        <v>1863</v>
      </c>
    </row>
    <row r="1171" customHeight="1" spans="1:15">
      <c r="A1171" s="37" t="s">
        <v>637</v>
      </c>
      <c r="B1171" s="38">
        <v>45291</v>
      </c>
      <c r="C1171" s="37" t="s">
        <v>748</v>
      </c>
      <c r="D1171" s="37" t="s">
        <v>639</v>
      </c>
      <c r="E1171" s="37" t="s">
        <v>640</v>
      </c>
      <c r="F1171" s="37" t="s">
        <v>707</v>
      </c>
      <c r="G1171" s="37" t="s">
        <v>648</v>
      </c>
      <c r="H1171" s="37" t="s">
        <v>643</v>
      </c>
      <c r="I1171" s="37" t="s">
        <v>429</v>
      </c>
      <c r="J1171" s="37" t="s">
        <v>644</v>
      </c>
      <c r="K1171" s="37" t="s">
        <v>14</v>
      </c>
      <c r="L1171" s="47">
        <v>2259424.28</v>
      </c>
      <c r="M1171" s="47">
        <v>2131532.34</v>
      </c>
      <c r="N1171" s="47">
        <v>127891.94</v>
      </c>
      <c r="O1171" s="37" t="s">
        <v>1864</v>
      </c>
    </row>
    <row r="1172" customHeight="1" spans="1:15">
      <c r="A1172" s="37" t="s">
        <v>637</v>
      </c>
      <c r="B1172" s="38">
        <v>45291</v>
      </c>
      <c r="C1172" s="37" t="s">
        <v>748</v>
      </c>
      <c r="D1172" s="37" t="s">
        <v>639</v>
      </c>
      <c r="E1172" s="37" t="s">
        <v>640</v>
      </c>
      <c r="F1172" s="37" t="s">
        <v>707</v>
      </c>
      <c r="G1172" s="37" t="s">
        <v>654</v>
      </c>
      <c r="H1172" s="37" t="s">
        <v>697</v>
      </c>
      <c r="I1172" s="37" t="s">
        <v>694</v>
      </c>
      <c r="J1172" s="37" t="s">
        <v>656</v>
      </c>
      <c r="K1172" s="37" t="s">
        <v>350</v>
      </c>
      <c r="L1172" s="47">
        <v>-200</v>
      </c>
      <c r="M1172" s="47">
        <v>-188.68</v>
      </c>
      <c r="N1172" s="47">
        <v>-11.32</v>
      </c>
      <c r="O1172" s="37" t="s">
        <v>1865</v>
      </c>
    </row>
    <row r="1173" customHeight="1" spans="1:15">
      <c r="A1173" s="37" t="s">
        <v>637</v>
      </c>
      <c r="B1173" s="38">
        <v>45291</v>
      </c>
      <c r="C1173" s="37" t="s">
        <v>748</v>
      </c>
      <c r="D1173" s="37" t="s">
        <v>639</v>
      </c>
      <c r="E1173" s="37" t="s">
        <v>640</v>
      </c>
      <c r="F1173" s="37" t="s">
        <v>707</v>
      </c>
      <c r="G1173" s="37" t="s">
        <v>642</v>
      </c>
      <c r="H1173" s="37" t="s">
        <v>643</v>
      </c>
      <c r="I1173" s="37" t="s">
        <v>779</v>
      </c>
      <c r="J1173" s="37" t="s">
        <v>644</v>
      </c>
      <c r="K1173" s="37" t="s">
        <v>14</v>
      </c>
      <c r="L1173" s="47">
        <v>27688.62</v>
      </c>
      <c r="M1173" s="47">
        <v>26121.34</v>
      </c>
      <c r="N1173" s="47">
        <v>1567.28</v>
      </c>
      <c r="O1173" s="37" t="s">
        <v>1866</v>
      </c>
    </row>
    <row r="1174" customHeight="1" spans="1:15">
      <c r="A1174" s="37" t="s">
        <v>637</v>
      </c>
      <c r="B1174" s="38">
        <v>45291</v>
      </c>
      <c r="C1174" s="37" t="s">
        <v>646</v>
      </c>
      <c r="D1174" s="37" t="s">
        <v>639</v>
      </c>
      <c r="E1174" s="37" t="s">
        <v>640</v>
      </c>
      <c r="F1174" s="37" t="s">
        <v>641</v>
      </c>
      <c r="G1174" s="37" t="s">
        <v>642</v>
      </c>
      <c r="H1174" s="37" t="s">
        <v>650</v>
      </c>
      <c r="I1174" s="37" t="s">
        <v>678</v>
      </c>
      <c r="J1174" s="37" t="s">
        <v>644</v>
      </c>
      <c r="K1174" s="37" t="s">
        <v>350</v>
      </c>
      <c r="L1174" s="47">
        <v>37368</v>
      </c>
      <c r="M1174" s="47">
        <v>35252.83</v>
      </c>
      <c r="N1174" s="47">
        <v>2115.17</v>
      </c>
      <c r="O1174" s="37" t="s">
        <v>1867</v>
      </c>
    </row>
    <row r="1175" customHeight="1" spans="1:15">
      <c r="A1175" s="37" t="s">
        <v>637</v>
      </c>
      <c r="B1175" s="38">
        <v>45291</v>
      </c>
      <c r="C1175" s="37" t="s">
        <v>748</v>
      </c>
      <c r="D1175" s="37" t="s">
        <v>639</v>
      </c>
      <c r="E1175" s="37" t="s">
        <v>640</v>
      </c>
      <c r="F1175" s="37" t="s">
        <v>707</v>
      </c>
      <c r="G1175" s="37" t="s">
        <v>642</v>
      </c>
      <c r="H1175" s="37" t="s">
        <v>643</v>
      </c>
      <c r="I1175" s="37" t="s">
        <v>429</v>
      </c>
      <c r="J1175" s="37" t="s">
        <v>644</v>
      </c>
      <c r="K1175" s="37" t="s">
        <v>14</v>
      </c>
      <c r="L1175" s="47">
        <v>-52793.7</v>
      </c>
      <c r="M1175" s="47">
        <v>-49805.38</v>
      </c>
      <c r="N1175" s="47">
        <v>-2988.32</v>
      </c>
      <c r="O1175" s="37" t="s">
        <v>1868</v>
      </c>
    </row>
    <row r="1176" customHeight="1" spans="1:15">
      <c r="A1176" s="37" t="s">
        <v>637</v>
      </c>
      <c r="B1176" s="38">
        <v>45291</v>
      </c>
      <c r="C1176" s="37" t="s">
        <v>748</v>
      </c>
      <c r="D1176" s="37" t="s">
        <v>639</v>
      </c>
      <c r="E1176" s="37" t="s">
        <v>640</v>
      </c>
      <c r="F1176" s="37" t="s">
        <v>707</v>
      </c>
      <c r="G1176" s="37" t="s">
        <v>642</v>
      </c>
      <c r="H1176" s="37" t="s">
        <v>643</v>
      </c>
      <c r="I1176" s="37" t="s">
        <v>429</v>
      </c>
      <c r="J1176" s="37" t="s">
        <v>644</v>
      </c>
      <c r="K1176" s="37" t="s">
        <v>14</v>
      </c>
      <c r="L1176" s="47">
        <v>-70.5</v>
      </c>
      <c r="M1176" s="47">
        <v>-66.51</v>
      </c>
      <c r="N1176" s="47">
        <v>-3.99</v>
      </c>
      <c r="O1176" s="37" t="s">
        <v>1869</v>
      </c>
    </row>
    <row r="1177" customHeight="1" spans="1:15">
      <c r="A1177" s="37" t="s">
        <v>637</v>
      </c>
      <c r="B1177" s="38">
        <v>45291</v>
      </c>
      <c r="C1177" s="37" t="s">
        <v>646</v>
      </c>
      <c r="D1177" s="37" t="s">
        <v>639</v>
      </c>
      <c r="E1177" s="37" t="s">
        <v>640</v>
      </c>
      <c r="F1177" s="37" t="s">
        <v>641</v>
      </c>
      <c r="G1177" s="37" t="s">
        <v>642</v>
      </c>
      <c r="H1177" s="37" t="s">
        <v>643</v>
      </c>
      <c r="I1177" s="37" t="s">
        <v>430</v>
      </c>
      <c r="J1177" s="37" t="s">
        <v>644</v>
      </c>
      <c r="K1177" s="37" t="s">
        <v>14</v>
      </c>
      <c r="L1177" s="47">
        <v>-74438.84</v>
      </c>
      <c r="M1177" s="47">
        <v>-70225.32</v>
      </c>
      <c r="N1177" s="47">
        <v>-4213.52</v>
      </c>
      <c r="O1177" s="37" t="s">
        <v>1870</v>
      </c>
    </row>
    <row r="1178" customHeight="1" spans="1:15">
      <c r="A1178" s="37" t="s">
        <v>637</v>
      </c>
      <c r="B1178" s="38">
        <v>45291</v>
      </c>
      <c r="C1178" s="37" t="s">
        <v>646</v>
      </c>
      <c r="D1178" s="37" t="s">
        <v>653</v>
      </c>
      <c r="E1178" s="37" t="s">
        <v>640</v>
      </c>
      <c r="F1178" s="37" t="s">
        <v>641</v>
      </c>
      <c r="G1178" s="37" t="s">
        <v>642</v>
      </c>
      <c r="H1178" s="37" t="s">
        <v>643</v>
      </c>
      <c r="I1178" s="37" t="s">
        <v>462</v>
      </c>
      <c r="J1178" s="37" t="s">
        <v>656</v>
      </c>
      <c r="K1178" s="37" t="s">
        <v>166</v>
      </c>
      <c r="L1178" s="47">
        <v>1000000</v>
      </c>
      <c r="M1178" s="47">
        <v>943396.23</v>
      </c>
      <c r="N1178" s="47">
        <v>56603.77</v>
      </c>
      <c r="O1178" s="37" t="s">
        <v>1871</v>
      </c>
    </row>
    <row r="1179" customHeight="1" spans="1:15">
      <c r="A1179" s="37" t="s">
        <v>637</v>
      </c>
      <c r="B1179" s="38">
        <v>45291</v>
      </c>
      <c r="C1179" s="37" t="s">
        <v>1273</v>
      </c>
      <c r="D1179" s="37" t="s">
        <v>653</v>
      </c>
      <c r="E1179" s="37" t="s">
        <v>640</v>
      </c>
      <c r="F1179" s="37" t="s">
        <v>659</v>
      </c>
      <c r="G1179" s="37" t="s">
        <v>642</v>
      </c>
      <c r="H1179" s="37" t="s">
        <v>650</v>
      </c>
      <c r="I1179" s="37" t="s">
        <v>728</v>
      </c>
      <c r="J1179" s="37" t="s">
        <v>656</v>
      </c>
      <c r="K1179" s="37" t="s">
        <v>166</v>
      </c>
      <c r="L1179" s="47">
        <v>2.94</v>
      </c>
      <c r="M1179" s="47">
        <v>2.77</v>
      </c>
      <c r="N1179" s="47">
        <v>0.17</v>
      </c>
      <c r="O1179" s="37" t="s">
        <v>1872</v>
      </c>
    </row>
    <row r="1180" customHeight="1" spans="1:15">
      <c r="A1180" s="37" t="s">
        <v>637</v>
      </c>
      <c r="B1180" s="38">
        <v>45291</v>
      </c>
      <c r="C1180" s="37" t="s">
        <v>646</v>
      </c>
      <c r="D1180" s="37" t="s">
        <v>653</v>
      </c>
      <c r="E1180" s="37" t="s">
        <v>640</v>
      </c>
      <c r="F1180" s="37" t="s">
        <v>659</v>
      </c>
      <c r="G1180" s="37" t="s">
        <v>648</v>
      </c>
      <c r="H1180" s="37" t="s">
        <v>650</v>
      </c>
      <c r="I1180" s="37" t="s">
        <v>462</v>
      </c>
      <c r="J1180" s="37" t="s">
        <v>656</v>
      </c>
      <c r="K1180" s="37" t="s">
        <v>166</v>
      </c>
      <c r="L1180" s="47">
        <v>199973.22</v>
      </c>
      <c r="M1180" s="47">
        <v>188653.98</v>
      </c>
      <c r="N1180" s="47">
        <v>11319.24</v>
      </c>
      <c r="O1180" s="37" t="s">
        <v>1873</v>
      </c>
    </row>
    <row r="1181" customHeight="1" spans="1:15">
      <c r="A1181" s="37" t="s">
        <v>637</v>
      </c>
      <c r="B1181" s="38">
        <v>45291</v>
      </c>
      <c r="C1181" s="37" t="s">
        <v>646</v>
      </c>
      <c r="D1181" s="37" t="s">
        <v>653</v>
      </c>
      <c r="E1181" s="37" t="s">
        <v>640</v>
      </c>
      <c r="F1181" s="37" t="s">
        <v>641</v>
      </c>
      <c r="G1181" s="37" t="s">
        <v>648</v>
      </c>
      <c r="H1181" s="37" t="s">
        <v>697</v>
      </c>
      <c r="I1181" s="37" t="s">
        <v>462</v>
      </c>
      <c r="J1181" s="37" t="s">
        <v>656</v>
      </c>
      <c r="K1181" s="37" t="s">
        <v>166</v>
      </c>
      <c r="L1181" s="47">
        <v>97323.68</v>
      </c>
      <c r="M1181" s="47">
        <v>91814.79</v>
      </c>
      <c r="N1181" s="47">
        <v>5508.89</v>
      </c>
      <c r="O1181" s="37" t="s">
        <v>1874</v>
      </c>
    </row>
    <row r="1182" customHeight="1" spans="1:15">
      <c r="A1182" s="37" t="s">
        <v>637</v>
      </c>
      <c r="B1182" s="38">
        <v>45291</v>
      </c>
      <c r="C1182" s="37" t="s">
        <v>646</v>
      </c>
      <c r="D1182" s="37" t="s">
        <v>653</v>
      </c>
      <c r="E1182" s="37" t="s">
        <v>640</v>
      </c>
      <c r="F1182" s="37" t="s">
        <v>659</v>
      </c>
      <c r="G1182" s="37" t="s">
        <v>648</v>
      </c>
      <c r="H1182" s="37" t="s">
        <v>650</v>
      </c>
      <c r="I1182" s="37" t="s">
        <v>462</v>
      </c>
      <c r="J1182" s="37" t="s">
        <v>656</v>
      </c>
      <c r="K1182" s="37" t="s">
        <v>166</v>
      </c>
      <c r="L1182" s="47">
        <v>389294.7</v>
      </c>
      <c r="M1182" s="47">
        <v>367259.15</v>
      </c>
      <c r="N1182" s="47">
        <v>22035.55</v>
      </c>
      <c r="O1182" s="37" t="s">
        <v>1875</v>
      </c>
    </row>
    <row r="1183" customHeight="1" spans="1:15">
      <c r="A1183" s="37" t="s">
        <v>637</v>
      </c>
      <c r="B1183" s="38">
        <v>45291</v>
      </c>
      <c r="C1183" s="37" t="s">
        <v>646</v>
      </c>
      <c r="D1183" s="37" t="s">
        <v>639</v>
      </c>
      <c r="E1183" s="37" t="s">
        <v>640</v>
      </c>
      <c r="F1183" s="37" t="s">
        <v>641</v>
      </c>
      <c r="G1183" s="37" t="s">
        <v>642</v>
      </c>
      <c r="H1183" s="37" t="s">
        <v>643</v>
      </c>
      <c r="I1183" s="37" t="s">
        <v>678</v>
      </c>
      <c r="J1183" s="37" t="s">
        <v>656</v>
      </c>
      <c r="K1183" s="37" t="s">
        <v>350</v>
      </c>
      <c r="L1183" s="47">
        <v>660</v>
      </c>
      <c r="M1183" s="47">
        <v>622.64</v>
      </c>
      <c r="N1183" s="47">
        <v>37.36</v>
      </c>
      <c r="O1183" s="37" t="s">
        <v>1876</v>
      </c>
    </row>
    <row r="1184" customHeight="1" spans="1:15">
      <c r="A1184" s="37" t="s">
        <v>637</v>
      </c>
      <c r="B1184" s="38">
        <v>45291</v>
      </c>
      <c r="C1184" s="37" t="s">
        <v>700</v>
      </c>
      <c r="D1184" s="37" t="s">
        <v>639</v>
      </c>
      <c r="E1184" s="37" t="s">
        <v>640</v>
      </c>
      <c r="F1184" s="37" t="s">
        <v>641</v>
      </c>
      <c r="G1184" s="37" t="s">
        <v>648</v>
      </c>
      <c r="H1184" s="37" t="s">
        <v>650</v>
      </c>
      <c r="I1184" s="37" t="s">
        <v>442</v>
      </c>
      <c r="J1184" s="37" t="s">
        <v>644</v>
      </c>
      <c r="K1184" s="37" t="s">
        <v>14</v>
      </c>
      <c r="L1184" s="47">
        <v>-1103862.09</v>
      </c>
      <c r="M1184" s="47">
        <v>-1041379.33</v>
      </c>
      <c r="N1184" s="47">
        <v>-62482.76</v>
      </c>
      <c r="O1184" s="37" t="s">
        <v>1877</v>
      </c>
    </row>
    <row r="1185" customHeight="1" spans="1:15">
      <c r="A1185" s="37" t="s">
        <v>637</v>
      </c>
      <c r="B1185" s="38">
        <v>45291</v>
      </c>
      <c r="C1185" s="37" t="s">
        <v>700</v>
      </c>
      <c r="D1185" s="37" t="s">
        <v>639</v>
      </c>
      <c r="E1185" s="37" t="s">
        <v>640</v>
      </c>
      <c r="F1185" s="37" t="s">
        <v>659</v>
      </c>
      <c r="G1185" s="37" t="s">
        <v>648</v>
      </c>
      <c r="H1185" s="37" t="s">
        <v>697</v>
      </c>
      <c r="I1185" s="37" t="s">
        <v>430</v>
      </c>
      <c r="J1185" s="37" t="s">
        <v>644</v>
      </c>
      <c r="K1185" s="37" t="s">
        <v>14</v>
      </c>
      <c r="L1185" s="47">
        <v>1820000</v>
      </c>
      <c r="M1185" s="47">
        <v>1716981.13</v>
      </c>
      <c r="N1185" s="47">
        <v>103018.87</v>
      </c>
      <c r="O1185" s="37" t="s">
        <v>1878</v>
      </c>
    </row>
    <row r="1186" customHeight="1" spans="1:15">
      <c r="A1186" s="37" t="s">
        <v>637</v>
      </c>
      <c r="B1186" s="38">
        <v>45291</v>
      </c>
      <c r="C1186" s="37" t="s">
        <v>700</v>
      </c>
      <c r="D1186" s="37" t="s">
        <v>639</v>
      </c>
      <c r="E1186" s="37" t="s">
        <v>640</v>
      </c>
      <c r="F1186" s="37" t="s">
        <v>659</v>
      </c>
      <c r="G1186" s="37" t="s">
        <v>648</v>
      </c>
      <c r="H1186" s="37" t="s">
        <v>643</v>
      </c>
      <c r="I1186" s="37" t="s">
        <v>430</v>
      </c>
      <c r="J1186" s="37" t="s">
        <v>644</v>
      </c>
      <c r="K1186" s="37" t="s">
        <v>14</v>
      </c>
      <c r="L1186" s="47">
        <v>186000</v>
      </c>
      <c r="M1186" s="47">
        <v>175471.7</v>
      </c>
      <c r="N1186" s="47">
        <v>10528.3</v>
      </c>
      <c r="O1186" s="37" t="s">
        <v>1879</v>
      </c>
    </row>
    <row r="1187" customHeight="1" spans="1:15">
      <c r="A1187" s="37" t="s">
        <v>637</v>
      </c>
      <c r="B1187" s="38">
        <v>45291</v>
      </c>
      <c r="C1187" s="37" t="s">
        <v>700</v>
      </c>
      <c r="D1187" s="37" t="s">
        <v>639</v>
      </c>
      <c r="E1187" s="37" t="s">
        <v>640</v>
      </c>
      <c r="F1187" s="37" t="s">
        <v>659</v>
      </c>
      <c r="G1187" s="37" t="s">
        <v>642</v>
      </c>
      <c r="H1187" s="37" t="s">
        <v>650</v>
      </c>
      <c r="I1187" s="37" t="s">
        <v>442</v>
      </c>
      <c r="J1187" s="37" t="s">
        <v>644</v>
      </c>
      <c r="K1187" s="37" t="s">
        <v>14</v>
      </c>
      <c r="L1187" s="47">
        <v>-20015.82</v>
      </c>
      <c r="M1187" s="47">
        <v>-18882.85</v>
      </c>
      <c r="N1187" s="47">
        <v>-1132.97</v>
      </c>
      <c r="O1187" s="37" t="s">
        <v>1880</v>
      </c>
    </row>
    <row r="1188" customHeight="1" spans="1:15">
      <c r="A1188" s="37" t="s">
        <v>637</v>
      </c>
      <c r="B1188" s="38">
        <v>45291</v>
      </c>
      <c r="C1188" s="37" t="s">
        <v>710</v>
      </c>
      <c r="D1188" s="37" t="s">
        <v>639</v>
      </c>
      <c r="E1188" s="37" t="s">
        <v>640</v>
      </c>
      <c r="F1188" s="37" t="s">
        <v>707</v>
      </c>
      <c r="G1188" s="37" t="s">
        <v>648</v>
      </c>
      <c r="H1188" s="37" t="s">
        <v>650</v>
      </c>
      <c r="I1188" s="37" t="s">
        <v>723</v>
      </c>
      <c r="J1188" s="37" t="s">
        <v>644</v>
      </c>
      <c r="K1188" s="37" t="s">
        <v>165</v>
      </c>
      <c r="L1188" s="47">
        <v>-14504</v>
      </c>
      <c r="M1188" s="47">
        <v>-13683.02</v>
      </c>
      <c r="N1188" s="47">
        <v>-820.98</v>
      </c>
      <c r="O1188" s="37" t="s">
        <v>1881</v>
      </c>
    </row>
    <row r="1189" customHeight="1" spans="1:15">
      <c r="A1189" s="37" t="s">
        <v>637</v>
      </c>
      <c r="B1189" s="38">
        <v>45291</v>
      </c>
      <c r="C1189" s="37" t="s">
        <v>730</v>
      </c>
      <c r="D1189" s="37" t="s">
        <v>653</v>
      </c>
      <c r="E1189" s="37" t="s">
        <v>640</v>
      </c>
      <c r="F1189" s="37" t="s">
        <v>641</v>
      </c>
      <c r="G1189" s="37" t="s">
        <v>642</v>
      </c>
      <c r="H1189" s="37" t="s">
        <v>650</v>
      </c>
      <c r="I1189" s="37" t="s">
        <v>728</v>
      </c>
      <c r="J1189" s="37" t="s">
        <v>644</v>
      </c>
      <c r="K1189" s="37" t="s">
        <v>166</v>
      </c>
      <c r="L1189" s="47">
        <v>240.6</v>
      </c>
      <c r="M1189" s="47">
        <v>226.98</v>
      </c>
      <c r="N1189" s="47">
        <v>13.62</v>
      </c>
      <c r="O1189" s="37" t="s">
        <v>1882</v>
      </c>
    </row>
    <row r="1190" customHeight="1" spans="1:15">
      <c r="A1190" s="37" t="s">
        <v>637</v>
      </c>
      <c r="B1190" s="38">
        <v>45291</v>
      </c>
      <c r="C1190" s="37" t="s">
        <v>730</v>
      </c>
      <c r="D1190" s="37" t="s">
        <v>653</v>
      </c>
      <c r="E1190" s="37" t="s">
        <v>640</v>
      </c>
      <c r="F1190" s="37" t="s">
        <v>641</v>
      </c>
      <c r="G1190" s="37" t="s">
        <v>642</v>
      </c>
      <c r="H1190" s="37" t="s">
        <v>650</v>
      </c>
      <c r="I1190" s="37" t="s">
        <v>728</v>
      </c>
      <c r="J1190" s="37" t="s">
        <v>644</v>
      </c>
      <c r="K1190" s="37" t="s">
        <v>166</v>
      </c>
      <c r="L1190" s="47">
        <v>889.53</v>
      </c>
      <c r="M1190" s="47">
        <v>839.18</v>
      </c>
      <c r="N1190" s="47">
        <v>50.35</v>
      </c>
      <c r="O1190" s="37" t="s">
        <v>1883</v>
      </c>
    </row>
    <row r="1191" customHeight="1" spans="1:15">
      <c r="A1191" s="37" t="s">
        <v>637</v>
      </c>
      <c r="B1191" s="38">
        <v>45291</v>
      </c>
      <c r="C1191" s="37" t="s">
        <v>748</v>
      </c>
      <c r="D1191" s="37" t="s">
        <v>653</v>
      </c>
      <c r="E1191" s="37" t="s">
        <v>640</v>
      </c>
      <c r="F1191" s="37" t="s">
        <v>641</v>
      </c>
      <c r="G1191" s="37" t="s">
        <v>642</v>
      </c>
      <c r="H1191" s="37" t="s">
        <v>643</v>
      </c>
      <c r="I1191" s="37" t="s">
        <v>728</v>
      </c>
      <c r="J1191" s="37" t="s">
        <v>644</v>
      </c>
      <c r="K1191" s="37" t="s">
        <v>166</v>
      </c>
      <c r="L1191" s="47">
        <v>2328.87</v>
      </c>
      <c r="M1191" s="47">
        <v>2197.05</v>
      </c>
      <c r="N1191" s="47">
        <v>131.82</v>
      </c>
      <c r="O1191" s="37" t="s">
        <v>1884</v>
      </c>
    </row>
    <row r="1192" customHeight="1" spans="1:15">
      <c r="A1192" s="37" t="s">
        <v>637</v>
      </c>
      <c r="B1192" s="38">
        <v>45291</v>
      </c>
      <c r="C1192" s="37" t="s">
        <v>748</v>
      </c>
      <c r="D1192" s="37" t="s">
        <v>653</v>
      </c>
      <c r="E1192" s="37" t="s">
        <v>640</v>
      </c>
      <c r="F1192" s="37" t="s">
        <v>641</v>
      </c>
      <c r="G1192" s="37" t="s">
        <v>642</v>
      </c>
      <c r="H1192" s="37" t="s">
        <v>643</v>
      </c>
      <c r="I1192" s="37" t="s">
        <v>728</v>
      </c>
      <c r="J1192" s="37" t="s">
        <v>644</v>
      </c>
      <c r="K1192" s="37" t="s">
        <v>166</v>
      </c>
      <c r="L1192" s="47">
        <v>142.09</v>
      </c>
      <c r="M1192" s="47">
        <v>134.05</v>
      </c>
      <c r="N1192" s="47">
        <v>8.04</v>
      </c>
      <c r="O1192" s="37" t="s">
        <v>1885</v>
      </c>
    </row>
    <row r="1193" customHeight="1" spans="1:15">
      <c r="A1193" s="37" t="s">
        <v>637</v>
      </c>
      <c r="B1193" s="38">
        <v>45291</v>
      </c>
      <c r="C1193" s="37" t="s">
        <v>748</v>
      </c>
      <c r="D1193" s="37" t="s">
        <v>653</v>
      </c>
      <c r="E1193" s="37" t="s">
        <v>640</v>
      </c>
      <c r="F1193" s="37" t="s">
        <v>659</v>
      </c>
      <c r="G1193" s="37" t="s">
        <v>642</v>
      </c>
      <c r="H1193" s="37" t="s">
        <v>650</v>
      </c>
      <c r="I1193" s="37" t="s">
        <v>728</v>
      </c>
      <c r="J1193" s="37" t="s">
        <v>656</v>
      </c>
      <c r="K1193" s="37" t="s">
        <v>166</v>
      </c>
      <c r="L1193" s="47">
        <v>13444.84</v>
      </c>
      <c r="M1193" s="47">
        <v>12683.81</v>
      </c>
      <c r="N1193" s="47">
        <v>761.03</v>
      </c>
      <c r="O1193" s="37" t="s">
        <v>1886</v>
      </c>
    </row>
    <row r="1194" customHeight="1" spans="1:15">
      <c r="A1194" s="37" t="s">
        <v>637</v>
      </c>
      <c r="B1194" s="38">
        <v>45291</v>
      </c>
      <c r="C1194" s="37" t="s">
        <v>748</v>
      </c>
      <c r="D1194" s="37" t="s">
        <v>653</v>
      </c>
      <c r="E1194" s="37" t="s">
        <v>640</v>
      </c>
      <c r="F1194" s="37" t="s">
        <v>659</v>
      </c>
      <c r="G1194" s="37" t="s">
        <v>642</v>
      </c>
      <c r="H1194" s="37" t="s">
        <v>650</v>
      </c>
      <c r="I1194" s="37" t="s">
        <v>728</v>
      </c>
      <c r="J1194" s="37" t="s">
        <v>656</v>
      </c>
      <c r="K1194" s="37" t="s">
        <v>166</v>
      </c>
      <c r="L1194" s="47">
        <v>507.54</v>
      </c>
      <c r="M1194" s="47">
        <v>478.81</v>
      </c>
      <c r="N1194" s="47">
        <v>28.73</v>
      </c>
      <c r="O1194" s="37" t="s">
        <v>1887</v>
      </c>
    </row>
    <row r="1195" customHeight="1" spans="1:15">
      <c r="A1195" s="37" t="s">
        <v>637</v>
      </c>
      <c r="B1195" s="38">
        <v>45291</v>
      </c>
      <c r="C1195" s="37" t="s">
        <v>748</v>
      </c>
      <c r="D1195" s="37" t="s">
        <v>653</v>
      </c>
      <c r="E1195" s="37" t="s">
        <v>640</v>
      </c>
      <c r="F1195" s="37" t="s">
        <v>659</v>
      </c>
      <c r="G1195" s="37" t="s">
        <v>642</v>
      </c>
      <c r="H1195" s="37" t="s">
        <v>650</v>
      </c>
      <c r="I1195" s="37" t="s">
        <v>429</v>
      </c>
      <c r="J1195" s="37" t="s">
        <v>656</v>
      </c>
      <c r="K1195" s="37" t="s">
        <v>166</v>
      </c>
      <c r="L1195" s="47">
        <v>4941.43</v>
      </c>
      <c r="M1195" s="47">
        <v>4661.73</v>
      </c>
      <c r="N1195" s="47">
        <v>279.7</v>
      </c>
      <c r="O1195" s="37" t="s">
        <v>1888</v>
      </c>
    </row>
    <row r="1196" customHeight="1" spans="1:15">
      <c r="A1196" s="37" t="s">
        <v>637</v>
      </c>
      <c r="B1196" s="38">
        <v>45291</v>
      </c>
      <c r="C1196" s="37" t="s">
        <v>748</v>
      </c>
      <c r="D1196" s="37" t="s">
        <v>653</v>
      </c>
      <c r="E1196" s="37" t="s">
        <v>640</v>
      </c>
      <c r="F1196" s="37" t="s">
        <v>659</v>
      </c>
      <c r="G1196" s="37" t="s">
        <v>642</v>
      </c>
      <c r="H1196" s="37" t="s">
        <v>650</v>
      </c>
      <c r="I1196" s="37" t="s">
        <v>429</v>
      </c>
      <c r="J1196" s="37" t="s">
        <v>656</v>
      </c>
      <c r="K1196" s="37" t="s">
        <v>166</v>
      </c>
      <c r="L1196" s="47">
        <v>107.58</v>
      </c>
      <c r="M1196" s="47">
        <v>101.49</v>
      </c>
      <c r="N1196" s="47">
        <v>6.09</v>
      </c>
      <c r="O1196" s="37" t="s">
        <v>1889</v>
      </c>
    </row>
    <row r="1197" customHeight="1" spans="1:15">
      <c r="A1197" s="37" t="s">
        <v>637</v>
      </c>
      <c r="B1197" s="38">
        <v>45291</v>
      </c>
      <c r="C1197" s="37" t="s">
        <v>748</v>
      </c>
      <c r="D1197" s="37" t="s">
        <v>639</v>
      </c>
      <c r="E1197" s="37" t="s">
        <v>640</v>
      </c>
      <c r="F1197" s="37" t="s">
        <v>641</v>
      </c>
      <c r="G1197" s="37" t="s">
        <v>642</v>
      </c>
      <c r="H1197" s="37" t="s">
        <v>643</v>
      </c>
      <c r="I1197" s="37" t="s">
        <v>430</v>
      </c>
      <c r="J1197" s="37" t="s">
        <v>644</v>
      </c>
      <c r="K1197" s="37" t="s">
        <v>14</v>
      </c>
      <c r="L1197" s="47">
        <v>5466.4</v>
      </c>
      <c r="M1197" s="47">
        <v>5156.98</v>
      </c>
      <c r="N1197" s="47">
        <v>309.42</v>
      </c>
      <c r="O1197" s="37" t="s">
        <v>1890</v>
      </c>
    </row>
    <row r="1198" customHeight="1" spans="1:15">
      <c r="A1198" s="37" t="s">
        <v>637</v>
      </c>
      <c r="B1198" s="38">
        <v>45291</v>
      </c>
      <c r="C1198" s="37" t="s">
        <v>748</v>
      </c>
      <c r="D1198" s="37" t="s">
        <v>653</v>
      </c>
      <c r="E1198" s="37" t="s">
        <v>640</v>
      </c>
      <c r="F1198" s="37" t="s">
        <v>659</v>
      </c>
      <c r="G1198" s="37" t="s">
        <v>642</v>
      </c>
      <c r="H1198" s="37" t="s">
        <v>650</v>
      </c>
      <c r="I1198" s="37" t="s">
        <v>728</v>
      </c>
      <c r="J1198" s="37" t="s">
        <v>656</v>
      </c>
      <c r="K1198" s="37" t="s">
        <v>166</v>
      </c>
      <c r="L1198" s="47">
        <v>1317.53</v>
      </c>
      <c r="M1198" s="47">
        <v>1242.95</v>
      </c>
      <c r="N1198" s="47">
        <v>74.58</v>
      </c>
      <c r="O1198" s="37" t="s">
        <v>1891</v>
      </c>
    </row>
    <row r="1199" customHeight="1" spans="1:15">
      <c r="A1199" s="37" t="s">
        <v>637</v>
      </c>
      <c r="B1199" s="38">
        <v>45291</v>
      </c>
      <c r="C1199" s="37" t="s">
        <v>748</v>
      </c>
      <c r="D1199" s="37" t="s">
        <v>653</v>
      </c>
      <c r="E1199" s="37" t="s">
        <v>640</v>
      </c>
      <c r="F1199" s="37" t="s">
        <v>659</v>
      </c>
      <c r="G1199" s="37" t="s">
        <v>642</v>
      </c>
      <c r="H1199" s="37" t="s">
        <v>650</v>
      </c>
      <c r="I1199" s="37" t="s">
        <v>429</v>
      </c>
      <c r="J1199" s="37" t="s">
        <v>656</v>
      </c>
      <c r="K1199" s="37" t="s">
        <v>166</v>
      </c>
      <c r="L1199" s="47">
        <v>1424.64</v>
      </c>
      <c r="M1199" s="47">
        <v>1344</v>
      </c>
      <c r="N1199" s="47">
        <v>80.64</v>
      </c>
      <c r="O1199" s="37" t="s">
        <v>1892</v>
      </c>
    </row>
    <row r="1200" customHeight="1" spans="1:15">
      <c r="A1200" s="37" t="s">
        <v>637</v>
      </c>
      <c r="B1200" s="38">
        <v>45291</v>
      </c>
      <c r="C1200" s="37" t="s">
        <v>748</v>
      </c>
      <c r="D1200" s="37" t="s">
        <v>639</v>
      </c>
      <c r="E1200" s="37" t="s">
        <v>640</v>
      </c>
      <c r="F1200" s="37" t="s">
        <v>707</v>
      </c>
      <c r="G1200" s="37" t="s">
        <v>642</v>
      </c>
      <c r="H1200" s="37" t="s">
        <v>650</v>
      </c>
      <c r="I1200" s="37" t="s">
        <v>429</v>
      </c>
      <c r="J1200" s="37" t="s">
        <v>644</v>
      </c>
      <c r="K1200" s="37" t="s">
        <v>165</v>
      </c>
      <c r="L1200" s="47">
        <v>-33220.2</v>
      </c>
      <c r="M1200" s="47">
        <v>-31339.81</v>
      </c>
      <c r="N1200" s="47">
        <v>-1880.39</v>
      </c>
      <c r="O1200" s="37" t="s">
        <v>1893</v>
      </c>
    </row>
    <row r="1201" customHeight="1" spans="1:15">
      <c r="A1201" s="37" t="s">
        <v>637</v>
      </c>
      <c r="B1201" s="38">
        <v>45291</v>
      </c>
      <c r="C1201" s="37" t="s">
        <v>748</v>
      </c>
      <c r="D1201" s="37" t="s">
        <v>639</v>
      </c>
      <c r="E1201" s="37" t="s">
        <v>640</v>
      </c>
      <c r="F1201" s="37" t="s">
        <v>641</v>
      </c>
      <c r="G1201" s="37" t="s">
        <v>648</v>
      </c>
      <c r="H1201" s="37" t="s">
        <v>697</v>
      </c>
      <c r="I1201" s="37" t="s">
        <v>713</v>
      </c>
      <c r="J1201" s="37" t="s">
        <v>644</v>
      </c>
      <c r="K1201" s="37" t="s">
        <v>350</v>
      </c>
      <c r="L1201" s="47">
        <v>-248.4</v>
      </c>
      <c r="M1201" s="47">
        <v>-234.34</v>
      </c>
      <c r="N1201" s="47">
        <v>-14.06</v>
      </c>
      <c r="O1201" s="37" t="s">
        <v>1894</v>
      </c>
    </row>
    <row r="1202" customHeight="1" spans="1:15">
      <c r="A1202" s="37" t="s">
        <v>637</v>
      </c>
      <c r="B1202" s="38">
        <v>45291</v>
      </c>
      <c r="C1202" s="37" t="s">
        <v>748</v>
      </c>
      <c r="D1202" s="37" t="s">
        <v>639</v>
      </c>
      <c r="E1202" s="37" t="s">
        <v>640</v>
      </c>
      <c r="F1202" s="37" t="s">
        <v>641</v>
      </c>
      <c r="G1202" s="37" t="s">
        <v>648</v>
      </c>
      <c r="H1202" s="37" t="s">
        <v>643</v>
      </c>
      <c r="I1202" s="37" t="s">
        <v>430</v>
      </c>
      <c r="J1202" s="37" t="s">
        <v>644</v>
      </c>
      <c r="K1202" s="37" t="s">
        <v>14</v>
      </c>
      <c r="L1202" s="47">
        <v>-33112.7</v>
      </c>
      <c r="M1202" s="47">
        <v>-31238.4</v>
      </c>
      <c r="N1202" s="47">
        <v>-1874.3</v>
      </c>
      <c r="O1202" s="37" t="s">
        <v>1895</v>
      </c>
    </row>
    <row r="1203" customHeight="1" spans="1:15">
      <c r="A1203" s="37" t="s">
        <v>637</v>
      </c>
      <c r="B1203" s="38">
        <v>45291</v>
      </c>
      <c r="C1203" s="37" t="s">
        <v>748</v>
      </c>
      <c r="D1203" s="37" t="s">
        <v>639</v>
      </c>
      <c r="E1203" s="37" t="s">
        <v>640</v>
      </c>
      <c r="F1203" s="37" t="s">
        <v>641</v>
      </c>
      <c r="G1203" s="37" t="s">
        <v>648</v>
      </c>
      <c r="H1203" s="37" t="s">
        <v>697</v>
      </c>
      <c r="I1203" s="37" t="s">
        <v>430</v>
      </c>
      <c r="J1203" s="37" t="s">
        <v>644</v>
      </c>
      <c r="K1203" s="37" t="s">
        <v>14</v>
      </c>
      <c r="L1203" s="47">
        <v>4998055.83</v>
      </c>
      <c r="M1203" s="47">
        <v>4715147.01</v>
      </c>
      <c r="N1203" s="47">
        <v>282908.82</v>
      </c>
      <c r="O1203" s="37" t="s">
        <v>1896</v>
      </c>
    </row>
    <row r="1204" customHeight="1" spans="1:15">
      <c r="A1204" s="37" t="s">
        <v>637</v>
      </c>
      <c r="B1204" s="38">
        <v>45291</v>
      </c>
      <c r="C1204" s="37" t="s">
        <v>748</v>
      </c>
      <c r="D1204" s="37" t="s">
        <v>639</v>
      </c>
      <c r="E1204" s="37" t="s">
        <v>640</v>
      </c>
      <c r="F1204" s="37" t="s">
        <v>641</v>
      </c>
      <c r="G1204" s="37" t="s">
        <v>642</v>
      </c>
      <c r="H1204" s="37" t="s">
        <v>650</v>
      </c>
      <c r="I1204" s="37" t="s">
        <v>792</v>
      </c>
      <c r="J1204" s="37" t="s">
        <v>644</v>
      </c>
      <c r="K1204" s="37" t="s">
        <v>14</v>
      </c>
      <c r="L1204" s="47">
        <v>3165</v>
      </c>
      <c r="M1204" s="47">
        <v>2985.85</v>
      </c>
      <c r="N1204" s="47">
        <v>179.15</v>
      </c>
      <c r="O1204" s="37" t="s">
        <v>1897</v>
      </c>
    </row>
    <row r="1205" customHeight="1" spans="1:18">
      <c r="A1205" s="124" t="s">
        <v>1085</v>
      </c>
      <c r="B1205" s="38">
        <v>45291</v>
      </c>
      <c r="C1205" s="105" t="s">
        <v>748</v>
      </c>
      <c r="D1205" s="37" t="s">
        <v>639</v>
      </c>
      <c r="E1205" s="37" t="s">
        <v>640</v>
      </c>
      <c r="F1205" s="44" t="s">
        <v>707</v>
      </c>
      <c r="G1205" s="44" t="s">
        <v>654</v>
      </c>
      <c r="H1205" s="44" t="s">
        <v>697</v>
      </c>
      <c r="I1205" s="44" t="s">
        <v>694</v>
      </c>
      <c r="J1205" s="44" t="s">
        <v>656</v>
      </c>
      <c r="K1205" s="44" t="s">
        <v>350</v>
      </c>
      <c r="L1205" s="106">
        <v>0.5</v>
      </c>
      <c r="M1205" s="106">
        <v>0.47</v>
      </c>
      <c r="N1205" s="31">
        <f>L1205-M1205</f>
        <v>0.03</v>
      </c>
      <c r="O1205" s="106"/>
      <c r="P1205" s="106"/>
      <c r="R1205" s="106"/>
    </row>
    <row r="1206" customHeight="1" spans="1:18">
      <c r="A1206" s="124" t="s">
        <v>1085</v>
      </c>
      <c r="B1206" s="38">
        <v>45291</v>
      </c>
      <c r="C1206" s="125" t="s">
        <v>700</v>
      </c>
      <c r="D1206" s="37" t="s">
        <v>639</v>
      </c>
      <c r="E1206" s="37" t="s">
        <v>640</v>
      </c>
      <c r="F1206" s="37" t="s">
        <v>641</v>
      </c>
      <c r="G1206" s="37" t="s">
        <v>648</v>
      </c>
      <c r="H1206" s="37" t="s">
        <v>643</v>
      </c>
      <c r="I1206" s="37" t="s">
        <v>442</v>
      </c>
      <c r="J1206" s="37" t="s">
        <v>644</v>
      </c>
      <c r="K1206" s="37" t="s">
        <v>14</v>
      </c>
      <c r="L1206" s="106">
        <v>555633.43</v>
      </c>
      <c r="M1206" s="106">
        <v>524182.48</v>
      </c>
      <c r="N1206" s="31">
        <f>L1206-M1206</f>
        <v>31450.9500000001</v>
      </c>
      <c r="P1206" s="126"/>
      <c r="Q1206" s="106"/>
      <c r="R1206" s="126"/>
    </row>
    <row r="1207" customHeight="1" spans="1:18">
      <c r="A1207" s="124" t="s">
        <v>1085</v>
      </c>
      <c r="B1207" s="38">
        <v>45291</v>
      </c>
      <c r="C1207" s="125" t="s">
        <v>700</v>
      </c>
      <c r="D1207" s="37" t="s">
        <v>639</v>
      </c>
      <c r="E1207" s="37" t="s">
        <v>640</v>
      </c>
      <c r="F1207" s="44" t="s">
        <v>659</v>
      </c>
      <c r="G1207" s="44" t="s">
        <v>642</v>
      </c>
      <c r="H1207" s="44" t="s">
        <v>650</v>
      </c>
      <c r="I1207" s="44" t="s">
        <v>442</v>
      </c>
      <c r="J1207" s="44" t="s">
        <v>644</v>
      </c>
      <c r="K1207" s="44" t="s">
        <v>14</v>
      </c>
      <c r="L1207" s="106">
        <v>-1049.58</v>
      </c>
      <c r="M1207" s="106">
        <v>-990.17</v>
      </c>
      <c r="N1207" s="31">
        <f>L1207-M1207</f>
        <v>-59.41</v>
      </c>
      <c r="P1207" s="126"/>
      <c r="Q1207" s="106"/>
      <c r="R1207" s="126"/>
    </row>
    <row r="1208" customHeight="1" spans="1:18">
      <c r="A1208" s="124" t="s">
        <v>1085</v>
      </c>
      <c r="B1208" s="38">
        <v>45291</v>
      </c>
      <c r="C1208" s="125" t="s">
        <v>700</v>
      </c>
      <c r="D1208" s="37" t="s">
        <v>639</v>
      </c>
      <c r="E1208" s="37" t="s">
        <v>640</v>
      </c>
      <c r="F1208" s="37" t="s">
        <v>641</v>
      </c>
      <c r="G1208" s="37" t="s">
        <v>648</v>
      </c>
      <c r="H1208" s="37" t="s">
        <v>643</v>
      </c>
      <c r="I1208" s="37" t="s">
        <v>442</v>
      </c>
      <c r="J1208" s="37" t="s">
        <v>644</v>
      </c>
      <c r="K1208" s="37" t="s">
        <v>14</v>
      </c>
      <c r="L1208" s="106">
        <v>1704690.48</v>
      </c>
      <c r="M1208" s="106">
        <v>1608198.57</v>
      </c>
      <c r="N1208" s="31">
        <f>L1208-M1208</f>
        <v>96491.9099999999</v>
      </c>
      <c r="P1208" s="126"/>
      <c r="Q1208" s="106"/>
      <c r="R1208" s="126"/>
    </row>
  </sheetData>
  <autoFilter xmlns:etc="http://www.wps.cn/officeDocument/2017/etCustomData" ref="A1:AN1208" etc:filterBottomFollowUsedRange="0">
    <extLst/>
  </autoFilter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1017"/>
  <sheetViews>
    <sheetView workbookViewId="0">
      <pane ySplit="1" topLeftCell="A64" activePane="bottomLeft" state="frozen"/>
      <selection/>
      <selection pane="bottomLeft" activeCell="D64" sqref="D64"/>
    </sheetView>
  </sheetViews>
  <sheetFormatPr defaultColWidth="9" defaultRowHeight="15" customHeight="1"/>
  <cols>
    <col min="1" max="1" width="7.25833333333333" style="27" customWidth="1"/>
    <col min="2" max="2" width="10" style="28" customWidth="1"/>
    <col min="3" max="3" width="25.625" style="27" customWidth="1"/>
    <col min="4" max="4" width="17" style="27" customWidth="1"/>
    <col min="5" max="5" width="9.375" style="29" customWidth="1"/>
    <col min="6" max="6" width="10.875" style="27" customWidth="1"/>
    <col min="7" max="7" width="10.625" style="27" customWidth="1"/>
    <col min="8" max="8" width="8.625" style="27" customWidth="1"/>
    <col min="9" max="9" width="24" style="27" customWidth="1"/>
    <col min="10" max="10" width="6.13333333333333" style="30" customWidth="1"/>
    <col min="11" max="11" width="10.5" style="30" customWidth="1"/>
    <col min="12" max="14" width="13.3833333333333" style="31" customWidth="1"/>
    <col min="15" max="15" width="27.2583333333333" style="29" customWidth="1"/>
    <col min="16" max="16" width="10.8833333333333" style="27" customWidth="1"/>
    <col min="17" max="17" width="12.1333333333333" style="29" customWidth="1"/>
    <col min="18" max="18" width="32.875" style="29"/>
    <col min="19" max="19" width="14.875" style="29"/>
    <col min="20" max="20" width="14.875" style="32"/>
    <col min="21" max="21" width="15" style="29"/>
    <col min="22" max="22" width="16" style="33"/>
    <col min="23" max="23" width="14.875" style="29"/>
    <col min="24" max="24" width="14" style="27"/>
    <col min="25" max="25" width="14.3833333333333" style="30" customWidth="1"/>
    <col min="26" max="26" width="15.5" style="34"/>
    <col min="27" max="28" width="22.375" style="29"/>
    <col min="29" max="29" width="11.7583333333333" style="29" customWidth="1"/>
    <col min="30" max="30" width="14.5" style="27" customWidth="1"/>
    <col min="31" max="31" width="12.875" style="29" customWidth="1"/>
    <col min="32" max="16384" width="9" style="27"/>
  </cols>
  <sheetData>
    <row r="1" customHeight="1" spans="1:30">
      <c r="A1" s="35" t="s">
        <v>619</v>
      </c>
      <c r="B1" s="36" t="s">
        <v>620</v>
      </c>
      <c r="C1" s="35" t="s">
        <v>621</v>
      </c>
      <c r="D1" s="35" t="s">
        <v>622</v>
      </c>
      <c r="E1" s="35" t="s">
        <v>623</v>
      </c>
      <c r="F1" s="35" t="s">
        <v>624</v>
      </c>
      <c r="G1" s="35" t="s">
        <v>625</v>
      </c>
      <c r="H1" s="35" t="s">
        <v>626</v>
      </c>
      <c r="I1" s="35" t="s">
        <v>627</v>
      </c>
      <c r="J1" s="35" t="s">
        <v>628</v>
      </c>
      <c r="K1" s="35" t="s">
        <v>629</v>
      </c>
      <c r="L1" s="46" t="s">
        <v>630</v>
      </c>
      <c r="M1" s="46" t="s">
        <v>631</v>
      </c>
      <c r="N1" s="46" t="s">
        <v>632</v>
      </c>
      <c r="O1" s="35" t="s">
        <v>633</v>
      </c>
      <c r="P1" s="29"/>
      <c r="Q1" s="27" t="s">
        <v>634</v>
      </c>
      <c r="R1" s="27"/>
      <c r="S1" s="27" t="s">
        <v>625</v>
      </c>
      <c r="T1" s="27"/>
      <c r="U1" s="27"/>
      <c r="V1"/>
      <c r="W1" s="57"/>
      <c r="X1" s="58"/>
      <c r="Y1" s="57" t="s">
        <v>625</v>
      </c>
      <c r="Z1" s="30" t="s">
        <v>620</v>
      </c>
      <c r="AA1" s="58" t="s">
        <v>634</v>
      </c>
      <c r="AB1" s="58" t="s">
        <v>635</v>
      </c>
      <c r="AC1" s="58"/>
      <c r="AD1" s="29"/>
    </row>
    <row r="2" hidden="1" customHeight="1" spans="1:31">
      <c r="A2" s="37" t="s">
        <v>637</v>
      </c>
      <c r="B2" s="38">
        <v>44957</v>
      </c>
      <c r="C2" s="37" t="s">
        <v>646</v>
      </c>
      <c r="D2" s="37" t="s">
        <v>726</v>
      </c>
      <c r="E2" s="37" t="s">
        <v>1898</v>
      </c>
      <c r="F2" s="37" t="s">
        <v>641</v>
      </c>
      <c r="G2" s="37" t="s">
        <v>1899</v>
      </c>
      <c r="H2" s="37" t="s">
        <v>643</v>
      </c>
      <c r="I2" s="37" t="s">
        <v>432</v>
      </c>
      <c r="J2" s="37" t="s">
        <v>656</v>
      </c>
      <c r="K2" s="37" t="s">
        <v>14</v>
      </c>
      <c r="L2" s="47">
        <v>643708.9</v>
      </c>
      <c r="M2" s="47">
        <v>607272.55</v>
      </c>
      <c r="N2" s="47">
        <v>36436.35</v>
      </c>
      <c r="O2" s="37" t="s">
        <v>1900</v>
      </c>
      <c r="P2" s="29"/>
      <c r="Q2" s="27" t="s">
        <v>629</v>
      </c>
      <c r="R2" s="27" t="s">
        <v>627</v>
      </c>
      <c r="S2" s="27" t="s">
        <v>1899</v>
      </c>
      <c r="T2" s="27" t="s">
        <v>1901</v>
      </c>
      <c r="U2" s="27" t="s">
        <v>319</v>
      </c>
      <c r="V2"/>
      <c r="W2" s="57"/>
      <c r="X2" s="58"/>
      <c r="Y2" s="57" t="s">
        <v>1899</v>
      </c>
      <c r="Z2" s="57"/>
      <c r="AA2" s="58">
        <v>96120600.58</v>
      </c>
      <c r="AB2" s="58">
        <v>90704120.09</v>
      </c>
      <c r="AC2" s="58"/>
      <c r="AD2" s="29">
        <v>62910816.53</v>
      </c>
      <c r="AE2" s="29">
        <f>GETPIVOTDATA("求和项:no_taxrate_money",$Y$1,"rebates_rules","代运营服务")-AD2</f>
        <v>27793303.56</v>
      </c>
    </row>
    <row r="3" hidden="1" customHeight="1" spans="1:30">
      <c r="A3" s="37" t="s">
        <v>637</v>
      </c>
      <c r="B3" s="38">
        <v>44957</v>
      </c>
      <c r="C3" s="37" t="s">
        <v>646</v>
      </c>
      <c r="D3" s="37" t="s">
        <v>1902</v>
      </c>
      <c r="E3" s="37" t="s">
        <v>1898</v>
      </c>
      <c r="F3" s="37" t="s">
        <v>641</v>
      </c>
      <c r="G3" s="37" t="s">
        <v>1899</v>
      </c>
      <c r="H3" s="37" t="s">
        <v>697</v>
      </c>
      <c r="I3" s="37" t="s">
        <v>436</v>
      </c>
      <c r="J3" s="37" t="s">
        <v>644</v>
      </c>
      <c r="K3" s="37" t="s">
        <v>350</v>
      </c>
      <c r="L3" s="47">
        <v>45981.04</v>
      </c>
      <c r="M3" s="47">
        <v>43378.34</v>
      </c>
      <c r="N3" s="47">
        <v>2602.7</v>
      </c>
      <c r="O3" s="37" t="s">
        <v>1903</v>
      </c>
      <c r="P3" s="29"/>
      <c r="Q3" s="27" t="s">
        <v>350</v>
      </c>
      <c r="R3" s="27"/>
      <c r="S3" s="29">
        <v>459215.18</v>
      </c>
      <c r="T3" s="29"/>
      <c r="U3" s="29">
        <v>459215.18</v>
      </c>
      <c r="V3"/>
      <c r="W3" s="57"/>
      <c r="X3" s="58"/>
      <c r="Y3" s="57"/>
      <c r="Z3" s="83">
        <v>44957</v>
      </c>
      <c r="AA3" s="58">
        <v>7775429.03</v>
      </c>
      <c r="AB3" s="58">
        <v>7335310.4</v>
      </c>
      <c r="AC3" s="58"/>
      <c r="AD3" s="29"/>
    </row>
    <row r="4" hidden="1" customHeight="1" spans="1:30">
      <c r="A4" s="37" t="s">
        <v>637</v>
      </c>
      <c r="B4" s="38">
        <v>44957</v>
      </c>
      <c r="C4" s="37" t="s">
        <v>646</v>
      </c>
      <c r="D4" s="37" t="s">
        <v>1284</v>
      </c>
      <c r="E4" s="37" t="s">
        <v>1898</v>
      </c>
      <c r="F4" s="37" t="s">
        <v>641</v>
      </c>
      <c r="G4" s="37" t="s">
        <v>1899</v>
      </c>
      <c r="H4" s="37" t="s">
        <v>643</v>
      </c>
      <c r="I4" s="37" t="s">
        <v>432</v>
      </c>
      <c r="J4" s="37" t="s">
        <v>656</v>
      </c>
      <c r="K4" s="37" t="s">
        <v>14</v>
      </c>
      <c r="L4" s="47">
        <v>158004.4</v>
      </c>
      <c r="M4" s="47">
        <v>149060.75</v>
      </c>
      <c r="N4" s="47">
        <v>8943.65</v>
      </c>
      <c r="O4" s="37" t="s">
        <v>1904</v>
      </c>
      <c r="P4" s="29"/>
      <c r="Q4" s="27"/>
      <c r="R4" s="27" t="s">
        <v>436</v>
      </c>
      <c r="S4" s="29">
        <v>376602.32</v>
      </c>
      <c r="T4" s="29"/>
      <c r="U4" s="29">
        <v>376602.32</v>
      </c>
      <c r="V4"/>
      <c r="W4" s="57"/>
      <c r="X4" s="58"/>
      <c r="Y4" s="57"/>
      <c r="Z4" s="83">
        <v>44985</v>
      </c>
      <c r="AA4" s="58">
        <v>3552584.7</v>
      </c>
      <c r="AB4" s="58">
        <v>3351494.96</v>
      </c>
      <c r="AC4" s="58"/>
      <c r="AD4" s="29"/>
    </row>
    <row r="5" hidden="1" customHeight="1" spans="1:30">
      <c r="A5" s="37" t="s">
        <v>637</v>
      </c>
      <c r="B5" s="38">
        <v>44957</v>
      </c>
      <c r="C5" s="37" t="s">
        <v>646</v>
      </c>
      <c r="D5" s="37" t="s">
        <v>740</v>
      </c>
      <c r="E5" s="37" t="s">
        <v>1898</v>
      </c>
      <c r="F5" s="37" t="s">
        <v>641</v>
      </c>
      <c r="G5" s="37" t="s">
        <v>1899</v>
      </c>
      <c r="H5" s="37" t="s">
        <v>643</v>
      </c>
      <c r="I5" s="37" t="s">
        <v>432</v>
      </c>
      <c r="J5" s="37" t="s">
        <v>656</v>
      </c>
      <c r="K5" s="37" t="s">
        <v>14</v>
      </c>
      <c r="L5" s="47">
        <v>297056.16</v>
      </c>
      <c r="M5" s="47">
        <v>280241.66</v>
      </c>
      <c r="N5" s="47">
        <v>16814.5</v>
      </c>
      <c r="O5" s="37" t="s">
        <v>1905</v>
      </c>
      <c r="P5" s="29"/>
      <c r="Q5" s="27"/>
      <c r="R5" s="27" t="s">
        <v>1906</v>
      </c>
      <c r="S5" s="29">
        <v>96.45</v>
      </c>
      <c r="T5" s="29"/>
      <c r="U5" s="29">
        <v>96.45</v>
      </c>
      <c r="V5"/>
      <c r="W5" s="57"/>
      <c r="X5" s="58"/>
      <c r="Y5" s="57"/>
      <c r="Z5" s="83">
        <v>45016</v>
      </c>
      <c r="AA5" s="58">
        <v>3858573.64</v>
      </c>
      <c r="AB5" s="58">
        <v>3640163.75</v>
      </c>
      <c r="AC5" s="58"/>
      <c r="AD5" s="29"/>
    </row>
    <row r="6" hidden="1" customHeight="1" spans="1:30">
      <c r="A6" s="37" t="s">
        <v>637</v>
      </c>
      <c r="B6" s="38">
        <v>44957</v>
      </c>
      <c r="C6" s="37" t="s">
        <v>646</v>
      </c>
      <c r="D6" s="37" t="s">
        <v>1902</v>
      </c>
      <c r="E6" s="37" t="s">
        <v>1898</v>
      </c>
      <c r="F6" s="37" t="s">
        <v>641</v>
      </c>
      <c r="G6" s="37" t="s">
        <v>1899</v>
      </c>
      <c r="H6" s="37" t="s">
        <v>643</v>
      </c>
      <c r="I6" s="37" t="s">
        <v>432</v>
      </c>
      <c r="J6" s="37" t="s">
        <v>656</v>
      </c>
      <c r="K6" s="37" t="s">
        <v>14</v>
      </c>
      <c r="L6" s="47">
        <v>51861.38</v>
      </c>
      <c r="M6" s="47">
        <v>48925.83</v>
      </c>
      <c r="N6" s="47">
        <v>2935.55</v>
      </c>
      <c r="O6" s="37" t="s">
        <v>1907</v>
      </c>
      <c r="P6" s="29"/>
      <c r="Q6" s="27"/>
      <c r="R6" s="27" t="s">
        <v>1908</v>
      </c>
      <c r="S6" s="29">
        <v>82064.41</v>
      </c>
      <c r="T6" s="29"/>
      <c r="U6" s="29">
        <v>82064.41</v>
      </c>
      <c r="V6"/>
      <c r="W6" s="57"/>
      <c r="X6" s="58"/>
      <c r="Y6" s="57"/>
      <c r="Z6" s="83">
        <v>45046</v>
      </c>
      <c r="AA6" s="58">
        <v>6352026.61</v>
      </c>
      <c r="AB6" s="58">
        <v>5992477.95</v>
      </c>
      <c r="AC6" s="58"/>
      <c r="AD6" s="29"/>
    </row>
    <row r="7" hidden="1" customHeight="1" spans="1:30">
      <c r="A7" s="37" t="s">
        <v>637</v>
      </c>
      <c r="B7" s="38">
        <v>44957</v>
      </c>
      <c r="C7" s="37" t="s">
        <v>646</v>
      </c>
      <c r="D7" s="37" t="s">
        <v>726</v>
      </c>
      <c r="E7" s="37" t="s">
        <v>1898</v>
      </c>
      <c r="F7" s="37" t="s">
        <v>641</v>
      </c>
      <c r="G7" s="37" t="s">
        <v>1899</v>
      </c>
      <c r="H7" s="37" t="s">
        <v>643</v>
      </c>
      <c r="I7" s="37" t="s">
        <v>1906</v>
      </c>
      <c r="J7" s="37" t="s">
        <v>644</v>
      </c>
      <c r="K7" s="37" t="s">
        <v>14</v>
      </c>
      <c r="L7" s="47">
        <v>72323.2</v>
      </c>
      <c r="M7" s="47">
        <v>68229.43</v>
      </c>
      <c r="N7" s="47">
        <v>4093.77</v>
      </c>
      <c r="O7" s="37" t="s">
        <v>1909</v>
      </c>
      <c r="P7" s="29"/>
      <c r="Q7" s="27"/>
      <c r="R7" s="26" t="s">
        <v>1910</v>
      </c>
      <c r="S7" s="33">
        <v>47536.53</v>
      </c>
      <c r="T7" s="33"/>
      <c r="U7" s="33">
        <v>47536.53</v>
      </c>
      <c r="V7"/>
      <c r="W7" s="57"/>
      <c r="X7" s="58"/>
      <c r="Y7" s="57"/>
      <c r="Z7" s="83">
        <v>45077</v>
      </c>
      <c r="AA7" s="58">
        <v>4561524.66</v>
      </c>
      <c r="AB7" s="58">
        <v>4303325.12</v>
      </c>
      <c r="AC7" s="58"/>
      <c r="AD7" s="29"/>
    </row>
    <row r="8" hidden="1" customHeight="1" spans="1:30">
      <c r="A8" s="37" t="s">
        <v>637</v>
      </c>
      <c r="B8" s="38">
        <v>44957</v>
      </c>
      <c r="C8" s="37" t="s">
        <v>646</v>
      </c>
      <c r="D8" s="37" t="s">
        <v>1902</v>
      </c>
      <c r="E8" s="37" t="s">
        <v>1898</v>
      </c>
      <c r="F8" s="37" t="s">
        <v>641</v>
      </c>
      <c r="G8" s="37" t="s">
        <v>1899</v>
      </c>
      <c r="H8" s="37" t="s">
        <v>643</v>
      </c>
      <c r="I8" s="37" t="s">
        <v>432</v>
      </c>
      <c r="J8" s="37" t="s">
        <v>656</v>
      </c>
      <c r="K8" s="37" t="s">
        <v>14</v>
      </c>
      <c r="L8" s="47">
        <v>225.8</v>
      </c>
      <c r="M8" s="47">
        <v>213.02</v>
      </c>
      <c r="N8" s="47">
        <v>12.78</v>
      </c>
      <c r="O8" s="37" t="s">
        <v>1911</v>
      </c>
      <c r="P8" s="29"/>
      <c r="Q8" s="27"/>
      <c r="R8" s="27" t="s">
        <v>448</v>
      </c>
      <c r="S8" s="29">
        <v>-47084.53</v>
      </c>
      <c r="T8" s="29"/>
      <c r="U8" s="29">
        <v>-47084.53</v>
      </c>
      <c r="V8"/>
      <c r="W8" s="57"/>
      <c r="X8" s="58"/>
      <c r="Y8" s="57"/>
      <c r="Z8" s="83">
        <v>45107</v>
      </c>
      <c r="AA8" s="58">
        <v>12303483.91</v>
      </c>
      <c r="AB8" s="58">
        <v>11607060.26</v>
      </c>
      <c r="AC8" s="58"/>
      <c r="AD8" s="29"/>
    </row>
    <row r="9" hidden="1" customHeight="1" spans="1:30">
      <c r="A9" s="37" t="s">
        <v>637</v>
      </c>
      <c r="B9" s="38">
        <v>44957</v>
      </c>
      <c r="C9" s="37" t="s">
        <v>646</v>
      </c>
      <c r="D9" s="37" t="s">
        <v>726</v>
      </c>
      <c r="E9" s="37" t="s">
        <v>1898</v>
      </c>
      <c r="F9" s="37" t="s">
        <v>641</v>
      </c>
      <c r="G9" s="37" t="s">
        <v>1899</v>
      </c>
      <c r="H9" s="37" t="s">
        <v>650</v>
      </c>
      <c r="I9" s="37" t="s">
        <v>461</v>
      </c>
      <c r="J9" s="37" t="s">
        <v>656</v>
      </c>
      <c r="K9" s="37" t="s">
        <v>14</v>
      </c>
      <c r="L9" s="47">
        <v>68070.29</v>
      </c>
      <c r="M9" s="47">
        <v>64217.25</v>
      </c>
      <c r="N9" s="47">
        <v>3853.04</v>
      </c>
      <c r="O9" s="37" t="s">
        <v>1912</v>
      </c>
      <c r="P9" s="29"/>
      <c r="Q9" s="27"/>
      <c r="R9" s="27" t="s">
        <v>1913</v>
      </c>
      <c r="S9" s="29">
        <v>0</v>
      </c>
      <c r="T9" s="29"/>
      <c r="U9" s="29">
        <v>0</v>
      </c>
      <c r="V9"/>
      <c r="W9" s="57"/>
      <c r="X9" s="58"/>
      <c r="Y9" s="57"/>
      <c r="Z9" s="83">
        <v>45138</v>
      </c>
      <c r="AA9" s="58">
        <v>6167687.77</v>
      </c>
      <c r="AB9" s="58">
        <v>5818573.4</v>
      </c>
      <c r="AC9" s="58"/>
      <c r="AD9" s="29"/>
    </row>
    <row r="10" hidden="1" customHeight="1" spans="1:30">
      <c r="A10" s="37" t="s">
        <v>637</v>
      </c>
      <c r="B10" s="38">
        <v>44957</v>
      </c>
      <c r="C10" s="37" t="s">
        <v>646</v>
      </c>
      <c r="D10" s="37" t="s">
        <v>726</v>
      </c>
      <c r="E10" s="37" t="s">
        <v>1898</v>
      </c>
      <c r="F10" s="37" t="s">
        <v>641</v>
      </c>
      <c r="G10" s="37" t="s">
        <v>1899</v>
      </c>
      <c r="H10" s="37" t="s">
        <v>697</v>
      </c>
      <c r="I10" s="37" t="s">
        <v>1908</v>
      </c>
      <c r="J10" s="37" t="s">
        <v>656</v>
      </c>
      <c r="K10" s="37" t="s">
        <v>350</v>
      </c>
      <c r="L10" s="47">
        <v>5523.97</v>
      </c>
      <c r="M10" s="47">
        <v>5211.29</v>
      </c>
      <c r="N10" s="47">
        <v>312.68</v>
      </c>
      <c r="O10" s="37" t="s">
        <v>1914</v>
      </c>
      <c r="P10" s="29"/>
      <c r="Q10" s="26" t="s">
        <v>166</v>
      </c>
      <c r="R10" s="27"/>
      <c r="S10" s="33">
        <v>27540412.3</v>
      </c>
      <c r="T10" s="33">
        <v>8302209.39</v>
      </c>
      <c r="U10" s="33">
        <v>35842621.69</v>
      </c>
      <c r="V10" s="14">
        <f>V11+V13</f>
        <v>17010456.08</v>
      </c>
      <c r="W10" s="58"/>
      <c r="X10" s="58"/>
      <c r="Y10" s="57"/>
      <c r="Z10" s="83">
        <v>45169</v>
      </c>
      <c r="AA10" s="58">
        <v>5513233.51</v>
      </c>
      <c r="AB10" s="58">
        <v>5201163.67</v>
      </c>
      <c r="AC10" s="58"/>
      <c r="AD10" s="29"/>
    </row>
    <row r="11" hidden="1" customHeight="1" spans="1:30">
      <c r="A11" s="37" t="s">
        <v>637</v>
      </c>
      <c r="B11" s="38">
        <v>44957</v>
      </c>
      <c r="C11" s="37" t="s">
        <v>638</v>
      </c>
      <c r="D11" s="37" t="s">
        <v>1915</v>
      </c>
      <c r="E11" s="37" t="s">
        <v>640</v>
      </c>
      <c r="F11" s="37" t="s">
        <v>641</v>
      </c>
      <c r="G11" s="37" t="s">
        <v>1899</v>
      </c>
      <c r="H11" s="37" t="s">
        <v>643</v>
      </c>
      <c r="I11" s="37" t="s">
        <v>430</v>
      </c>
      <c r="J11" s="37" t="s">
        <v>656</v>
      </c>
      <c r="K11" s="37" t="s">
        <v>14</v>
      </c>
      <c r="L11" s="48">
        <v>535546.69</v>
      </c>
      <c r="M11" s="48">
        <v>505232.73</v>
      </c>
      <c r="N11" s="48">
        <v>30313.96</v>
      </c>
      <c r="O11" s="37" t="s">
        <v>1916</v>
      </c>
      <c r="P11" s="29"/>
      <c r="Q11" s="27"/>
      <c r="R11" s="26" t="s">
        <v>433</v>
      </c>
      <c r="S11" s="33">
        <v>8389576.89</v>
      </c>
      <c r="T11" s="33">
        <v>2329741.71</v>
      </c>
      <c r="U11" s="33">
        <v>10719318.6</v>
      </c>
      <c r="V11" s="14">
        <f>GETPIVOTDATA("taxrate_money",$Q$1,"rebates_rules","代运营服务","supplier_name","深圳市维缇网络科技有限公司","goods_type","手游")+GETPIVOTDATA("taxrate_money",$Q$1,"rebates_rules","代运营服务","supplier_name","温州创想网络科技有限公司","goods_type","手游")-GETPIVOTDATA("taxrate_money",$Q$1,"rebates_rules","代运营服务费","supplier_name","深圳市维缇网络科技有限公司","goods_type","手游")-GETPIVOTDATA("taxrate_money",$Q$1,"rebates_rules","代运营服务费","supplier_name","温州创想网络科技有限公司","goods_type","手游")</f>
        <v>12410290.73</v>
      </c>
      <c r="W11" s="58" t="e">
        <f>V11-[34]代运营中间单据!$W$9</f>
        <v>#REF!</v>
      </c>
      <c r="X11" s="58"/>
      <c r="Y11" s="57"/>
      <c r="Z11" s="83">
        <v>45199</v>
      </c>
      <c r="AA11" s="58">
        <v>8559626.11</v>
      </c>
      <c r="AB11" s="58">
        <v>8075118.96</v>
      </c>
      <c r="AC11" s="58" t="e">
        <f>GETPIVOTDATA("求和项:taxrate_money",$Y$1,"rebates_date",DATE(2023,9,30),"rebates_rules","代运营服务")-[31]供应商毛利2309!$I$529</f>
        <v>#REF!</v>
      </c>
      <c r="AD11" s="29"/>
    </row>
    <row r="12" hidden="1" customHeight="1" spans="1:30">
      <c r="A12" s="37" t="s">
        <v>637</v>
      </c>
      <c r="B12" s="38">
        <v>44957</v>
      </c>
      <c r="C12" s="37" t="s">
        <v>646</v>
      </c>
      <c r="D12" s="37" t="s">
        <v>733</v>
      </c>
      <c r="E12" s="37" t="s">
        <v>640</v>
      </c>
      <c r="F12" s="37" t="s">
        <v>641</v>
      </c>
      <c r="G12" s="37" t="s">
        <v>1899</v>
      </c>
      <c r="H12" s="37" t="s">
        <v>650</v>
      </c>
      <c r="I12" s="37" t="s">
        <v>1917</v>
      </c>
      <c r="J12" s="37" t="s">
        <v>656</v>
      </c>
      <c r="K12" s="37" t="s">
        <v>14</v>
      </c>
      <c r="L12" s="47">
        <v>-264.36</v>
      </c>
      <c r="M12" s="47">
        <v>-249.4</v>
      </c>
      <c r="N12" s="47">
        <v>-14.96</v>
      </c>
      <c r="O12" s="37" t="s">
        <v>1918</v>
      </c>
      <c r="P12" s="29"/>
      <c r="Q12" s="27"/>
      <c r="R12" s="26" t="s">
        <v>435</v>
      </c>
      <c r="S12" s="33">
        <v>8812663.59</v>
      </c>
      <c r="T12" s="33">
        <v>2462208.04</v>
      </c>
      <c r="U12" s="33">
        <v>11274871.63</v>
      </c>
      <c r="V12"/>
      <c r="W12" s="57"/>
      <c r="X12" s="58"/>
      <c r="Y12" s="57"/>
      <c r="Z12" s="83">
        <v>45230</v>
      </c>
      <c r="AA12" s="58">
        <v>8034151.55</v>
      </c>
      <c r="AB12" s="58">
        <v>7586128.09</v>
      </c>
      <c r="AC12" s="58"/>
      <c r="AD12" s="29"/>
    </row>
    <row r="13" hidden="1" customHeight="1" spans="1:30">
      <c r="A13" s="37" t="s">
        <v>637</v>
      </c>
      <c r="B13" s="38">
        <v>44957</v>
      </c>
      <c r="C13" s="37" t="s">
        <v>646</v>
      </c>
      <c r="D13" s="37" t="s">
        <v>726</v>
      </c>
      <c r="E13" s="37" t="s">
        <v>640</v>
      </c>
      <c r="F13" s="37" t="s">
        <v>641</v>
      </c>
      <c r="G13" s="37" t="s">
        <v>1899</v>
      </c>
      <c r="H13" s="37" t="s">
        <v>643</v>
      </c>
      <c r="I13" s="37" t="s">
        <v>1919</v>
      </c>
      <c r="J13" s="37" t="s">
        <v>656</v>
      </c>
      <c r="K13" s="37" t="s">
        <v>14</v>
      </c>
      <c r="L13" s="47">
        <v>5330.22</v>
      </c>
      <c r="M13" s="47">
        <v>5028.51</v>
      </c>
      <c r="N13" s="47">
        <v>301.71</v>
      </c>
      <c r="O13" s="37" t="s">
        <v>1920</v>
      </c>
      <c r="P13" s="29"/>
      <c r="Q13" s="27"/>
      <c r="R13" s="59" t="s">
        <v>1921</v>
      </c>
      <c r="S13" s="60">
        <v>634090.49</v>
      </c>
      <c r="T13" s="60">
        <v>6415.1</v>
      </c>
      <c r="U13" s="60">
        <v>640505.59</v>
      </c>
      <c r="V13" s="14">
        <f>GETPIVOTDATA("taxrate_money",$Q$1,"rebates_rules","代运营服务","supplier_name","雷神武汉网络技术有限公司","goods_type","手游")+GETPIVOTDATA("taxrate_money",$Q$1,"rebates_rules","代运营服务","supplier_name","武汉大博恩科技有限公司","goods_type","手游")+GETPIVOTDATA("taxrate_money",$Q$1,"rebates_rules","代运营服务","supplier_name","武汉奥拉夫网络科技有限公司","goods_type","手游")+GETPIVOTDATA("taxrate_money",$Q$1,"rebates_rules","代运营服务","supplier_name","雷神(武汉)网络技术有限公司","goods_type","手游")-GETPIVOTDATA("taxrate_money",$Q$1,"rebates_rules","代运营服务费","supplier_name","雷神武汉网络技术有限公司","goods_type","手游")-GETPIVOTDATA("taxrate_money",$Q$1,"rebates_rules","代运营服务费","supplier_name","武汉大博恩科技有限公司","goods_type","手游")-GETPIVOTDATA("taxrate_money",$Q$1,"rebates_rules","代运营服务费","supplier_name","武汉奥拉夫网络科技有限公司","goods_type","手游")</f>
        <v>4600165.35</v>
      </c>
      <c r="W13" s="58">
        <f>V13+V31</f>
        <v>5813295.08</v>
      </c>
      <c r="X13" s="58" t="e">
        <f>W13-[34]代运营中间单据!$U$11</f>
        <v>#REF!</v>
      </c>
      <c r="Y13" s="57"/>
      <c r="Z13" s="83">
        <v>45260</v>
      </c>
      <c r="AA13" s="58">
        <v>15160497.93</v>
      </c>
      <c r="AB13" s="58">
        <v>14307407.08</v>
      </c>
      <c r="AC13" s="58"/>
      <c r="AD13" s="29"/>
    </row>
    <row r="14" hidden="1" customHeight="1" spans="1:30">
      <c r="A14" s="37" t="s">
        <v>637</v>
      </c>
      <c r="B14" s="38">
        <v>44957</v>
      </c>
      <c r="C14" s="37" t="s">
        <v>646</v>
      </c>
      <c r="D14" s="37" t="s">
        <v>733</v>
      </c>
      <c r="E14" s="37" t="s">
        <v>640</v>
      </c>
      <c r="F14" s="37" t="s">
        <v>641</v>
      </c>
      <c r="G14" s="37" t="s">
        <v>1899</v>
      </c>
      <c r="H14" s="37" t="s">
        <v>650</v>
      </c>
      <c r="I14" s="37" t="s">
        <v>1917</v>
      </c>
      <c r="J14" s="37" t="s">
        <v>656</v>
      </c>
      <c r="K14" s="37" t="s">
        <v>14</v>
      </c>
      <c r="L14" s="47">
        <v>174.39</v>
      </c>
      <c r="M14" s="47">
        <v>164.52</v>
      </c>
      <c r="N14" s="47">
        <v>9.87</v>
      </c>
      <c r="O14" s="37" t="s">
        <v>1922</v>
      </c>
      <c r="P14" s="29"/>
      <c r="Q14" s="27"/>
      <c r="R14" s="59" t="s">
        <v>1923</v>
      </c>
      <c r="S14" s="60">
        <v>0</v>
      </c>
      <c r="T14" s="60">
        <v>465572.22</v>
      </c>
      <c r="U14" s="60">
        <v>465572.22</v>
      </c>
      <c r="V14" s="14"/>
      <c r="W14" s="58"/>
      <c r="X14" s="58"/>
      <c r="Y14" s="57"/>
      <c r="Z14" s="83">
        <v>45291</v>
      </c>
      <c r="AA14" s="58">
        <v>14281781.16</v>
      </c>
      <c r="AB14" s="58">
        <v>13485896.45</v>
      </c>
      <c r="AC14" s="58" t="e">
        <f>GETPIVOTDATA("求和项:taxrate_money",$Y$1,"rebates_date",DATE(2023,12,31),"rebates_rules","代运营服务")-GETPIVOTDATA("求和项:含税销售额",[32]应收代运营!$T$1,"科目名称","代运营服务")</f>
        <v>#REF!</v>
      </c>
      <c r="AD14" s="29" t="e">
        <f>GETPIVOTDATA("求和项:no_taxrate_money",$Y$1,"rebates_date",DATE(2023,12,31),"rebates_rules","代运营服务")-GETPIVOTDATA("求和项:EAS收入（不含税）",[32]应收代运营!$T$1,"科目名称","代运营服务")</f>
        <v>#REF!</v>
      </c>
    </row>
    <row r="15" hidden="1" customHeight="1" spans="1:30">
      <c r="A15" s="37" t="s">
        <v>637</v>
      </c>
      <c r="B15" s="38">
        <v>44957</v>
      </c>
      <c r="C15" s="37" t="s">
        <v>646</v>
      </c>
      <c r="D15" s="37" t="s">
        <v>733</v>
      </c>
      <c r="E15" s="37" t="s">
        <v>640</v>
      </c>
      <c r="F15" s="37" t="s">
        <v>641</v>
      </c>
      <c r="G15" s="37" t="s">
        <v>1899</v>
      </c>
      <c r="H15" s="37" t="s">
        <v>643</v>
      </c>
      <c r="I15" s="37" t="s">
        <v>466</v>
      </c>
      <c r="J15" s="37" t="s">
        <v>656</v>
      </c>
      <c r="K15" s="37" t="s">
        <v>165</v>
      </c>
      <c r="L15" s="47">
        <v>41687.43</v>
      </c>
      <c r="M15" s="47">
        <v>39327.76</v>
      </c>
      <c r="N15" s="47">
        <v>2359.67</v>
      </c>
      <c r="O15" s="37" t="s">
        <v>1924</v>
      </c>
      <c r="P15" s="29"/>
      <c r="Q15" s="27"/>
      <c r="R15" s="59" t="s">
        <v>463</v>
      </c>
      <c r="S15" s="60">
        <v>121046.63</v>
      </c>
      <c r="T15" s="60">
        <v>1510523.75</v>
      </c>
      <c r="U15" s="60">
        <v>1631570.38</v>
      </c>
      <c r="V15" s="14"/>
      <c r="W15" s="58"/>
      <c r="X15" s="58"/>
      <c r="Y15" s="57" t="s">
        <v>1901</v>
      </c>
      <c r="Z15" s="57"/>
      <c r="AA15" s="58">
        <v>15941399.78</v>
      </c>
      <c r="AB15" s="58">
        <v>15041815.36</v>
      </c>
      <c r="AC15" s="58"/>
      <c r="AD15" s="29"/>
    </row>
    <row r="16" hidden="1" customHeight="1" spans="1:30">
      <c r="A16" s="37" t="s">
        <v>637</v>
      </c>
      <c r="B16" s="38">
        <v>44957</v>
      </c>
      <c r="C16" s="37" t="s">
        <v>646</v>
      </c>
      <c r="D16" s="37" t="s">
        <v>740</v>
      </c>
      <c r="E16" s="37" t="s">
        <v>640</v>
      </c>
      <c r="F16" s="37" t="s">
        <v>641</v>
      </c>
      <c r="G16" s="37" t="s">
        <v>1899</v>
      </c>
      <c r="H16" s="37" t="s">
        <v>643</v>
      </c>
      <c r="I16" s="37" t="s">
        <v>1925</v>
      </c>
      <c r="J16" s="37" t="s">
        <v>644</v>
      </c>
      <c r="K16" s="37" t="s">
        <v>14</v>
      </c>
      <c r="L16" s="47">
        <v>273312.23</v>
      </c>
      <c r="M16" s="47">
        <v>257841.73</v>
      </c>
      <c r="N16" s="47">
        <v>15470.5</v>
      </c>
      <c r="O16" s="37" t="s">
        <v>1926</v>
      </c>
      <c r="P16" s="29"/>
      <c r="Q16" s="27"/>
      <c r="R16" s="27" t="s">
        <v>1927</v>
      </c>
      <c r="S16" s="29">
        <v>15376.88</v>
      </c>
      <c r="T16" s="29">
        <v>11000</v>
      </c>
      <c r="U16" s="29">
        <v>26376.88</v>
      </c>
      <c r="V16" s="14"/>
      <c r="W16" s="58"/>
      <c r="X16" s="58"/>
      <c r="Y16" s="57"/>
      <c r="Z16" s="83">
        <v>44957</v>
      </c>
      <c r="AA16" s="58">
        <v>1622502.8</v>
      </c>
      <c r="AB16" s="58">
        <v>1530663.03</v>
      </c>
      <c r="AC16" s="58"/>
      <c r="AD16" s="29"/>
    </row>
    <row r="17" hidden="1" customHeight="1" spans="1:30">
      <c r="A17" s="37" t="s">
        <v>637</v>
      </c>
      <c r="B17" s="38">
        <v>44957</v>
      </c>
      <c r="C17" s="37" t="s">
        <v>646</v>
      </c>
      <c r="D17" s="37" t="s">
        <v>740</v>
      </c>
      <c r="E17" s="37" t="s">
        <v>640</v>
      </c>
      <c r="F17" s="37" t="s">
        <v>641</v>
      </c>
      <c r="G17" s="37" t="s">
        <v>1899</v>
      </c>
      <c r="H17" s="37" t="s">
        <v>643</v>
      </c>
      <c r="I17" s="37" t="s">
        <v>436</v>
      </c>
      <c r="J17" s="37" t="s">
        <v>644</v>
      </c>
      <c r="K17" s="37" t="s">
        <v>350</v>
      </c>
      <c r="L17" s="47">
        <v>6000.59</v>
      </c>
      <c r="M17" s="47">
        <v>5660.93</v>
      </c>
      <c r="N17" s="47">
        <v>339.66</v>
      </c>
      <c r="O17" s="37" t="s">
        <v>1928</v>
      </c>
      <c r="P17" s="29"/>
      <c r="Q17" s="27"/>
      <c r="R17" s="61" t="s">
        <v>1929</v>
      </c>
      <c r="S17" s="62">
        <v>118746.75</v>
      </c>
      <c r="T17" s="62"/>
      <c r="U17" s="62">
        <v>118746.75</v>
      </c>
      <c r="V17" s="14"/>
      <c r="W17" s="58"/>
      <c r="X17" s="58"/>
      <c r="Y17" s="57"/>
      <c r="Z17" s="83">
        <v>44985</v>
      </c>
      <c r="AA17" s="58">
        <v>748053.69</v>
      </c>
      <c r="AB17" s="58">
        <v>705711.02</v>
      </c>
      <c r="AC17" s="58"/>
      <c r="AD17" s="29"/>
    </row>
    <row r="18" hidden="1" customHeight="1" spans="1:30">
      <c r="A18" s="37" t="s">
        <v>637</v>
      </c>
      <c r="B18" s="38">
        <v>44957</v>
      </c>
      <c r="C18" s="37" t="s">
        <v>646</v>
      </c>
      <c r="D18" s="37" t="s">
        <v>740</v>
      </c>
      <c r="E18" s="37" t="s">
        <v>640</v>
      </c>
      <c r="F18" s="37" t="s">
        <v>641</v>
      </c>
      <c r="G18" s="37" t="s">
        <v>1899</v>
      </c>
      <c r="H18" s="37" t="s">
        <v>643</v>
      </c>
      <c r="I18" s="37" t="s">
        <v>461</v>
      </c>
      <c r="J18" s="37" t="s">
        <v>644</v>
      </c>
      <c r="K18" s="37" t="s">
        <v>14</v>
      </c>
      <c r="L18" s="47">
        <v>70665.73</v>
      </c>
      <c r="M18" s="47">
        <v>66665.78</v>
      </c>
      <c r="N18" s="47">
        <v>3999.95</v>
      </c>
      <c r="O18" s="37" t="s">
        <v>1930</v>
      </c>
      <c r="P18" s="29"/>
      <c r="Q18" s="27"/>
      <c r="R18" s="61" t="s">
        <v>473</v>
      </c>
      <c r="S18" s="62">
        <v>-293994.61</v>
      </c>
      <c r="T18" s="62"/>
      <c r="U18" s="62">
        <v>-293994.61</v>
      </c>
      <c r="V18"/>
      <c r="W18" s="57"/>
      <c r="X18" s="58"/>
      <c r="Y18" s="57"/>
      <c r="Z18" s="83">
        <v>45016</v>
      </c>
      <c r="AA18" s="58">
        <v>760814.66</v>
      </c>
      <c r="AB18" s="58">
        <v>717749.73</v>
      </c>
      <c r="AC18" s="58"/>
      <c r="AD18" s="29"/>
    </row>
    <row r="19" hidden="1" customHeight="1" spans="1:30">
      <c r="A19" s="37" t="s">
        <v>637</v>
      </c>
      <c r="B19" s="38">
        <v>44957</v>
      </c>
      <c r="C19" s="37" t="s">
        <v>646</v>
      </c>
      <c r="D19" s="37" t="s">
        <v>733</v>
      </c>
      <c r="E19" s="37" t="s">
        <v>640</v>
      </c>
      <c r="F19" s="37" t="s">
        <v>641</v>
      </c>
      <c r="G19" s="37" t="s">
        <v>1899</v>
      </c>
      <c r="H19" s="37" t="s">
        <v>643</v>
      </c>
      <c r="I19" s="37" t="s">
        <v>1906</v>
      </c>
      <c r="J19" s="37" t="s">
        <v>656</v>
      </c>
      <c r="K19" s="37" t="s">
        <v>350</v>
      </c>
      <c r="L19" s="47">
        <v>3603</v>
      </c>
      <c r="M19" s="47">
        <v>3399.06</v>
      </c>
      <c r="N19" s="47">
        <v>203.94</v>
      </c>
      <c r="O19" s="37" t="s">
        <v>1931</v>
      </c>
      <c r="P19" s="29"/>
      <c r="Q19" s="27"/>
      <c r="R19" s="59" t="s">
        <v>737</v>
      </c>
      <c r="S19" s="60">
        <v>5827539.3</v>
      </c>
      <c r="T19" s="60"/>
      <c r="U19" s="60">
        <v>5827539.3</v>
      </c>
      <c r="V19"/>
      <c r="W19" s="58"/>
      <c r="X19" s="58"/>
      <c r="Y19" s="57"/>
      <c r="Z19" s="83">
        <v>45046</v>
      </c>
      <c r="AA19" s="58">
        <v>2301477.95</v>
      </c>
      <c r="AB19" s="58">
        <v>2171205.63</v>
      </c>
      <c r="AC19" s="58"/>
      <c r="AD19" s="29"/>
    </row>
    <row r="20" hidden="1" customHeight="1" spans="1:30">
      <c r="A20" s="37" t="s">
        <v>637</v>
      </c>
      <c r="B20" s="38">
        <v>44957</v>
      </c>
      <c r="C20" s="37" t="s">
        <v>646</v>
      </c>
      <c r="D20" s="37" t="s">
        <v>740</v>
      </c>
      <c r="E20" s="37" t="s">
        <v>640</v>
      </c>
      <c r="F20" s="37" t="s">
        <v>641</v>
      </c>
      <c r="G20" s="37" t="s">
        <v>1899</v>
      </c>
      <c r="H20" s="37" t="s">
        <v>643</v>
      </c>
      <c r="I20" s="37" t="s">
        <v>779</v>
      </c>
      <c r="J20" s="37" t="s">
        <v>656</v>
      </c>
      <c r="K20" s="37" t="s">
        <v>14</v>
      </c>
      <c r="L20" s="47">
        <v>195808.03</v>
      </c>
      <c r="M20" s="47">
        <v>184724.56</v>
      </c>
      <c r="N20" s="47">
        <v>11083.47</v>
      </c>
      <c r="O20" s="37" t="s">
        <v>1932</v>
      </c>
      <c r="P20" s="29"/>
      <c r="Q20" s="27"/>
      <c r="R20" s="27" t="s">
        <v>1933</v>
      </c>
      <c r="S20" s="29">
        <v>0</v>
      </c>
      <c r="T20" s="29"/>
      <c r="U20" s="29">
        <v>0</v>
      </c>
      <c r="V20"/>
      <c r="W20" s="57"/>
      <c r="X20" s="58"/>
      <c r="Y20" s="57"/>
      <c r="Z20" s="83">
        <v>45077</v>
      </c>
      <c r="AA20" s="58">
        <v>993844.08</v>
      </c>
      <c r="AB20" s="58">
        <v>937588.76</v>
      </c>
      <c r="AC20" s="58"/>
      <c r="AD20" s="29"/>
    </row>
    <row r="21" hidden="1" customHeight="1" spans="1:30">
      <c r="A21" s="37" t="s">
        <v>637</v>
      </c>
      <c r="B21" s="38">
        <v>44957</v>
      </c>
      <c r="C21" s="37" t="s">
        <v>646</v>
      </c>
      <c r="D21" s="37" t="s">
        <v>740</v>
      </c>
      <c r="E21" s="37" t="s">
        <v>640</v>
      </c>
      <c r="F21" s="37" t="s">
        <v>641</v>
      </c>
      <c r="G21" s="37" t="s">
        <v>1899</v>
      </c>
      <c r="H21" s="37" t="s">
        <v>650</v>
      </c>
      <c r="I21" s="37" t="s">
        <v>1934</v>
      </c>
      <c r="J21" s="37" t="s">
        <v>656</v>
      </c>
      <c r="K21" s="37" t="s">
        <v>13</v>
      </c>
      <c r="L21" s="47">
        <v>53000</v>
      </c>
      <c r="M21" s="47">
        <v>50000</v>
      </c>
      <c r="N21" s="47">
        <v>3000</v>
      </c>
      <c r="O21" s="37" t="s">
        <v>1935</v>
      </c>
      <c r="P21" s="29"/>
      <c r="Q21" s="27"/>
      <c r="R21" s="27" t="s">
        <v>508</v>
      </c>
      <c r="S21" s="29">
        <v>33409.12</v>
      </c>
      <c r="T21" s="29">
        <v>18020.23</v>
      </c>
      <c r="U21" s="29">
        <v>51429.35</v>
      </c>
      <c r="V21"/>
      <c r="W21" s="57"/>
      <c r="X21" s="58"/>
      <c r="Y21" s="57"/>
      <c r="Z21" s="83">
        <v>45107</v>
      </c>
      <c r="AA21" s="58">
        <v>1922869.31</v>
      </c>
      <c r="AB21" s="58">
        <v>1814027.64</v>
      </c>
      <c r="AC21" s="58" t="e">
        <f>GETPIVOTDATA("求和项:taxrate_money",$Y$1,"rebates_date",DATE(2023,9,30),"rebates_rules","代运营服务费")-[31]供应商毛利2309!$J$529</f>
        <v>#REF!</v>
      </c>
      <c r="AD21" s="29"/>
    </row>
    <row r="22" hidden="1" customHeight="1" spans="1:30">
      <c r="A22" s="37" t="s">
        <v>637</v>
      </c>
      <c r="B22" s="38">
        <v>44957</v>
      </c>
      <c r="C22" s="37" t="s">
        <v>646</v>
      </c>
      <c r="D22" s="37" t="s">
        <v>740</v>
      </c>
      <c r="E22" s="37" t="s">
        <v>640</v>
      </c>
      <c r="F22" s="37" t="s">
        <v>641</v>
      </c>
      <c r="G22" s="37" t="s">
        <v>1899</v>
      </c>
      <c r="H22" s="37" t="s">
        <v>650</v>
      </c>
      <c r="I22" s="37" t="s">
        <v>1936</v>
      </c>
      <c r="J22" s="37" t="s">
        <v>656</v>
      </c>
      <c r="K22" s="37" t="s">
        <v>13</v>
      </c>
      <c r="L22" s="47">
        <v>69624.99</v>
      </c>
      <c r="M22" s="47">
        <v>65683.95</v>
      </c>
      <c r="N22" s="47">
        <v>3941.04</v>
      </c>
      <c r="O22" s="37" t="s">
        <v>1937</v>
      </c>
      <c r="P22" s="29"/>
      <c r="Q22" s="27"/>
      <c r="R22" s="63" t="s">
        <v>748</v>
      </c>
      <c r="S22" s="64"/>
      <c r="T22" s="64">
        <v>1257848.72</v>
      </c>
      <c r="U22" s="64">
        <v>1257848.72</v>
      </c>
      <c r="V22"/>
      <c r="W22" s="57"/>
      <c r="X22" s="58"/>
      <c r="Y22" s="57"/>
      <c r="Z22" s="83">
        <v>45138</v>
      </c>
      <c r="AA22" s="58">
        <v>1771310.16</v>
      </c>
      <c r="AB22" s="58">
        <v>1671047.28</v>
      </c>
      <c r="AC22" s="58"/>
      <c r="AD22" s="29"/>
    </row>
    <row r="23" hidden="1" customHeight="1" spans="1:30">
      <c r="A23" s="37" t="s">
        <v>637</v>
      </c>
      <c r="B23" s="38">
        <v>44957</v>
      </c>
      <c r="C23" s="37" t="s">
        <v>646</v>
      </c>
      <c r="D23" s="37" t="s">
        <v>726</v>
      </c>
      <c r="E23" s="37" t="s">
        <v>640</v>
      </c>
      <c r="F23" s="37" t="s">
        <v>641</v>
      </c>
      <c r="G23" s="37" t="s">
        <v>1899</v>
      </c>
      <c r="H23" s="37" t="s">
        <v>650</v>
      </c>
      <c r="I23" s="37" t="s">
        <v>1938</v>
      </c>
      <c r="J23" s="37" t="s">
        <v>644</v>
      </c>
      <c r="K23" s="37" t="s">
        <v>14</v>
      </c>
      <c r="L23" s="47">
        <v>13990.52</v>
      </c>
      <c r="M23" s="47">
        <v>13198.6</v>
      </c>
      <c r="N23" s="47">
        <v>791.92</v>
      </c>
      <c r="O23" s="37" t="s">
        <v>1939</v>
      </c>
      <c r="P23" s="29"/>
      <c r="Q23" s="27"/>
      <c r="R23" s="63" t="s">
        <v>1273</v>
      </c>
      <c r="S23" s="64">
        <v>1257848.72</v>
      </c>
      <c r="T23" s="64"/>
      <c r="U23" s="64">
        <v>1257848.72</v>
      </c>
      <c r="V23"/>
      <c r="W23" s="57"/>
      <c r="X23" s="58"/>
      <c r="Y23" s="57"/>
      <c r="Z23" s="83">
        <v>45169</v>
      </c>
      <c r="AA23" s="58">
        <v>707526.87</v>
      </c>
      <c r="AB23" s="58">
        <v>667478.16</v>
      </c>
      <c r="AC23" s="58"/>
      <c r="AD23" s="29"/>
    </row>
    <row r="24" hidden="1" customHeight="1" spans="1:30">
      <c r="A24" s="37" t="s">
        <v>637</v>
      </c>
      <c r="B24" s="38">
        <v>44957</v>
      </c>
      <c r="C24" s="37" t="s">
        <v>646</v>
      </c>
      <c r="D24" s="37" t="s">
        <v>1915</v>
      </c>
      <c r="E24" s="37" t="s">
        <v>640</v>
      </c>
      <c r="F24" s="37" t="s">
        <v>641</v>
      </c>
      <c r="G24" s="37" t="s">
        <v>1901</v>
      </c>
      <c r="H24" s="37" t="s">
        <v>650</v>
      </c>
      <c r="I24" s="37" t="s">
        <v>441</v>
      </c>
      <c r="J24" s="37" t="s">
        <v>656</v>
      </c>
      <c r="K24" s="37" t="s">
        <v>14</v>
      </c>
      <c r="L24" s="47">
        <v>82924.36</v>
      </c>
      <c r="M24" s="47">
        <v>78230.53</v>
      </c>
      <c r="N24" s="47">
        <v>4693.83</v>
      </c>
      <c r="O24" s="37" t="s">
        <v>1940</v>
      </c>
      <c r="P24" s="29"/>
      <c r="Q24" s="27"/>
      <c r="R24" s="27" t="s">
        <v>1941</v>
      </c>
      <c r="S24" s="29">
        <v>379510.71</v>
      </c>
      <c r="T24" s="29"/>
      <c r="U24" s="29">
        <v>379510.71</v>
      </c>
      <c r="V24"/>
      <c r="W24" s="57"/>
      <c r="X24" s="58"/>
      <c r="Y24" s="57"/>
      <c r="Z24" s="83">
        <v>45199</v>
      </c>
      <c r="AA24" s="58">
        <v>847724.49</v>
      </c>
      <c r="AB24" s="58">
        <v>799740.04</v>
      </c>
      <c r="AC24" s="58"/>
      <c r="AD24" s="29"/>
    </row>
    <row r="25" hidden="1" customHeight="1" spans="1:30">
      <c r="A25" s="37" t="s">
        <v>637</v>
      </c>
      <c r="B25" s="38">
        <v>44957</v>
      </c>
      <c r="C25" s="37" t="s">
        <v>646</v>
      </c>
      <c r="D25" s="37" t="s">
        <v>1915</v>
      </c>
      <c r="E25" s="37" t="s">
        <v>640</v>
      </c>
      <c r="F25" s="37" t="s">
        <v>641</v>
      </c>
      <c r="G25" s="37" t="s">
        <v>1901</v>
      </c>
      <c r="H25" s="37" t="s">
        <v>650</v>
      </c>
      <c r="I25" s="37" t="s">
        <v>441</v>
      </c>
      <c r="J25" s="37" t="s">
        <v>656</v>
      </c>
      <c r="K25" s="37" t="s">
        <v>14</v>
      </c>
      <c r="L25" s="47">
        <v>511173.56</v>
      </c>
      <c r="M25" s="47">
        <v>482239.21</v>
      </c>
      <c r="N25" s="47">
        <v>28934.35</v>
      </c>
      <c r="O25" s="37" t="s">
        <v>1942</v>
      </c>
      <c r="P25" s="29"/>
      <c r="Q25" s="27"/>
      <c r="R25" s="27" t="s">
        <v>646</v>
      </c>
      <c r="T25" s="29">
        <v>2174.45</v>
      </c>
      <c r="U25" s="29">
        <v>2174.45</v>
      </c>
      <c r="V25"/>
      <c r="W25" s="57"/>
      <c r="X25" s="58"/>
      <c r="Y25" s="57"/>
      <c r="Z25" s="83">
        <v>45230</v>
      </c>
      <c r="AA25" s="58">
        <v>1512541.92</v>
      </c>
      <c r="AB25" s="58">
        <v>1426926.31</v>
      </c>
      <c r="AC25" s="58"/>
      <c r="AD25" s="29"/>
    </row>
    <row r="26" hidden="1" customHeight="1" spans="1:30">
      <c r="A26" s="37" t="s">
        <v>637</v>
      </c>
      <c r="B26" s="38">
        <v>44957</v>
      </c>
      <c r="C26" s="37" t="s">
        <v>646</v>
      </c>
      <c r="D26" s="37" t="s">
        <v>1915</v>
      </c>
      <c r="E26" s="37" t="s">
        <v>640</v>
      </c>
      <c r="F26" s="37" t="s">
        <v>641</v>
      </c>
      <c r="G26" s="37" t="s">
        <v>1899</v>
      </c>
      <c r="H26" s="37" t="s">
        <v>650</v>
      </c>
      <c r="I26" s="37" t="s">
        <v>441</v>
      </c>
      <c r="J26" s="37" t="s">
        <v>656</v>
      </c>
      <c r="K26" s="37" t="s">
        <v>14</v>
      </c>
      <c r="L26" s="47">
        <v>540565.41</v>
      </c>
      <c r="M26" s="47">
        <v>509967.37</v>
      </c>
      <c r="N26" s="47">
        <v>30598.04</v>
      </c>
      <c r="O26" s="37" t="s">
        <v>1943</v>
      </c>
      <c r="P26" s="29"/>
      <c r="Q26" s="27"/>
      <c r="R26" s="65" t="s">
        <v>1944</v>
      </c>
      <c r="S26" s="66">
        <v>320739.87</v>
      </c>
      <c r="T26" s="66"/>
      <c r="U26" s="66">
        <v>320739.87</v>
      </c>
      <c r="V26"/>
      <c r="W26" s="57"/>
      <c r="X26" s="58"/>
      <c r="Y26" s="57"/>
      <c r="Z26" s="83">
        <v>45260</v>
      </c>
      <c r="AA26" s="58">
        <v>1593973.11</v>
      </c>
      <c r="AB26" s="58">
        <v>1503748.16</v>
      </c>
      <c r="AC26" s="58"/>
      <c r="AD26" s="29"/>
    </row>
    <row r="27" hidden="1" customHeight="1" spans="1:30">
      <c r="A27" s="37" t="s">
        <v>637</v>
      </c>
      <c r="B27" s="38">
        <v>44957</v>
      </c>
      <c r="C27" s="37" t="s">
        <v>700</v>
      </c>
      <c r="D27" s="37" t="s">
        <v>733</v>
      </c>
      <c r="E27" s="37" t="s">
        <v>640</v>
      </c>
      <c r="F27" s="37" t="s">
        <v>641</v>
      </c>
      <c r="G27" s="37" t="s">
        <v>1899</v>
      </c>
      <c r="H27" s="37" t="s">
        <v>643</v>
      </c>
      <c r="I27" s="37" t="s">
        <v>442</v>
      </c>
      <c r="J27" s="37" t="s">
        <v>656</v>
      </c>
      <c r="K27" s="37" t="s">
        <v>14</v>
      </c>
      <c r="L27" s="47">
        <v>23495.03</v>
      </c>
      <c r="M27" s="47">
        <v>22165.12</v>
      </c>
      <c r="N27" s="47">
        <v>1329.91</v>
      </c>
      <c r="O27" s="37" t="s">
        <v>1945</v>
      </c>
      <c r="P27" s="29"/>
      <c r="Q27" s="27"/>
      <c r="R27" s="27" t="s">
        <v>1946</v>
      </c>
      <c r="S27" s="29">
        <v>407221.55</v>
      </c>
      <c r="T27" s="29">
        <v>168039.31</v>
      </c>
      <c r="U27" s="29">
        <v>575260.86</v>
      </c>
      <c r="V27" s="67"/>
      <c r="W27" s="57"/>
      <c r="X27" s="58"/>
      <c r="Y27" s="57"/>
      <c r="Z27" s="83">
        <v>45291</v>
      </c>
      <c r="AA27" s="58">
        <v>1158760.74</v>
      </c>
      <c r="AB27" s="58">
        <v>1095929.6</v>
      </c>
      <c r="AC27" s="58" t="e">
        <f>GETPIVOTDATA("求和项:taxrate_money",$Y$1,"rebates_date",DATE(2023,12,31),"rebates_rules","代运营服务费")-GETPIVOTDATA("求和项:含税采购成本",[32]应收代运营!$T$1,"科目名称","代运营服务费")</f>
        <v>#REF!</v>
      </c>
      <c r="AD27" s="29" t="e">
        <f>GETPIVOTDATA("求和项:no_taxrate_money",$Y$1,"rebates_date",DATE(2023,12,31),"rebates_rules","代运营服务费")-GETPIVOTDATA("求和项:EAS成本（不含税）",[32]应收代运营!$T$1,"科目名称","代运营服务费")</f>
        <v>#REF!</v>
      </c>
    </row>
    <row r="28" hidden="1" customHeight="1" spans="1:30">
      <c r="A28" s="37" t="s">
        <v>637</v>
      </c>
      <c r="B28" s="38">
        <v>44957</v>
      </c>
      <c r="C28" s="37" t="s">
        <v>700</v>
      </c>
      <c r="D28" s="37" t="s">
        <v>1902</v>
      </c>
      <c r="E28" s="37" t="s">
        <v>640</v>
      </c>
      <c r="F28" s="37" t="s">
        <v>641</v>
      </c>
      <c r="G28" s="37" t="s">
        <v>1901</v>
      </c>
      <c r="H28" s="37" t="s">
        <v>643</v>
      </c>
      <c r="I28" s="37" t="s">
        <v>442</v>
      </c>
      <c r="J28" s="37" t="s">
        <v>656</v>
      </c>
      <c r="K28" s="37" t="s">
        <v>14</v>
      </c>
      <c r="L28" s="47">
        <v>10942</v>
      </c>
      <c r="M28" s="47">
        <v>10322.64</v>
      </c>
      <c r="N28" s="47">
        <v>619.36</v>
      </c>
      <c r="O28" s="37" t="s">
        <v>1947</v>
      </c>
      <c r="P28" s="29"/>
      <c r="Q28" s="27"/>
      <c r="R28" s="27" t="s">
        <v>730</v>
      </c>
      <c r="S28" s="29">
        <v>2174.45</v>
      </c>
      <c r="T28" s="29"/>
      <c r="U28" s="29">
        <v>2174.45</v>
      </c>
      <c r="V28"/>
      <c r="W28" s="57"/>
      <c r="X28" s="58"/>
      <c r="Y28" s="57" t="s">
        <v>319</v>
      </c>
      <c r="Z28" s="30"/>
      <c r="AA28" s="58">
        <v>112062000.36</v>
      </c>
      <c r="AB28" s="58">
        <v>105745935.45</v>
      </c>
      <c r="AC28" s="58"/>
      <c r="AD28" s="29"/>
    </row>
    <row r="29" hidden="1" customHeight="1" spans="1:30">
      <c r="A29" s="37" t="s">
        <v>637</v>
      </c>
      <c r="B29" s="38">
        <v>44957</v>
      </c>
      <c r="C29" s="37" t="s">
        <v>700</v>
      </c>
      <c r="D29" s="37" t="s">
        <v>1902</v>
      </c>
      <c r="E29" s="37" t="s">
        <v>1898</v>
      </c>
      <c r="F29" s="37" t="s">
        <v>641</v>
      </c>
      <c r="G29" s="37" t="s">
        <v>1899</v>
      </c>
      <c r="H29" s="37" t="s">
        <v>643</v>
      </c>
      <c r="I29" s="37" t="s">
        <v>442</v>
      </c>
      <c r="J29" s="37" t="s">
        <v>656</v>
      </c>
      <c r="K29" s="37" t="s">
        <v>14</v>
      </c>
      <c r="L29" s="47">
        <v>58268.04</v>
      </c>
      <c r="M29" s="47">
        <v>54969.85</v>
      </c>
      <c r="N29" s="47">
        <v>3298.19</v>
      </c>
      <c r="O29" s="37" t="s">
        <v>1948</v>
      </c>
      <c r="P29" s="29"/>
      <c r="Q29" s="27"/>
      <c r="R29" s="27" t="s">
        <v>1949</v>
      </c>
      <c r="T29" s="29">
        <v>19442.48</v>
      </c>
      <c r="U29" s="29">
        <v>19442.48</v>
      </c>
      <c r="V29"/>
      <c r="W29" s="57"/>
      <c r="X29" s="58"/>
      <c r="Y29" s="58"/>
      <c r="AA29" s="57"/>
      <c r="AB29" s="57"/>
      <c r="AC29" s="58"/>
      <c r="AD29" s="29"/>
    </row>
    <row r="30" hidden="1" customHeight="1" spans="1:30">
      <c r="A30" s="37" t="s">
        <v>637</v>
      </c>
      <c r="B30" s="38">
        <v>44957</v>
      </c>
      <c r="C30" s="37" t="s">
        <v>811</v>
      </c>
      <c r="D30" s="37" t="s">
        <v>653</v>
      </c>
      <c r="E30" s="37" t="s">
        <v>1898</v>
      </c>
      <c r="F30" s="37" t="s">
        <v>641</v>
      </c>
      <c r="G30" s="37" t="s">
        <v>1899</v>
      </c>
      <c r="H30" s="37" t="s">
        <v>650</v>
      </c>
      <c r="I30" s="37" t="s">
        <v>433</v>
      </c>
      <c r="J30" s="37" t="s">
        <v>656</v>
      </c>
      <c r="K30" s="37" t="s">
        <v>166</v>
      </c>
      <c r="L30" s="47">
        <v>352341.71</v>
      </c>
      <c r="M30" s="47">
        <v>332397.84</v>
      </c>
      <c r="N30" s="47">
        <v>19943.87</v>
      </c>
      <c r="O30" s="37" t="s">
        <v>1950</v>
      </c>
      <c r="P30" s="29"/>
      <c r="Q30" s="27"/>
      <c r="R30" s="27" t="s">
        <v>1951</v>
      </c>
      <c r="S30" s="29">
        <v>94239.8</v>
      </c>
      <c r="T30" s="29"/>
      <c r="U30" s="29">
        <v>94239.8</v>
      </c>
      <c r="V30"/>
      <c r="W30" s="57"/>
      <c r="X30" s="58"/>
      <c r="Y30" s="58"/>
      <c r="AA30" s="57"/>
      <c r="AB30" s="57"/>
      <c r="AC30" s="58"/>
      <c r="AD30" s="29"/>
    </row>
    <row r="31" hidden="1" customHeight="1" spans="1:30">
      <c r="A31" s="37" t="s">
        <v>637</v>
      </c>
      <c r="B31" s="38">
        <v>44957</v>
      </c>
      <c r="C31" s="37" t="s">
        <v>811</v>
      </c>
      <c r="D31" s="37" t="s">
        <v>653</v>
      </c>
      <c r="E31" s="37" t="s">
        <v>640</v>
      </c>
      <c r="F31" s="37" t="s">
        <v>641</v>
      </c>
      <c r="G31" s="37" t="s">
        <v>1899</v>
      </c>
      <c r="H31" s="37" t="s">
        <v>650</v>
      </c>
      <c r="I31" s="37" t="s">
        <v>1921</v>
      </c>
      <c r="J31" s="37" t="s">
        <v>656</v>
      </c>
      <c r="K31" s="37" t="s">
        <v>166</v>
      </c>
      <c r="L31" s="47">
        <v>-17442.79</v>
      </c>
      <c r="M31" s="47">
        <v>-16455.46</v>
      </c>
      <c r="N31" s="47">
        <v>-987.33</v>
      </c>
      <c r="O31" s="37" t="s">
        <v>1952</v>
      </c>
      <c r="P31" s="29"/>
      <c r="Q31" s="27"/>
      <c r="R31" s="68" t="s">
        <v>1953</v>
      </c>
      <c r="S31" s="69">
        <v>1261768.03</v>
      </c>
      <c r="T31" s="69">
        <v>48638.3</v>
      </c>
      <c r="U31" s="69">
        <v>1310406.33</v>
      </c>
      <c r="V31" s="14">
        <f>GETPIVOTDATA("taxrate_money",$Q$1,"rebates_rules","代运营服务","supplier_name","深圳雷霆信息技术有限公司","goods_type","手游")-GETPIVOTDATA("taxrate_money",$Q$1,"rebates_rules","代运营服务费","supplier_name","深圳雷霆信息技术有限公司","goods_type","手游")</f>
        <v>1213129.73</v>
      </c>
      <c r="W31" s="58"/>
      <c r="X31" s="58"/>
      <c r="Y31" s="29"/>
      <c r="AD31" s="29"/>
    </row>
    <row r="32" hidden="1" customHeight="1" spans="1:30">
      <c r="A32" s="37" t="s">
        <v>637</v>
      </c>
      <c r="B32" s="38">
        <v>44957</v>
      </c>
      <c r="C32" s="37" t="s">
        <v>811</v>
      </c>
      <c r="D32" s="37" t="s">
        <v>653</v>
      </c>
      <c r="E32" s="37" t="s">
        <v>640</v>
      </c>
      <c r="F32" s="37" t="s">
        <v>641</v>
      </c>
      <c r="G32" s="37" t="s">
        <v>1899</v>
      </c>
      <c r="H32" s="37" t="s">
        <v>697</v>
      </c>
      <c r="I32" s="37" t="s">
        <v>1921</v>
      </c>
      <c r="J32" s="37" t="s">
        <v>656</v>
      </c>
      <c r="K32" s="37" t="s">
        <v>166</v>
      </c>
      <c r="L32" s="47">
        <v>1640.49</v>
      </c>
      <c r="M32" s="47">
        <v>1547.63</v>
      </c>
      <c r="N32" s="47">
        <v>92.86</v>
      </c>
      <c r="O32" s="37" t="s">
        <v>1954</v>
      </c>
      <c r="P32" s="29"/>
      <c r="Q32" s="27"/>
      <c r="R32" s="27" t="s">
        <v>1955</v>
      </c>
      <c r="S32" s="29">
        <v>129141.96</v>
      </c>
      <c r="T32" s="29"/>
      <c r="U32" s="29">
        <v>129141.96</v>
      </c>
      <c r="V32" s="14"/>
      <c r="W32" s="58"/>
      <c r="X32" s="58"/>
      <c r="Y32" s="29"/>
      <c r="AD32" s="29"/>
    </row>
    <row r="33" s="26" customFormat="1" hidden="1" customHeight="1" spans="1:31">
      <c r="A33" s="37" t="s">
        <v>637</v>
      </c>
      <c r="B33" s="38">
        <v>44957</v>
      </c>
      <c r="C33" s="37" t="s">
        <v>811</v>
      </c>
      <c r="D33" s="37" t="s">
        <v>653</v>
      </c>
      <c r="E33" s="37" t="s">
        <v>1898</v>
      </c>
      <c r="F33" s="37" t="s">
        <v>641</v>
      </c>
      <c r="G33" s="37" t="s">
        <v>1899</v>
      </c>
      <c r="H33" s="37" t="s">
        <v>650</v>
      </c>
      <c r="I33" s="37" t="s">
        <v>435</v>
      </c>
      <c r="J33" s="37" t="s">
        <v>656</v>
      </c>
      <c r="K33" s="37" t="s">
        <v>166</v>
      </c>
      <c r="L33" s="47">
        <v>2548124.8</v>
      </c>
      <c r="M33" s="47">
        <v>2403891.32</v>
      </c>
      <c r="N33" s="47">
        <v>144233.48</v>
      </c>
      <c r="O33" s="37" t="s">
        <v>1956</v>
      </c>
      <c r="P33" s="29"/>
      <c r="Q33" s="27"/>
      <c r="R33" s="27" t="s">
        <v>1957</v>
      </c>
      <c r="S33" s="29">
        <v>4470.54</v>
      </c>
      <c r="T33" s="29"/>
      <c r="U33" s="29">
        <v>4470.54</v>
      </c>
      <c r="V33"/>
      <c r="W33" s="57"/>
      <c r="X33" s="58"/>
      <c r="Y33" s="33"/>
      <c r="Z33" s="84"/>
      <c r="AA33" s="33"/>
      <c r="AB33" s="33"/>
      <c r="AC33" s="33"/>
      <c r="AD33" s="33"/>
      <c r="AE33" s="33"/>
    </row>
    <row r="34" s="26" customFormat="1" hidden="1" customHeight="1" spans="1:31">
      <c r="A34" s="37" t="s">
        <v>637</v>
      </c>
      <c r="B34" s="38">
        <v>44957</v>
      </c>
      <c r="C34" s="37" t="s">
        <v>811</v>
      </c>
      <c r="D34" s="37" t="s">
        <v>653</v>
      </c>
      <c r="E34" s="37" t="s">
        <v>640</v>
      </c>
      <c r="F34" s="37" t="s">
        <v>641</v>
      </c>
      <c r="G34" s="37" t="s">
        <v>1901</v>
      </c>
      <c r="H34" s="37" t="s">
        <v>650</v>
      </c>
      <c r="I34" s="37" t="s">
        <v>435</v>
      </c>
      <c r="J34" s="37" t="s">
        <v>656</v>
      </c>
      <c r="K34" s="37" t="s">
        <v>166</v>
      </c>
      <c r="L34" s="47">
        <v>575193.75</v>
      </c>
      <c r="M34" s="47">
        <v>542635.61</v>
      </c>
      <c r="N34" s="47">
        <v>32558.14</v>
      </c>
      <c r="O34" s="37" t="s">
        <v>1958</v>
      </c>
      <c r="P34" s="29"/>
      <c r="Q34" s="27"/>
      <c r="R34" s="27" t="s">
        <v>1959</v>
      </c>
      <c r="S34" s="29">
        <v>-0.0100000000002183</v>
      </c>
      <c r="T34" s="29"/>
      <c r="U34" s="29">
        <v>-0.0100000000002183</v>
      </c>
      <c r="V34"/>
      <c r="W34" s="57"/>
      <c r="X34" s="58"/>
      <c r="Y34" s="33"/>
      <c r="Z34" s="84"/>
      <c r="AA34" s="33"/>
      <c r="AB34" s="33"/>
      <c r="AC34" s="33"/>
      <c r="AD34" s="33"/>
      <c r="AE34" s="33"/>
    </row>
    <row r="35" s="26" customFormat="1" hidden="1" customHeight="1" spans="1:31">
      <c r="A35" s="37" t="s">
        <v>637</v>
      </c>
      <c r="B35" s="38">
        <v>44957</v>
      </c>
      <c r="C35" s="37" t="s">
        <v>811</v>
      </c>
      <c r="D35" s="37" t="s">
        <v>653</v>
      </c>
      <c r="E35" s="37" t="s">
        <v>640</v>
      </c>
      <c r="F35" s="37" t="s">
        <v>641</v>
      </c>
      <c r="G35" s="37" t="s">
        <v>1899</v>
      </c>
      <c r="H35" s="37" t="s">
        <v>650</v>
      </c>
      <c r="I35" s="37" t="s">
        <v>433</v>
      </c>
      <c r="J35" s="37" t="s">
        <v>656</v>
      </c>
      <c r="K35" s="37" t="s">
        <v>166</v>
      </c>
      <c r="L35" s="47">
        <v>-9897.18</v>
      </c>
      <c r="M35" s="47">
        <v>-9336.96</v>
      </c>
      <c r="N35" s="47">
        <v>-560.22</v>
      </c>
      <c r="O35" s="37" t="s">
        <v>1960</v>
      </c>
      <c r="P35" s="29"/>
      <c r="Q35" s="27"/>
      <c r="R35" s="27" t="s">
        <v>1961</v>
      </c>
      <c r="S35" s="29">
        <v>24841.64</v>
      </c>
      <c r="T35" s="29"/>
      <c r="U35" s="29">
        <v>24841.64</v>
      </c>
      <c r="V35"/>
      <c r="W35" s="57"/>
      <c r="X35" s="58"/>
      <c r="Y35" s="33"/>
      <c r="Z35" s="84"/>
      <c r="AA35" s="33"/>
      <c r="AB35" s="33"/>
      <c r="AC35" s="33"/>
      <c r="AD35" s="33"/>
      <c r="AE35" s="33"/>
    </row>
    <row r="36" s="26" customFormat="1" hidden="1" customHeight="1" spans="1:31">
      <c r="A36" s="37" t="s">
        <v>637</v>
      </c>
      <c r="B36" s="38">
        <v>44957</v>
      </c>
      <c r="C36" s="37" t="s">
        <v>811</v>
      </c>
      <c r="D36" s="37" t="s">
        <v>653</v>
      </c>
      <c r="E36" s="37" t="s">
        <v>640</v>
      </c>
      <c r="F36" s="37" t="s">
        <v>641</v>
      </c>
      <c r="G36" s="37" t="s">
        <v>1901</v>
      </c>
      <c r="H36" s="37" t="s">
        <v>650</v>
      </c>
      <c r="I36" s="37" t="s">
        <v>1923</v>
      </c>
      <c r="J36" s="37" t="s">
        <v>656</v>
      </c>
      <c r="K36" s="37" t="s">
        <v>166</v>
      </c>
      <c r="L36" s="47">
        <v>131687.92</v>
      </c>
      <c r="M36" s="47">
        <v>124233.89</v>
      </c>
      <c r="N36" s="47">
        <v>7454.03</v>
      </c>
      <c r="O36" s="37" t="s">
        <v>1962</v>
      </c>
      <c r="P36" s="29"/>
      <c r="Q36" s="27"/>
      <c r="R36" s="27" t="s">
        <v>1963</v>
      </c>
      <c r="S36" s="29"/>
      <c r="T36" s="29">
        <v>2585.08</v>
      </c>
      <c r="U36" s="29">
        <v>2585.08</v>
      </c>
      <c r="V36"/>
      <c r="W36" s="58"/>
      <c r="X36" s="58"/>
      <c r="Y36" s="33"/>
      <c r="Z36" s="84"/>
      <c r="AA36" s="33"/>
      <c r="AB36" s="33"/>
      <c r="AC36" s="33"/>
      <c r="AD36" s="33"/>
      <c r="AE36" s="33"/>
    </row>
    <row r="37" hidden="1" customHeight="1" spans="1:30">
      <c r="A37" s="37" t="s">
        <v>637</v>
      </c>
      <c r="B37" s="38">
        <v>44957</v>
      </c>
      <c r="C37" s="37" t="s">
        <v>811</v>
      </c>
      <c r="D37" s="37" t="s">
        <v>653</v>
      </c>
      <c r="E37" s="37" t="s">
        <v>640</v>
      </c>
      <c r="F37" s="37" t="s">
        <v>641</v>
      </c>
      <c r="G37" s="37" t="s">
        <v>1901</v>
      </c>
      <c r="H37" s="37" t="s">
        <v>650</v>
      </c>
      <c r="I37" s="37" t="s">
        <v>433</v>
      </c>
      <c r="J37" s="37" t="s">
        <v>656</v>
      </c>
      <c r="K37" s="37" t="s">
        <v>166</v>
      </c>
      <c r="L37" s="47">
        <v>32040.94</v>
      </c>
      <c r="M37" s="47">
        <v>30227.3</v>
      </c>
      <c r="N37" s="47">
        <v>1813.64</v>
      </c>
      <c r="O37" s="37" t="s">
        <v>1964</v>
      </c>
      <c r="P37" s="29"/>
      <c r="Q37" s="26" t="s">
        <v>14</v>
      </c>
      <c r="R37" s="27"/>
      <c r="S37" s="33">
        <v>64584637.53</v>
      </c>
      <c r="T37" s="33">
        <v>7279615.18</v>
      </c>
      <c r="U37" s="33">
        <v>71864252.71</v>
      </c>
      <c r="V37" s="13">
        <f>GETPIVOTDATA("taxrate_money",$Q$1,"rebates_rules","代运营服务","goods_type","网娱")-GETPIVOTDATA("taxrate_money",$Q$1,"rebates_rules","代运营服务费","goods_type","网娱")</f>
        <v>57305022.35</v>
      </c>
      <c r="W37" s="70"/>
      <c r="X37" s="58"/>
      <c r="Y37" s="29"/>
      <c r="AD37" s="29"/>
    </row>
    <row r="38" hidden="1" customHeight="1" spans="1:30">
      <c r="A38" s="37" t="s">
        <v>637</v>
      </c>
      <c r="B38" s="38">
        <v>44957</v>
      </c>
      <c r="C38" s="37" t="s">
        <v>811</v>
      </c>
      <c r="D38" s="37" t="s">
        <v>653</v>
      </c>
      <c r="E38" s="37" t="s">
        <v>640</v>
      </c>
      <c r="F38" s="37" t="s">
        <v>641</v>
      </c>
      <c r="G38" s="37" t="s">
        <v>1899</v>
      </c>
      <c r="H38" s="37" t="s">
        <v>650</v>
      </c>
      <c r="I38" s="37" t="s">
        <v>433</v>
      </c>
      <c r="J38" s="37" t="s">
        <v>656</v>
      </c>
      <c r="K38" s="37" t="s">
        <v>166</v>
      </c>
      <c r="L38" s="47">
        <v>1848</v>
      </c>
      <c r="M38" s="47">
        <v>1743.4</v>
      </c>
      <c r="N38" s="47">
        <v>104.6</v>
      </c>
      <c r="O38" s="37" t="s">
        <v>1965</v>
      </c>
      <c r="P38" s="29"/>
      <c r="Q38" s="27"/>
      <c r="R38" s="39" t="s">
        <v>430</v>
      </c>
      <c r="S38" s="71">
        <v>1707435</v>
      </c>
      <c r="T38" s="33"/>
      <c r="U38" s="33">
        <v>1707435</v>
      </c>
      <c r="V38" s="13"/>
      <c r="W38" s="70"/>
      <c r="X38" s="58"/>
      <c r="Y38" s="29"/>
      <c r="AD38" s="29"/>
    </row>
    <row r="39" hidden="1" customHeight="1" spans="1:30">
      <c r="A39" s="37" t="s">
        <v>637</v>
      </c>
      <c r="B39" s="38">
        <v>44957</v>
      </c>
      <c r="C39" s="37" t="s">
        <v>811</v>
      </c>
      <c r="D39" s="37" t="s">
        <v>653</v>
      </c>
      <c r="E39" s="37" t="s">
        <v>640</v>
      </c>
      <c r="F39" s="37" t="s">
        <v>641</v>
      </c>
      <c r="G39" s="37" t="s">
        <v>1899</v>
      </c>
      <c r="H39" s="37" t="s">
        <v>650</v>
      </c>
      <c r="I39" s="37" t="s">
        <v>433</v>
      </c>
      <c r="J39" s="37" t="s">
        <v>656</v>
      </c>
      <c r="K39" s="37" t="s">
        <v>166</v>
      </c>
      <c r="L39" s="47">
        <v>51535.56</v>
      </c>
      <c r="M39" s="47">
        <v>48618.45</v>
      </c>
      <c r="N39" s="47">
        <v>2917.11</v>
      </c>
      <c r="O39" s="37" t="s">
        <v>1966</v>
      </c>
      <c r="P39" s="29"/>
      <c r="Q39" s="27"/>
      <c r="R39" s="68" t="s">
        <v>432</v>
      </c>
      <c r="S39" s="69">
        <v>393670.03</v>
      </c>
      <c r="T39" s="69"/>
      <c r="U39" s="69">
        <v>393670.03</v>
      </c>
      <c r="V39" s="2"/>
      <c r="W39" s="72"/>
      <c r="X39" s="58"/>
      <c r="Y39" s="29"/>
      <c r="AD39" s="29"/>
    </row>
    <row r="40" hidden="1" customHeight="1" spans="1:30">
      <c r="A40" s="37" t="s">
        <v>637</v>
      </c>
      <c r="B40" s="38">
        <v>44957</v>
      </c>
      <c r="C40" s="37" t="s">
        <v>811</v>
      </c>
      <c r="D40" s="37" t="s">
        <v>653</v>
      </c>
      <c r="E40" s="37" t="s">
        <v>640</v>
      </c>
      <c r="F40" s="37" t="s">
        <v>641</v>
      </c>
      <c r="G40" s="37" t="s">
        <v>1901</v>
      </c>
      <c r="H40" s="37" t="s">
        <v>650</v>
      </c>
      <c r="I40" s="37" t="s">
        <v>433</v>
      </c>
      <c r="J40" s="37" t="s">
        <v>656</v>
      </c>
      <c r="K40" s="37" t="s">
        <v>166</v>
      </c>
      <c r="L40" s="47">
        <v>116.22</v>
      </c>
      <c r="M40" s="47">
        <v>109.64</v>
      </c>
      <c r="N40" s="47">
        <v>6.58</v>
      </c>
      <c r="O40" s="37" t="s">
        <v>1967</v>
      </c>
      <c r="P40" s="29"/>
      <c r="Q40" s="27"/>
      <c r="R40" s="26" t="s">
        <v>442</v>
      </c>
      <c r="S40" s="33">
        <v>885464.9</v>
      </c>
      <c r="T40" s="33">
        <v>115802.36</v>
      </c>
      <c r="U40" s="33">
        <v>1001267.26</v>
      </c>
      <c r="V40" s="2"/>
      <c r="W40" s="72"/>
      <c r="X40" s="58"/>
      <c r="Y40" s="29"/>
      <c r="AD40" s="29"/>
    </row>
    <row r="41" hidden="1" customHeight="1" spans="1:30">
      <c r="A41" s="37" t="s">
        <v>637</v>
      </c>
      <c r="B41" s="38">
        <v>44957</v>
      </c>
      <c r="C41" s="37" t="s">
        <v>811</v>
      </c>
      <c r="D41" s="37" t="s">
        <v>653</v>
      </c>
      <c r="E41" s="37" t="s">
        <v>640</v>
      </c>
      <c r="F41" s="37" t="s">
        <v>641</v>
      </c>
      <c r="G41" s="37" t="s">
        <v>1899</v>
      </c>
      <c r="H41" s="37" t="s">
        <v>650</v>
      </c>
      <c r="I41" s="37" t="s">
        <v>435</v>
      </c>
      <c r="J41" s="37" t="s">
        <v>656</v>
      </c>
      <c r="K41" s="37" t="s">
        <v>166</v>
      </c>
      <c r="L41" s="47">
        <v>-3645372.89</v>
      </c>
      <c r="M41" s="47">
        <v>-3439031.03</v>
      </c>
      <c r="N41" s="47">
        <v>-206341.86</v>
      </c>
      <c r="O41" s="37" t="s">
        <v>1968</v>
      </c>
      <c r="P41" s="29"/>
      <c r="Q41" s="27"/>
      <c r="R41" s="73" t="s">
        <v>444</v>
      </c>
      <c r="S41" s="74">
        <v>2730997.76</v>
      </c>
      <c r="T41" s="74">
        <v>420890.02</v>
      </c>
      <c r="U41" s="74">
        <v>3151887.78</v>
      </c>
      <c r="V41" s="2">
        <f>GETPIVOTDATA("taxrate_money",$Q$1,"rebates_rules","代运营服务","supplier_name","深圳市迅雷网络技术有限公司","goods_type","网娱")-GETPIVOTDATA("taxrate_money",$Q$1,"rebates_rules","代运营服务费","supplier_name","深圳市迅雷网络技术有限公司","goods_type","网娱")</f>
        <v>2310107.74</v>
      </c>
      <c r="W41" s="72"/>
      <c r="X41" s="58"/>
      <c r="Y41" s="29"/>
      <c r="AD41" s="29"/>
    </row>
    <row r="42" hidden="1" customHeight="1" spans="1:30">
      <c r="A42" s="37" t="s">
        <v>637</v>
      </c>
      <c r="B42" s="38">
        <v>44957</v>
      </c>
      <c r="C42" s="37" t="s">
        <v>748</v>
      </c>
      <c r="D42" s="37" t="s">
        <v>1902</v>
      </c>
      <c r="E42" s="37" t="s">
        <v>640</v>
      </c>
      <c r="F42" s="37" t="s">
        <v>641</v>
      </c>
      <c r="G42" s="37" t="s">
        <v>1901</v>
      </c>
      <c r="H42" s="37" t="s">
        <v>643</v>
      </c>
      <c r="I42" s="37" t="s">
        <v>444</v>
      </c>
      <c r="J42" s="37" t="s">
        <v>656</v>
      </c>
      <c r="K42" s="37" t="s">
        <v>14</v>
      </c>
      <c r="L42" s="47">
        <v>1554.17</v>
      </c>
      <c r="M42" s="47">
        <v>1466.2</v>
      </c>
      <c r="N42" s="47">
        <v>87.97</v>
      </c>
      <c r="O42" s="37" t="s">
        <v>1969</v>
      </c>
      <c r="P42" s="29"/>
      <c r="Q42" s="27"/>
      <c r="R42" s="75" t="s">
        <v>435</v>
      </c>
      <c r="S42" s="76">
        <v>370502.48</v>
      </c>
      <c r="T42" s="76">
        <v>571932.94</v>
      </c>
      <c r="U42" s="76">
        <v>942435.42</v>
      </c>
      <c r="V42" s="2"/>
      <c r="W42" s="72"/>
      <c r="X42" s="58"/>
      <c r="Y42" s="29"/>
      <c r="AD42" s="29"/>
    </row>
    <row r="43" hidden="1" customHeight="1" spans="1:30">
      <c r="A43" s="37" t="s">
        <v>637</v>
      </c>
      <c r="B43" s="38">
        <v>44957</v>
      </c>
      <c r="C43" s="37" t="s">
        <v>748</v>
      </c>
      <c r="D43" s="37" t="s">
        <v>1902</v>
      </c>
      <c r="E43" s="37" t="s">
        <v>640</v>
      </c>
      <c r="F43" s="37" t="s">
        <v>641</v>
      </c>
      <c r="G43" s="37" t="s">
        <v>1899</v>
      </c>
      <c r="H43" s="37" t="s">
        <v>650</v>
      </c>
      <c r="I43" s="37" t="s">
        <v>779</v>
      </c>
      <c r="J43" s="37" t="s">
        <v>644</v>
      </c>
      <c r="K43" s="37" t="s">
        <v>14</v>
      </c>
      <c r="L43" s="47">
        <v>34500</v>
      </c>
      <c r="M43" s="47">
        <v>32547.17</v>
      </c>
      <c r="N43" s="47">
        <v>1952.83</v>
      </c>
      <c r="O43" s="37" t="s">
        <v>1970</v>
      </c>
      <c r="P43" s="29"/>
      <c r="Q43" s="27"/>
      <c r="R43" s="39" t="s">
        <v>779</v>
      </c>
      <c r="S43" s="71">
        <v>2317471.7</v>
      </c>
      <c r="T43" s="33"/>
      <c r="U43" s="33">
        <v>2317471.7</v>
      </c>
      <c r="V43" s="2">
        <f>GETPIVOTDATA("taxrate_money",$Q$1,"rebates_rules","代运营服务","supplier_name","优酷信息技术(北京)有限公司","goods_type","网娱")+GETPIVOTDATA("taxrate_money",$Q$1,"rebates_rules","代运营服务","supplier_name","北京优酷科技有限公司","goods_type","网娱")</f>
        <v>2767084.38</v>
      </c>
      <c r="W43" s="72"/>
      <c r="X43" s="58"/>
      <c r="Y43" s="29"/>
      <c r="AD43" s="29"/>
    </row>
    <row r="44" hidden="1" customHeight="1" spans="1:30">
      <c r="A44" s="37" t="s">
        <v>637</v>
      </c>
      <c r="B44" s="38">
        <v>44957</v>
      </c>
      <c r="C44" s="37" t="s">
        <v>811</v>
      </c>
      <c r="D44" s="37" t="s">
        <v>653</v>
      </c>
      <c r="E44" s="37" t="s">
        <v>640</v>
      </c>
      <c r="F44" s="37" t="s">
        <v>641</v>
      </c>
      <c r="G44" s="37" t="s">
        <v>1899</v>
      </c>
      <c r="H44" s="37" t="s">
        <v>650</v>
      </c>
      <c r="I44" s="37" t="s">
        <v>435</v>
      </c>
      <c r="J44" s="37" t="s">
        <v>656</v>
      </c>
      <c r="K44" s="37" t="s">
        <v>166</v>
      </c>
      <c r="L44" s="47">
        <v>4988000</v>
      </c>
      <c r="M44" s="47">
        <v>4705660.38</v>
      </c>
      <c r="N44" s="47">
        <v>282339.62</v>
      </c>
      <c r="O44" s="37" t="s">
        <v>1971</v>
      </c>
      <c r="P44" s="29"/>
      <c r="Q44" s="27"/>
      <c r="R44" s="77" t="s">
        <v>1906</v>
      </c>
      <c r="S44" s="78">
        <v>1240825.82</v>
      </c>
      <c r="T44" s="78"/>
      <c r="U44" s="78">
        <v>1240825.82</v>
      </c>
      <c r="V44" s="2"/>
      <c r="W44" s="72"/>
      <c r="X44" s="58"/>
      <c r="Y44" s="29"/>
      <c r="AD44" s="29"/>
    </row>
    <row r="45" hidden="1" customHeight="1" spans="1:30">
      <c r="A45" s="37" t="s">
        <v>637</v>
      </c>
      <c r="B45" s="38">
        <v>44957</v>
      </c>
      <c r="C45" s="37" t="s">
        <v>748</v>
      </c>
      <c r="D45" s="37" t="s">
        <v>726</v>
      </c>
      <c r="E45" s="37" t="s">
        <v>640</v>
      </c>
      <c r="F45" s="37" t="s">
        <v>641</v>
      </c>
      <c r="G45" s="37" t="s">
        <v>1901</v>
      </c>
      <c r="H45" s="37" t="s">
        <v>643</v>
      </c>
      <c r="I45" s="37" t="s">
        <v>444</v>
      </c>
      <c r="J45" s="37" t="s">
        <v>656</v>
      </c>
      <c r="K45" s="37" t="s">
        <v>14</v>
      </c>
      <c r="L45" s="47">
        <v>13306.16</v>
      </c>
      <c r="M45" s="47">
        <v>12552.98</v>
      </c>
      <c r="N45" s="47">
        <v>753.18</v>
      </c>
      <c r="O45" s="37" t="s">
        <v>1972</v>
      </c>
      <c r="P45" s="29"/>
      <c r="Q45" s="27"/>
      <c r="R45" s="39" t="s">
        <v>461</v>
      </c>
      <c r="S45" s="71">
        <v>1780771.29</v>
      </c>
      <c r="T45" s="71"/>
      <c r="U45" s="71">
        <v>1780771.29</v>
      </c>
      <c r="V45" s="2"/>
      <c r="W45" s="72"/>
      <c r="X45" s="58"/>
      <c r="Y45" s="85"/>
      <c r="AD45" s="29"/>
    </row>
    <row r="46" hidden="1" customHeight="1" spans="1:30">
      <c r="A46" s="37" t="s">
        <v>637</v>
      </c>
      <c r="B46" s="38">
        <v>44957</v>
      </c>
      <c r="C46" s="37" t="s">
        <v>748</v>
      </c>
      <c r="D46" s="37" t="s">
        <v>1284</v>
      </c>
      <c r="E46" s="37" t="s">
        <v>640</v>
      </c>
      <c r="F46" s="37" t="s">
        <v>641</v>
      </c>
      <c r="G46" s="37" t="s">
        <v>1901</v>
      </c>
      <c r="H46" s="37" t="s">
        <v>643</v>
      </c>
      <c r="I46" s="37" t="s">
        <v>444</v>
      </c>
      <c r="J46" s="37" t="s">
        <v>656</v>
      </c>
      <c r="K46" s="37" t="s">
        <v>14</v>
      </c>
      <c r="L46" s="47">
        <v>11444.87</v>
      </c>
      <c r="M46" s="47">
        <v>10797.05</v>
      </c>
      <c r="N46" s="47">
        <v>647.82</v>
      </c>
      <c r="O46" s="37" t="s">
        <v>1973</v>
      </c>
      <c r="P46" s="29"/>
      <c r="Q46" s="27"/>
      <c r="R46" s="27" t="s">
        <v>1908</v>
      </c>
      <c r="S46" s="29">
        <v>-6335.38</v>
      </c>
      <c r="T46" s="29"/>
      <c r="U46" s="29">
        <v>-6335.38</v>
      </c>
      <c r="V46" s="2"/>
      <c r="W46" s="72"/>
      <c r="X46" s="58"/>
      <c r="Y46" s="29"/>
      <c r="AD46" s="29"/>
    </row>
    <row r="47" hidden="1" customHeight="1" spans="1:30">
      <c r="A47" s="37" t="s">
        <v>637</v>
      </c>
      <c r="B47" s="38">
        <v>44957</v>
      </c>
      <c r="C47" s="37" t="s">
        <v>748</v>
      </c>
      <c r="D47" s="37" t="s">
        <v>653</v>
      </c>
      <c r="E47" s="37" t="s">
        <v>640</v>
      </c>
      <c r="F47" s="37" t="s">
        <v>641</v>
      </c>
      <c r="G47" s="37" t="s">
        <v>1901</v>
      </c>
      <c r="H47" s="37" t="s">
        <v>650</v>
      </c>
      <c r="I47" s="37" t="s">
        <v>463</v>
      </c>
      <c r="J47" s="37" t="s">
        <v>656</v>
      </c>
      <c r="K47" s="37" t="s">
        <v>166</v>
      </c>
      <c r="L47" s="47">
        <v>4324.85</v>
      </c>
      <c r="M47" s="47">
        <v>4080.05</v>
      </c>
      <c r="N47" s="47">
        <v>244.8</v>
      </c>
      <c r="O47" s="37" t="s">
        <v>1974</v>
      </c>
      <c r="P47" s="29"/>
      <c r="Q47" s="27"/>
      <c r="R47" s="79" t="s">
        <v>1925</v>
      </c>
      <c r="S47" s="80">
        <v>502812.23</v>
      </c>
      <c r="T47" s="80"/>
      <c r="U47" s="80">
        <v>502812.23</v>
      </c>
      <c r="V47" s="2">
        <f>GETPIVOTDATA("taxrate_money",$Q$1,"rebates_rules","代运营服务","supplier_name","珠海金山办公软件有限公司","goods_type","网娱")+GETPIVOTDATA("taxrate_money",$Q$1,"rebates_rules","代运营服务","supplier_name","北京金山办公软件股份有限公司","goods_type","网娱")+GETPIVOTDATA("taxrate_money",$Q$1,"rebates_rules","代运营服务","supplier_name","武汉金山办公软件有限公司","goods_type","网娱")</f>
        <v>8929248.07</v>
      </c>
      <c r="W47" s="72"/>
      <c r="X47" s="58"/>
      <c r="Y47" s="29"/>
      <c r="AD47" s="29"/>
    </row>
    <row r="48" hidden="1" customHeight="1" spans="1:30">
      <c r="A48" s="37" t="s">
        <v>637</v>
      </c>
      <c r="B48" s="38">
        <v>44957</v>
      </c>
      <c r="C48" s="37" t="s">
        <v>748</v>
      </c>
      <c r="D48" s="37" t="s">
        <v>1902</v>
      </c>
      <c r="E48" s="37" t="s">
        <v>1898</v>
      </c>
      <c r="F48" s="37" t="s">
        <v>641</v>
      </c>
      <c r="G48" s="37" t="s">
        <v>1899</v>
      </c>
      <c r="H48" s="37" t="s">
        <v>643</v>
      </c>
      <c r="I48" s="37" t="s">
        <v>444</v>
      </c>
      <c r="J48" s="37" t="s">
        <v>656</v>
      </c>
      <c r="K48" s="37" t="s">
        <v>14</v>
      </c>
      <c r="L48" s="47">
        <v>23465.11</v>
      </c>
      <c r="M48" s="47">
        <v>22136.9</v>
      </c>
      <c r="N48" s="47">
        <v>1328.21</v>
      </c>
      <c r="O48" s="37" t="s">
        <v>1975</v>
      </c>
      <c r="P48" s="29"/>
      <c r="Q48" s="27"/>
      <c r="R48" s="68" t="s">
        <v>466</v>
      </c>
      <c r="S48" s="69">
        <v>16638514.17</v>
      </c>
      <c r="T48" s="69"/>
      <c r="U48" s="69">
        <v>16638514.17</v>
      </c>
      <c r="V48" s="2">
        <f>GETPIVOTDATA("taxrate_money",$Q$1,"rebates_rules","代运营服务","supplier_name","北京度友科技有限公司","goods_type","网娱")+GETPIVOTDATA("taxrate_money",$Q$1,"rebates_rules","代运营服务","supplier_name","北京百度网讯科技有限公司","goods_type","网娱")</f>
        <v>17032184.2</v>
      </c>
      <c r="W48" s="72" t="e">
        <f>V48-[34]代运营中间单据!$U$20</f>
        <v>#REF!</v>
      </c>
      <c r="X48" s="58"/>
      <c r="Y48" s="29"/>
      <c r="AD48" s="29"/>
    </row>
    <row r="49" hidden="1" customHeight="1" spans="1:30">
      <c r="A49" s="37" t="s">
        <v>637</v>
      </c>
      <c r="B49" s="38">
        <v>44957</v>
      </c>
      <c r="C49" s="37" t="s">
        <v>748</v>
      </c>
      <c r="D49" s="37" t="s">
        <v>726</v>
      </c>
      <c r="E49" s="37" t="s">
        <v>1898</v>
      </c>
      <c r="F49" s="37" t="s">
        <v>641</v>
      </c>
      <c r="G49" s="37" t="s">
        <v>1899</v>
      </c>
      <c r="H49" s="37" t="s">
        <v>643</v>
      </c>
      <c r="I49" s="37" t="s">
        <v>1910</v>
      </c>
      <c r="J49" s="37" t="s">
        <v>644</v>
      </c>
      <c r="K49" s="37" t="s">
        <v>350</v>
      </c>
      <c r="L49" s="47">
        <v>14079.95</v>
      </c>
      <c r="M49" s="47">
        <v>13282.97</v>
      </c>
      <c r="N49" s="47">
        <v>796.98</v>
      </c>
      <c r="O49" s="37" t="s">
        <v>1976</v>
      </c>
      <c r="P49" s="29"/>
      <c r="Q49" s="27"/>
      <c r="R49" s="26" t="s">
        <v>1917</v>
      </c>
      <c r="S49" s="33">
        <v>491.99</v>
      </c>
      <c r="T49" s="33"/>
      <c r="U49" s="33">
        <v>491.99</v>
      </c>
      <c r="V49" s="2"/>
      <c r="W49" s="72"/>
      <c r="X49" s="58"/>
      <c r="Y49" s="29"/>
      <c r="AD49" s="29"/>
    </row>
    <row r="50" hidden="1" customHeight="1" spans="1:30">
      <c r="A50" s="37" t="s">
        <v>637</v>
      </c>
      <c r="B50" s="38">
        <v>44957</v>
      </c>
      <c r="C50" s="37" t="s">
        <v>748</v>
      </c>
      <c r="D50" s="37" t="s">
        <v>1284</v>
      </c>
      <c r="E50" s="37" t="s">
        <v>1898</v>
      </c>
      <c r="F50" s="37" t="s">
        <v>641</v>
      </c>
      <c r="G50" s="37" t="s">
        <v>1899</v>
      </c>
      <c r="H50" s="37" t="s">
        <v>643</v>
      </c>
      <c r="I50" s="37" t="s">
        <v>444</v>
      </c>
      <c r="J50" s="37" t="s">
        <v>656</v>
      </c>
      <c r="K50" s="37" t="s">
        <v>14</v>
      </c>
      <c r="L50" s="47">
        <v>25443.45</v>
      </c>
      <c r="M50" s="47">
        <v>24003.25</v>
      </c>
      <c r="N50" s="47">
        <v>1440.2</v>
      </c>
      <c r="O50" s="37" t="s">
        <v>1977</v>
      </c>
      <c r="P50" s="29"/>
      <c r="Q50" s="27"/>
      <c r="R50" s="27" t="s">
        <v>1919</v>
      </c>
      <c r="S50" s="29">
        <v>7330.22</v>
      </c>
      <c r="T50" s="29"/>
      <c r="U50" s="29">
        <v>7330.22</v>
      </c>
      <c r="V50" s="2"/>
      <c r="W50" s="72"/>
      <c r="X50" s="58"/>
      <c r="Y50" s="29"/>
      <c r="AD50" s="29"/>
    </row>
    <row r="51" hidden="1" customHeight="1" spans="1:30">
      <c r="A51" s="37" t="s">
        <v>637</v>
      </c>
      <c r="B51" s="38">
        <v>44957</v>
      </c>
      <c r="C51" s="37" t="s">
        <v>748</v>
      </c>
      <c r="D51" s="37" t="s">
        <v>726</v>
      </c>
      <c r="E51" s="37" t="s">
        <v>1898</v>
      </c>
      <c r="F51" s="37" t="s">
        <v>641</v>
      </c>
      <c r="G51" s="37" t="s">
        <v>1899</v>
      </c>
      <c r="H51" s="37" t="s">
        <v>643</v>
      </c>
      <c r="I51" s="37" t="s">
        <v>444</v>
      </c>
      <c r="J51" s="37" t="s">
        <v>656</v>
      </c>
      <c r="K51" s="37" t="s">
        <v>14</v>
      </c>
      <c r="L51" s="47">
        <v>142196.25</v>
      </c>
      <c r="M51" s="47">
        <v>134147.41</v>
      </c>
      <c r="N51" s="47">
        <v>8048.84</v>
      </c>
      <c r="O51" s="37" t="s">
        <v>1978</v>
      </c>
      <c r="P51" s="29"/>
      <c r="Q51" s="27"/>
      <c r="R51" s="39" t="s">
        <v>441</v>
      </c>
      <c r="S51" s="71">
        <v>5150701.99</v>
      </c>
      <c r="T51" s="71">
        <v>4422985.54</v>
      </c>
      <c r="U51" s="71">
        <v>9573687.53</v>
      </c>
      <c r="V51" s="2">
        <f>GETPIVOTDATA("taxrate_money",$Q$1,"rebates_rules","代运营服务","supplier_name","湖南快乐阳光互动娱乐传媒有限公司","goods_type","网娱")-GETPIVOTDATA("taxrate_money",$Q$1,"rebates_rules","代运营服务费","supplier_name","湖南快乐阳光互动娱乐传媒有限公司","goods_type","网娱")</f>
        <v>727716.45</v>
      </c>
      <c r="W51" s="72"/>
      <c r="X51" s="58"/>
      <c r="Y51" s="29"/>
      <c r="Z51" s="30"/>
      <c r="AD51" s="29"/>
    </row>
    <row r="52" hidden="1" customHeight="1" spans="1:30">
      <c r="A52" s="37" t="s">
        <v>637</v>
      </c>
      <c r="B52" s="38">
        <v>44957</v>
      </c>
      <c r="C52" s="37" t="s">
        <v>748</v>
      </c>
      <c r="D52" s="37" t="s">
        <v>1284</v>
      </c>
      <c r="E52" s="37" t="s">
        <v>1898</v>
      </c>
      <c r="F52" s="37" t="s">
        <v>641</v>
      </c>
      <c r="G52" s="37" t="s">
        <v>1899</v>
      </c>
      <c r="H52" s="37" t="s">
        <v>643</v>
      </c>
      <c r="I52" s="37" t="s">
        <v>779</v>
      </c>
      <c r="J52" s="37" t="s">
        <v>644</v>
      </c>
      <c r="K52" s="37" t="s">
        <v>14</v>
      </c>
      <c r="L52" s="47">
        <v>34500</v>
      </c>
      <c r="M52" s="47">
        <v>32547.17</v>
      </c>
      <c r="N52" s="47">
        <v>1952.83</v>
      </c>
      <c r="O52" s="37" t="s">
        <v>1979</v>
      </c>
      <c r="P52" s="29"/>
      <c r="Q52" s="27"/>
      <c r="R52" s="27" t="s">
        <v>1938</v>
      </c>
      <c r="S52" s="29">
        <v>287045.1</v>
      </c>
      <c r="T52" s="29"/>
      <c r="U52" s="29">
        <v>287045.1</v>
      </c>
      <c r="V52" s="2"/>
      <c r="W52" s="72"/>
      <c r="X52" s="58"/>
      <c r="Y52" s="29"/>
      <c r="Z52" s="30"/>
      <c r="AD52" s="29"/>
    </row>
    <row r="53" hidden="1" customHeight="1" spans="1:30">
      <c r="A53" s="39" t="s">
        <v>1980</v>
      </c>
      <c r="B53" s="40">
        <v>44957</v>
      </c>
      <c r="C53" s="41" t="s">
        <v>811</v>
      </c>
      <c r="D53" s="41" t="s">
        <v>177</v>
      </c>
      <c r="E53" s="41" t="s">
        <v>1981</v>
      </c>
      <c r="F53" s="42" t="s">
        <v>641</v>
      </c>
      <c r="G53" s="42" t="s">
        <v>1899</v>
      </c>
      <c r="H53" s="42" t="s">
        <v>643</v>
      </c>
      <c r="I53" s="41" t="s">
        <v>433</v>
      </c>
      <c r="J53" s="49" t="s">
        <v>656</v>
      </c>
      <c r="K53" s="49" t="s">
        <v>166</v>
      </c>
      <c r="L53" s="50">
        <v>-24899.91</v>
      </c>
      <c r="M53" s="50">
        <f t="shared" ref="M53:M64" si="0">ROUND(L53/1.06,2)</f>
        <v>-23490.48</v>
      </c>
      <c r="N53" s="51">
        <f t="shared" ref="N53:N64" si="1">L53-M53</f>
        <v>-1409.43</v>
      </c>
      <c r="P53" s="29"/>
      <c r="Q53" s="27"/>
      <c r="R53" s="79" t="s">
        <v>1982</v>
      </c>
      <c r="S53" s="80">
        <v>5969778.86</v>
      </c>
      <c r="T53" s="80"/>
      <c r="U53" s="80">
        <v>5969778.86</v>
      </c>
      <c r="V53" s="2"/>
      <c r="W53" s="72"/>
      <c r="X53" s="58"/>
      <c r="Y53" s="29"/>
      <c r="Z53" s="30"/>
      <c r="AD53" s="29"/>
    </row>
    <row r="54" hidden="1" customHeight="1" spans="1:30">
      <c r="A54" s="39" t="s">
        <v>1980</v>
      </c>
      <c r="B54" s="40">
        <v>44957</v>
      </c>
      <c r="C54" s="41" t="s">
        <v>811</v>
      </c>
      <c r="D54" s="41" t="s">
        <v>177</v>
      </c>
      <c r="E54" s="41" t="s">
        <v>1981</v>
      </c>
      <c r="F54" s="42" t="s">
        <v>641</v>
      </c>
      <c r="G54" s="42" t="s">
        <v>1901</v>
      </c>
      <c r="H54" s="42" t="s">
        <v>643</v>
      </c>
      <c r="I54" s="41" t="s">
        <v>433</v>
      </c>
      <c r="J54" s="49" t="s">
        <v>656</v>
      </c>
      <c r="K54" s="49" t="s">
        <v>166</v>
      </c>
      <c r="L54" s="50">
        <v>117292.61</v>
      </c>
      <c r="M54" s="50">
        <f t="shared" si="0"/>
        <v>110653.41</v>
      </c>
      <c r="N54" s="51">
        <f t="shared" si="1"/>
        <v>6639.2</v>
      </c>
      <c r="P54" s="29"/>
      <c r="Q54" s="27"/>
      <c r="R54" s="27" t="s">
        <v>1929</v>
      </c>
      <c r="S54" s="29">
        <v>14081586.21</v>
      </c>
      <c r="T54" s="29"/>
      <c r="U54" s="29">
        <v>14081586.21</v>
      </c>
      <c r="V54" s="2"/>
      <c r="W54" s="72"/>
      <c r="X54" s="58"/>
      <c r="Y54" s="29"/>
      <c r="Z54" s="30"/>
      <c r="AD54" s="29"/>
    </row>
    <row r="55" hidden="1" customHeight="1" spans="1:30">
      <c r="A55" s="39" t="s">
        <v>1980</v>
      </c>
      <c r="B55" s="40">
        <v>44957</v>
      </c>
      <c r="C55" s="41" t="s">
        <v>811</v>
      </c>
      <c r="D55" s="41" t="s">
        <v>177</v>
      </c>
      <c r="E55" s="41" t="s">
        <v>1981</v>
      </c>
      <c r="F55" s="42" t="s">
        <v>641</v>
      </c>
      <c r="G55" s="42" t="s">
        <v>1899</v>
      </c>
      <c r="H55" s="42" t="s">
        <v>643</v>
      </c>
      <c r="I55" s="41" t="s">
        <v>435</v>
      </c>
      <c r="J55" s="49" t="s">
        <v>656</v>
      </c>
      <c r="K55" s="49" t="s">
        <v>166</v>
      </c>
      <c r="L55" s="50">
        <v>104003.53</v>
      </c>
      <c r="M55" s="50">
        <f t="shared" si="0"/>
        <v>98116.54</v>
      </c>
      <c r="N55" s="51">
        <f t="shared" si="1"/>
        <v>5886.99000000001</v>
      </c>
      <c r="P55" s="29"/>
      <c r="Q55" s="27"/>
      <c r="R55" s="27" t="s">
        <v>473</v>
      </c>
      <c r="S55" s="29">
        <v>2490891.01</v>
      </c>
      <c r="T55" s="29"/>
      <c r="U55" s="29">
        <v>2490891.01</v>
      </c>
      <c r="V55" s="2"/>
      <c r="W55" s="72"/>
      <c r="X55" s="58"/>
      <c r="Y55" s="29"/>
      <c r="Z55" s="30"/>
      <c r="AD55" s="29"/>
    </row>
    <row r="56" hidden="1" customHeight="1" spans="1:30">
      <c r="A56" s="39" t="s">
        <v>1980</v>
      </c>
      <c r="B56" s="40">
        <v>44957</v>
      </c>
      <c r="C56" s="41" t="s">
        <v>811</v>
      </c>
      <c r="D56" s="41" t="s">
        <v>177</v>
      </c>
      <c r="E56" s="41" t="s">
        <v>1981</v>
      </c>
      <c r="F56" s="42" t="s">
        <v>641</v>
      </c>
      <c r="G56" s="42" t="s">
        <v>1901</v>
      </c>
      <c r="H56" s="42" t="s">
        <v>643</v>
      </c>
      <c r="I56" s="41" t="s">
        <v>435</v>
      </c>
      <c r="J56" s="49" t="s">
        <v>656</v>
      </c>
      <c r="K56" s="49" t="s">
        <v>166</v>
      </c>
      <c r="L56" s="50">
        <v>50761.22</v>
      </c>
      <c r="M56" s="50">
        <f t="shared" si="0"/>
        <v>47887.94</v>
      </c>
      <c r="N56" s="51">
        <f t="shared" si="1"/>
        <v>2873.28</v>
      </c>
      <c r="O56" s="27" t="s">
        <v>1983</v>
      </c>
      <c r="P56" s="29"/>
      <c r="Q56" s="27"/>
      <c r="R56" s="77" t="s">
        <v>486</v>
      </c>
      <c r="S56" s="78">
        <v>2219442.62</v>
      </c>
      <c r="T56" s="78"/>
      <c r="U56" s="78">
        <v>2219442.62</v>
      </c>
      <c r="V56" s="2"/>
      <c r="W56" s="72"/>
      <c r="X56" s="58"/>
      <c r="Y56" s="29"/>
      <c r="Z56" s="30"/>
      <c r="AD56" s="29"/>
    </row>
    <row r="57" hidden="1" customHeight="1" spans="1:30">
      <c r="A57" s="39" t="s">
        <v>1980</v>
      </c>
      <c r="B57" s="40">
        <v>44957</v>
      </c>
      <c r="C57" s="41" t="s">
        <v>748</v>
      </c>
      <c r="D57" s="41" t="s">
        <v>177</v>
      </c>
      <c r="E57" s="41" t="s">
        <v>1981</v>
      </c>
      <c r="F57" s="42" t="s">
        <v>641</v>
      </c>
      <c r="G57" s="42" t="s">
        <v>1899</v>
      </c>
      <c r="H57" s="42" t="s">
        <v>643</v>
      </c>
      <c r="I57" s="41" t="s">
        <v>1927</v>
      </c>
      <c r="J57" s="49" t="s">
        <v>656</v>
      </c>
      <c r="K57" s="49" t="s">
        <v>166</v>
      </c>
      <c r="L57" s="50">
        <v>7999.14</v>
      </c>
      <c r="M57" s="50">
        <f t="shared" si="0"/>
        <v>7546.36</v>
      </c>
      <c r="N57" s="51">
        <f t="shared" si="1"/>
        <v>452.780000000001</v>
      </c>
      <c r="P57" s="29"/>
      <c r="Q57" s="27"/>
      <c r="R57" s="27" t="s">
        <v>1984</v>
      </c>
      <c r="S57" s="29">
        <v>31365.15</v>
      </c>
      <c r="T57" s="29"/>
      <c r="U57" s="29">
        <v>31365.15</v>
      </c>
      <c r="V57" s="2"/>
      <c r="W57" s="72"/>
      <c r="X57" s="58"/>
      <c r="Y57" s="29"/>
      <c r="Z57" s="30"/>
      <c r="AD57" s="29"/>
    </row>
    <row r="58" hidden="1" customHeight="1" spans="1:30">
      <c r="A58" s="43" t="s">
        <v>1985</v>
      </c>
      <c r="B58" s="38">
        <v>44957</v>
      </c>
      <c r="C58" s="27" t="s">
        <v>646</v>
      </c>
      <c r="D58" s="44" t="s">
        <v>177</v>
      </c>
      <c r="E58" s="43" t="s">
        <v>1985</v>
      </c>
      <c r="F58" s="45" t="s">
        <v>641</v>
      </c>
      <c r="G58" s="45" t="s">
        <v>1899</v>
      </c>
      <c r="H58" s="45" t="s">
        <v>643</v>
      </c>
      <c r="I58" s="27" t="s">
        <v>466</v>
      </c>
      <c r="J58" s="52" t="s">
        <v>1986</v>
      </c>
      <c r="K58" s="29" t="s">
        <v>165</v>
      </c>
      <c r="L58" s="53">
        <v>-41687.43</v>
      </c>
      <c r="M58" s="53">
        <f t="shared" si="0"/>
        <v>-39327.76</v>
      </c>
      <c r="N58" s="53">
        <f t="shared" si="1"/>
        <v>-2359.67</v>
      </c>
      <c r="P58" s="29"/>
      <c r="Q58" s="27"/>
      <c r="R58" s="81" t="s">
        <v>1987</v>
      </c>
      <c r="S58" s="82">
        <v>41138.48</v>
      </c>
      <c r="T58" s="82"/>
      <c r="U58" s="82">
        <v>41138.48</v>
      </c>
      <c r="V58" s="2">
        <f>GETPIVOTDATA("taxrate_money",$Q$1,"rebates_rules","代运营服务","supplier_name","北京微算互联信息技术有限公司","goods_type","网娱")+GETPIVOTDATA("taxrate_money",$Q$1,"rebates_rules","代运营服务","supplier_name","湖南微算互联信息技术有限公司","goods_type","网娱")+GETPIVOTDATA("taxrate_money",$Q$1,"rebates_rules","代运营服务","supplier_name","广州微算互联信息技术有限公司","goods_type","网娱")</f>
        <v>1225745.43</v>
      </c>
      <c r="W58" s="72"/>
      <c r="X58" s="58"/>
      <c r="Y58" s="29"/>
      <c r="Z58" s="30"/>
      <c r="AD58" s="29"/>
    </row>
    <row r="59" hidden="1" customHeight="1" spans="1:30">
      <c r="A59" s="43" t="s">
        <v>1985</v>
      </c>
      <c r="B59" s="38">
        <v>44957</v>
      </c>
      <c r="C59" s="27" t="s">
        <v>646</v>
      </c>
      <c r="D59" s="44" t="s">
        <v>177</v>
      </c>
      <c r="E59" s="43" t="s">
        <v>1985</v>
      </c>
      <c r="F59" s="45" t="s">
        <v>641</v>
      </c>
      <c r="G59" s="45" t="s">
        <v>1899</v>
      </c>
      <c r="H59" s="45" t="s">
        <v>643</v>
      </c>
      <c r="I59" s="27" t="s">
        <v>466</v>
      </c>
      <c r="J59" s="54" t="s">
        <v>1986</v>
      </c>
      <c r="K59" s="29" t="s">
        <v>14</v>
      </c>
      <c r="L59" s="53">
        <v>41687.43</v>
      </c>
      <c r="M59" s="53">
        <f t="shared" si="0"/>
        <v>39327.76</v>
      </c>
      <c r="N59" s="53">
        <f t="shared" si="1"/>
        <v>2359.67</v>
      </c>
      <c r="P59" s="29"/>
      <c r="Q59" s="27"/>
      <c r="R59" s="27" t="s">
        <v>1988</v>
      </c>
      <c r="S59" s="29">
        <v>153914.6</v>
      </c>
      <c r="T59" s="29"/>
      <c r="U59" s="29">
        <v>153914.6</v>
      </c>
      <c r="V59" s="2"/>
      <c r="W59" s="72"/>
      <c r="X59" s="58"/>
      <c r="Y59" s="29"/>
      <c r="Z59" s="30"/>
      <c r="AD59" s="29"/>
    </row>
    <row r="60" hidden="1" customHeight="1" spans="1:30">
      <c r="A60" s="43" t="s">
        <v>1985</v>
      </c>
      <c r="B60" s="38">
        <v>44957</v>
      </c>
      <c r="C60" s="27" t="s">
        <v>646</v>
      </c>
      <c r="D60" s="44" t="s">
        <v>177</v>
      </c>
      <c r="E60" s="43" t="s">
        <v>1985</v>
      </c>
      <c r="F60" s="45" t="s">
        <v>641</v>
      </c>
      <c r="G60" s="45" t="s">
        <v>1899</v>
      </c>
      <c r="H60" s="45" t="s">
        <v>643</v>
      </c>
      <c r="I60" s="27" t="s">
        <v>1906</v>
      </c>
      <c r="J60" s="54" t="s">
        <v>1986</v>
      </c>
      <c r="K60" s="29" t="s">
        <v>350</v>
      </c>
      <c r="L60" s="55">
        <v>-3603</v>
      </c>
      <c r="M60" s="53">
        <f t="shared" si="0"/>
        <v>-3399.06</v>
      </c>
      <c r="N60" s="53">
        <f t="shared" si="1"/>
        <v>-203.94</v>
      </c>
      <c r="P60" s="29"/>
      <c r="Q60" s="27"/>
      <c r="R60" s="27" t="s">
        <v>748</v>
      </c>
      <c r="S60" s="29">
        <v>50000</v>
      </c>
      <c r="T60" s="29">
        <v>3000</v>
      </c>
      <c r="U60" s="29">
        <v>53000</v>
      </c>
      <c r="V60" s="2"/>
      <c r="W60" s="72"/>
      <c r="X60" s="58"/>
      <c r="Y60" s="29"/>
      <c r="Z60" s="30"/>
      <c r="AD60" s="29"/>
    </row>
    <row r="61" hidden="1" customHeight="1" spans="1:30">
      <c r="A61" s="43" t="s">
        <v>1985</v>
      </c>
      <c r="B61" s="38">
        <v>44957</v>
      </c>
      <c r="C61" s="27" t="s">
        <v>646</v>
      </c>
      <c r="D61" s="44" t="s">
        <v>177</v>
      </c>
      <c r="E61" s="43" t="s">
        <v>1985</v>
      </c>
      <c r="F61" s="45" t="s">
        <v>641</v>
      </c>
      <c r="G61" s="45" t="s">
        <v>1899</v>
      </c>
      <c r="H61" s="45" t="s">
        <v>643</v>
      </c>
      <c r="I61" s="27" t="s">
        <v>1906</v>
      </c>
      <c r="J61" s="54" t="s">
        <v>1986</v>
      </c>
      <c r="K61" s="29" t="s">
        <v>14</v>
      </c>
      <c r="L61" s="56">
        <v>3603</v>
      </c>
      <c r="M61" s="53">
        <f t="shared" si="0"/>
        <v>3399.06</v>
      </c>
      <c r="N61" s="53">
        <f t="shared" si="1"/>
        <v>203.94</v>
      </c>
      <c r="P61" s="29"/>
      <c r="Q61" s="27"/>
      <c r="R61" s="27" t="s">
        <v>1989</v>
      </c>
      <c r="S61" s="29">
        <v>1133.7</v>
      </c>
      <c r="T61" s="29"/>
      <c r="U61" s="29">
        <v>1133.7</v>
      </c>
      <c r="V61" s="2"/>
      <c r="W61" s="72"/>
      <c r="X61" s="58"/>
      <c r="Y61" s="29"/>
      <c r="Z61" s="30"/>
      <c r="AD61" s="29"/>
    </row>
    <row r="62" hidden="1" customHeight="1" spans="1:30">
      <c r="A62" s="43" t="s">
        <v>1985</v>
      </c>
      <c r="B62" s="38">
        <v>44957</v>
      </c>
      <c r="C62" s="27" t="s">
        <v>725</v>
      </c>
      <c r="D62" s="44" t="s">
        <v>177</v>
      </c>
      <c r="E62" s="43" t="s">
        <v>1985</v>
      </c>
      <c r="F62" s="45" t="s">
        <v>641</v>
      </c>
      <c r="G62" s="45" t="s">
        <v>1899</v>
      </c>
      <c r="H62" s="45" t="s">
        <v>643</v>
      </c>
      <c r="I62" s="27" t="s">
        <v>435</v>
      </c>
      <c r="J62" s="54" t="s">
        <v>1986</v>
      </c>
      <c r="K62" s="29" t="s">
        <v>166</v>
      </c>
      <c r="L62" s="56">
        <v>114226.1</v>
      </c>
      <c r="M62" s="53">
        <f t="shared" si="0"/>
        <v>107760.47</v>
      </c>
      <c r="N62" s="53">
        <f t="shared" si="1"/>
        <v>6465.63</v>
      </c>
      <c r="P62" s="29"/>
      <c r="Q62" s="27"/>
      <c r="R62" s="81" t="s">
        <v>1990</v>
      </c>
      <c r="S62" s="82">
        <v>419135</v>
      </c>
      <c r="T62" s="82"/>
      <c r="U62" s="82">
        <v>419135</v>
      </c>
      <c r="V62" s="2"/>
      <c r="W62" s="72"/>
      <c r="X62" s="58"/>
      <c r="Y62" s="29"/>
      <c r="Z62" s="30"/>
      <c r="AD62" s="29"/>
    </row>
    <row r="63" hidden="1" customHeight="1" spans="1:30">
      <c r="A63" s="43" t="s">
        <v>1985</v>
      </c>
      <c r="B63" s="38">
        <v>44957</v>
      </c>
      <c r="C63" s="27" t="s">
        <v>811</v>
      </c>
      <c r="D63" s="44" t="s">
        <v>177</v>
      </c>
      <c r="E63" s="43" t="s">
        <v>1985</v>
      </c>
      <c r="F63" s="45" t="s">
        <v>641</v>
      </c>
      <c r="G63" s="45" t="s">
        <v>1901</v>
      </c>
      <c r="H63" s="45" t="s">
        <v>643</v>
      </c>
      <c r="I63" s="27" t="s">
        <v>435</v>
      </c>
      <c r="J63" s="54" t="s">
        <v>1986</v>
      </c>
      <c r="K63" s="29" t="s">
        <v>166</v>
      </c>
      <c r="L63" s="56">
        <v>79740.17</v>
      </c>
      <c r="M63" s="53">
        <f t="shared" si="0"/>
        <v>75226.58</v>
      </c>
      <c r="N63" s="53">
        <f t="shared" si="1"/>
        <v>4513.59</v>
      </c>
      <c r="P63" s="29"/>
      <c r="Q63" s="27"/>
      <c r="R63" s="27" t="s">
        <v>1991</v>
      </c>
      <c r="S63" s="29">
        <v>-282.1</v>
      </c>
      <c r="T63" s="29"/>
      <c r="U63" s="29">
        <v>-282.1</v>
      </c>
      <c r="V63" s="2"/>
      <c r="W63" s="72"/>
      <c r="X63" s="58"/>
      <c r="Y63" s="29"/>
      <c r="Z63" s="30"/>
      <c r="AD63" s="29"/>
    </row>
    <row r="64" customHeight="1" spans="1:30">
      <c r="A64" s="43" t="s">
        <v>1985</v>
      </c>
      <c r="B64" s="38">
        <v>44957</v>
      </c>
      <c r="C64" s="27" t="s">
        <v>811</v>
      </c>
      <c r="D64" s="44" t="s">
        <v>177</v>
      </c>
      <c r="E64" s="43" t="s">
        <v>1985</v>
      </c>
      <c r="F64" s="45" t="s">
        <v>641</v>
      </c>
      <c r="G64" s="45" t="s">
        <v>1899</v>
      </c>
      <c r="H64" s="45" t="s">
        <v>643</v>
      </c>
      <c r="I64" s="27" t="s">
        <v>435</v>
      </c>
      <c r="J64" s="54" t="s">
        <v>1986</v>
      </c>
      <c r="K64" s="29" t="s">
        <v>166</v>
      </c>
      <c r="L64" s="56">
        <v>-204425.37</v>
      </c>
      <c r="M64" s="53">
        <f t="shared" si="0"/>
        <v>-192854.12</v>
      </c>
      <c r="N64" s="53">
        <f t="shared" si="1"/>
        <v>-11571.25</v>
      </c>
      <c r="P64" s="29"/>
      <c r="Q64" s="27"/>
      <c r="R64" s="27" t="s">
        <v>646</v>
      </c>
      <c r="S64" s="29">
        <v>3000</v>
      </c>
      <c r="T64" s="29">
        <v>50000</v>
      </c>
      <c r="U64" s="29">
        <v>53000</v>
      </c>
      <c r="V64" s="2"/>
      <c r="W64" s="72"/>
      <c r="X64" s="58"/>
      <c r="Y64" s="29"/>
      <c r="Z64" s="30"/>
      <c r="AD64" s="29"/>
    </row>
    <row r="65" hidden="1" customHeight="1" spans="1:30">
      <c r="A65" s="44" t="s">
        <v>637</v>
      </c>
      <c r="B65" s="86">
        <v>44985</v>
      </c>
      <c r="C65" s="44" t="s">
        <v>646</v>
      </c>
      <c r="D65" s="44" t="s">
        <v>740</v>
      </c>
      <c r="E65" s="44" t="s">
        <v>640</v>
      </c>
      <c r="F65" s="44" t="s">
        <v>641</v>
      </c>
      <c r="G65" s="44" t="s">
        <v>1899</v>
      </c>
      <c r="H65" s="44" t="s">
        <v>650</v>
      </c>
      <c r="I65" s="44" t="s">
        <v>1936</v>
      </c>
      <c r="J65" s="44" t="s">
        <v>656</v>
      </c>
      <c r="K65" s="44" t="s">
        <v>13</v>
      </c>
      <c r="L65" s="48">
        <v>60000</v>
      </c>
      <c r="M65" s="48">
        <v>56603.77</v>
      </c>
      <c r="N65" s="48">
        <v>3396.23</v>
      </c>
      <c r="O65" s="44" t="s">
        <v>1992</v>
      </c>
      <c r="P65" s="29"/>
      <c r="Q65" s="27"/>
      <c r="R65" s="81" t="s">
        <v>1993</v>
      </c>
      <c r="S65" s="82">
        <v>765471.95</v>
      </c>
      <c r="T65" s="82"/>
      <c r="U65" s="82">
        <v>765471.95</v>
      </c>
      <c r="V65" s="2"/>
      <c r="W65" s="72"/>
      <c r="X65" s="58"/>
      <c r="Y65" s="29"/>
      <c r="Z65" s="30"/>
      <c r="AD65" s="29"/>
    </row>
    <row r="66" hidden="1" customHeight="1" spans="1:30">
      <c r="A66" s="44" t="s">
        <v>637</v>
      </c>
      <c r="B66" s="86">
        <v>44985</v>
      </c>
      <c r="C66" s="44" t="s">
        <v>646</v>
      </c>
      <c r="D66" s="44" t="s">
        <v>1915</v>
      </c>
      <c r="E66" s="44" t="s">
        <v>640</v>
      </c>
      <c r="F66" s="44" t="s">
        <v>641</v>
      </c>
      <c r="G66" s="44" t="s">
        <v>1899</v>
      </c>
      <c r="H66" s="44" t="s">
        <v>643</v>
      </c>
      <c r="I66" s="44" t="s">
        <v>441</v>
      </c>
      <c r="J66" s="44" t="s">
        <v>656</v>
      </c>
      <c r="K66" s="44" t="s">
        <v>14</v>
      </c>
      <c r="L66" s="48">
        <v>45470.1</v>
      </c>
      <c r="M66" s="48">
        <v>42896.32</v>
      </c>
      <c r="N66" s="48">
        <v>2573.78</v>
      </c>
      <c r="O66" s="44" t="s">
        <v>1994</v>
      </c>
      <c r="P66" s="29"/>
      <c r="Q66" s="27"/>
      <c r="R66" s="79" t="s">
        <v>1995</v>
      </c>
      <c r="S66" s="80">
        <v>2456656.98</v>
      </c>
      <c r="T66" s="80"/>
      <c r="U66" s="80">
        <v>2456656.98</v>
      </c>
      <c r="V66" s="2"/>
      <c r="W66" s="72"/>
      <c r="X66" s="58"/>
      <c r="Y66" s="29"/>
      <c r="Z66" s="30"/>
      <c r="AD66" s="29"/>
    </row>
    <row r="67" hidden="1" customHeight="1" spans="1:30">
      <c r="A67" s="44" t="s">
        <v>637</v>
      </c>
      <c r="B67" s="86">
        <v>44985</v>
      </c>
      <c r="C67" s="44" t="s">
        <v>646</v>
      </c>
      <c r="D67" s="44" t="s">
        <v>740</v>
      </c>
      <c r="E67" s="44" t="s">
        <v>640</v>
      </c>
      <c r="F67" s="44" t="s">
        <v>641</v>
      </c>
      <c r="G67" s="44" t="s">
        <v>1899</v>
      </c>
      <c r="H67" s="44" t="s">
        <v>650</v>
      </c>
      <c r="I67" s="44" t="s">
        <v>1934</v>
      </c>
      <c r="J67" s="44" t="s">
        <v>656</v>
      </c>
      <c r="K67" s="44" t="s">
        <v>13</v>
      </c>
      <c r="L67" s="48">
        <v>21200</v>
      </c>
      <c r="M67" s="48">
        <v>20000</v>
      </c>
      <c r="N67" s="48">
        <v>1200</v>
      </c>
      <c r="O67" s="44" t="s">
        <v>1996</v>
      </c>
      <c r="P67" s="29"/>
      <c r="Q67" s="27"/>
      <c r="R67" s="27" t="s">
        <v>1997</v>
      </c>
      <c r="T67" s="29">
        <v>50000</v>
      </c>
      <c r="U67" s="29">
        <v>50000</v>
      </c>
      <c r="V67" s="2"/>
      <c r="W67" s="72"/>
      <c r="X67" s="58"/>
      <c r="Y67" s="27"/>
      <c r="Z67" s="30"/>
      <c r="AD67" s="29"/>
    </row>
    <row r="68" hidden="1" customHeight="1" spans="1:30">
      <c r="A68" s="44" t="s">
        <v>637</v>
      </c>
      <c r="B68" s="86">
        <v>44985</v>
      </c>
      <c r="C68" s="44" t="s">
        <v>646</v>
      </c>
      <c r="D68" s="44" t="s">
        <v>726</v>
      </c>
      <c r="E68" s="44" t="s">
        <v>640</v>
      </c>
      <c r="F68" s="44" t="s">
        <v>641</v>
      </c>
      <c r="G68" s="44" t="s">
        <v>1899</v>
      </c>
      <c r="H68" s="44" t="s">
        <v>650</v>
      </c>
      <c r="I68" s="44" t="s">
        <v>1938</v>
      </c>
      <c r="J68" s="44" t="s">
        <v>656</v>
      </c>
      <c r="K68" s="44" t="s">
        <v>14</v>
      </c>
      <c r="L68" s="48">
        <v>21938.91</v>
      </c>
      <c r="M68" s="48">
        <v>20697.08</v>
      </c>
      <c r="N68" s="48">
        <v>1241.83</v>
      </c>
      <c r="O68" s="44" t="s">
        <v>1998</v>
      </c>
      <c r="P68" s="29"/>
      <c r="Q68" s="27"/>
      <c r="R68" s="27" t="s">
        <v>1999</v>
      </c>
      <c r="T68" s="29">
        <v>-5033.97</v>
      </c>
      <c r="U68" s="29">
        <v>-5033.97</v>
      </c>
      <c r="V68" s="2"/>
      <c r="W68" s="72"/>
      <c r="X68" s="58"/>
      <c r="Y68" s="27"/>
      <c r="Z68" s="30"/>
      <c r="AD68" s="29"/>
    </row>
    <row r="69" hidden="1" customHeight="1" spans="1:30">
      <c r="A69" s="44" t="s">
        <v>637</v>
      </c>
      <c r="B69" s="86">
        <v>44985</v>
      </c>
      <c r="C69" s="44" t="s">
        <v>646</v>
      </c>
      <c r="D69" s="44" t="s">
        <v>740</v>
      </c>
      <c r="E69" s="44" t="s">
        <v>640</v>
      </c>
      <c r="F69" s="44" t="s">
        <v>641</v>
      </c>
      <c r="G69" s="44" t="s">
        <v>1899</v>
      </c>
      <c r="H69" s="44" t="s">
        <v>643</v>
      </c>
      <c r="I69" s="44" t="s">
        <v>779</v>
      </c>
      <c r="J69" s="44" t="s">
        <v>656</v>
      </c>
      <c r="K69" s="44" t="s">
        <v>14</v>
      </c>
      <c r="L69" s="48">
        <v>65248.84</v>
      </c>
      <c r="M69" s="48">
        <v>61555.51</v>
      </c>
      <c r="N69" s="48">
        <v>3693.33</v>
      </c>
      <c r="O69" s="44" t="s">
        <v>2000</v>
      </c>
      <c r="P69" s="29"/>
      <c r="Q69" s="27"/>
      <c r="R69" s="27" t="s">
        <v>128</v>
      </c>
      <c r="S69" s="29">
        <v>-69.5</v>
      </c>
      <c r="T69" s="29"/>
      <c r="U69" s="29">
        <v>-69.5</v>
      </c>
      <c r="V69" s="2"/>
      <c r="W69" s="72"/>
      <c r="X69" s="29"/>
      <c r="Y69" s="27"/>
      <c r="Z69" s="30"/>
      <c r="AD69" s="29"/>
    </row>
    <row r="70" hidden="1" customHeight="1" spans="1:30">
      <c r="A70" s="44" t="s">
        <v>637</v>
      </c>
      <c r="B70" s="86">
        <v>44985</v>
      </c>
      <c r="C70" s="44" t="s">
        <v>646</v>
      </c>
      <c r="D70" s="44" t="s">
        <v>726</v>
      </c>
      <c r="E70" s="44" t="s">
        <v>640</v>
      </c>
      <c r="F70" s="44" t="s">
        <v>641</v>
      </c>
      <c r="G70" s="44" t="s">
        <v>1899</v>
      </c>
      <c r="H70" s="44" t="s">
        <v>643</v>
      </c>
      <c r="I70" s="44" t="s">
        <v>466</v>
      </c>
      <c r="J70" s="44" t="s">
        <v>656</v>
      </c>
      <c r="K70" s="44" t="s">
        <v>14</v>
      </c>
      <c r="L70" s="48">
        <v>-32700</v>
      </c>
      <c r="M70" s="48">
        <v>-30849.06</v>
      </c>
      <c r="N70" s="48">
        <v>-1850.94</v>
      </c>
      <c r="O70" s="44" t="s">
        <v>2001</v>
      </c>
      <c r="P70" s="29"/>
      <c r="Q70" s="27"/>
      <c r="R70" s="27" t="s">
        <v>429</v>
      </c>
      <c r="S70" s="29">
        <v>1103966.61</v>
      </c>
      <c r="T70" s="29">
        <v>219683.59</v>
      </c>
      <c r="U70" s="29">
        <v>1323650.2</v>
      </c>
      <c r="V70" s="2"/>
      <c r="W70" s="72"/>
      <c r="X70" s="29"/>
      <c r="Y70" s="27"/>
      <c r="Z70" s="30"/>
      <c r="AD70" s="29"/>
    </row>
    <row r="71" hidden="1" customHeight="1" spans="1:30">
      <c r="A71" s="44" t="s">
        <v>637</v>
      </c>
      <c r="B71" s="86">
        <v>44985</v>
      </c>
      <c r="C71" s="44" t="s">
        <v>646</v>
      </c>
      <c r="D71" s="44" t="s">
        <v>1902</v>
      </c>
      <c r="E71" s="44" t="s">
        <v>1898</v>
      </c>
      <c r="F71" s="44" t="s">
        <v>641</v>
      </c>
      <c r="G71" s="44" t="s">
        <v>1899</v>
      </c>
      <c r="H71" s="44" t="s">
        <v>697</v>
      </c>
      <c r="I71" s="44" t="s">
        <v>436</v>
      </c>
      <c r="J71" s="44" t="s">
        <v>644</v>
      </c>
      <c r="K71" s="44" t="s">
        <v>350</v>
      </c>
      <c r="L71" s="48">
        <v>47807.11</v>
      </c>
      <c r="M71" s="48">
        <v>45101.05</v>
      </c>
      <c r="N71" s="48">
        <v>2706.06</v>
      </c>
      <c r="O71" s="44" t="s">
        <v>2002</v>
      </c>
      <c r="P71" s="29"/>
      <c r="Q71" s="27"/>
      <c r="R71" s="27" t="s">
        <v>2003</v>
      </c>
      <c r="T71" s="29">
        <v>1350000</v>
      </c>
      <c r="U71" s="29">
        <v>1350000</v>
      </c>
      <c r="V71"/>
      <c r="W71" s="57"/>
      <c r="X71" s="29"/>
      <c r="Y71" s="27"/>
      <c r="Z71" s="30"/>
      <c r="AD71" s="29"/>
    </row>
    <row r="72" hidden="1" customHeight="1" spans="1:30">
      <c r="A72" s="44" t="s">
        <v>637</v>
      </c>
      <c r="B72" s="86">
        <v>44985</v>
      </c>
      <c r="C72" s="44" t="s">
        <v>646</v>
      </c>
      <c r="D72" s="44" t="s">
        <v>726</v>
      </c>
      <c r="E72" s="44" t="s">
        <v>1898</v>
      </c>
      <c r="F72" s="44" t="s">
        <v>641</v>
      </c>
      <c r="G72" s="44" t="s">
        <v>1899</v>
      </c>
      <c r="H72" s="44" t="s">
        <v>643</v>
      </c>
      <c r="I72" s="44" t="s">
        <v>1906</v>
      </c>
      <c r="J72" s="44" t="s">
        <v>644</v>
      </c>
      <c r="K72" s="44" t="s">
        <v>14</v>
      </c>
      <c r="L72" s="48">
        <v>71562.6</v>
      </c>
      <c r="M72" s="48">
        <v>67511.89</v>
      </c>
      <c r="N72" s="48">
        <v>4050.71</v>
      </c>
      <c r="O72" s="44" t="s">
        <v>2004</v>
      </c>
      <c r="P72" s="29"/>
      <c r="Q72" s="27"/>
      <c r="R72" s="27" t="s">
        <v>2005</v>
      </c>
      <c r="S72" s="29">
        <v>-32784.98</v>
      </c>
      <c r="T72" s="29"/>
      <c r="U72" s="29">
        <v>-32784.98</v>
      </c>
      <c r="V72"/>
      <c r="W72" s="57"/>
      <c r="X72" s="29"/>
      <c r="Y72" s="27"/>
      <c r="Z72" s="30"/>
      <c r="AD72" s="29"/>
    </row>
    <row r="73" hidden="1" customHeight="1" spans="1:30">
      <c r="A73" s="44" t="s">
        <v>637</v>
      </c>
      <c r="B73" s="86">
        <v>44985</v>
      </c>
      <c r="C73" s="44" t="s">
        <v>646</v>
      </c>
      <c r="D73" s="44" t="s">
        <v>1902</v>
      </c>
      <c r="E73" s="44" t="s">
        <v>1898</v>
      </c>
      <c r="F73" s="44" t="s">
        <v>641</v>
      </c>
      <c r="G73" s="44" t="s">
        <v>1899</v>
      </c>
      <c r="H73" s="44" t="s">
        <v>643</v>
      </c>
      <c r="I73" s="44" t="s">
        <v>466</v>
      </c>
      <c r="J73" s="44" t="s">
        <v>656</v>
      </c>
      <c r="K73" s="44" t="s">
        <v>14</v>
      </c>
      <c r="L73" s="48">
        <v>263.4</v>
      </c>
      <c r="M73" s="48">
        <v>248.49</v>
      </c>
      <c r="N73" s="48">
        <v>14.91</v>
      </c>
      <c r="O73" s="44" t="s">
        <v>2006</v>
      </c>
      <c r="P73" s="29"/>
      <c r="Q73" s="27"/>
      <c r="R73" s="27" t="s">
        <v>2007</v>
      </c>
      <c r="S73" s="29">
        <v>79123.4</v>
      </c>
      <c r="T73" s="29"/>
      <c r="U73" s="29">
        <v>79123.4</v>
      </c>
      <c r="V73"/>
      <c r="W73" s="57"/>
      <c r="X73" s="29"/>
      <c r="Y73" s="27"/>
      <c r="Z73" s="30"/>
      <c r="AD73" s="29"/>
    </row>
    <row r="74" hidden="1" customHeight="1" spans="1:30">
      <c r="A74" s="44" t="s">
        <v>637</v>
      </c>
      <c r="B74" s="86">
        <v>44985</v>
      </c>
      <c r="C74" s="44" t="s">
        <v>646</v>
      </c>
      <c r="D74" s="44" t="s">
        <v>726</v>
      </c>
      <c r="E74" s="44" t="s">
        <v>1898</v>
      </c>
      <c r="F74" s="44" t="s">
        <v>641</v>
      </c>
      <c r="G74" s="44" t="s">
        <v>1899</v>
      </c>
      <c r="H74" s="44" t="s">
        <v>650</v>
      </c>
      <c r="I74" s="44" t="s">
        <v>461</v>
      </c>
      <c r="J74" s="44" t="s">
        <v>656</v>
      </c>
      <c r="K74" s="44" t="s">
        <v>14</v>
      </c>
      <c r="L74" s="48">
        <v>29212.28</v>
      </c>
      <c r="M74" s="48">
        <v>27558.75</v>
      </c>
      <c r="N74" s="48">
        <v>1653.53</v>
      </c>
      <c r="O74" s="44" t="s">
        <v>2008</v>
      </c>
      <c r="P74" s="29"/>
      <c r="Q74" s="27"/>
      <c r="R74" s="27" t="s">
        <v>794</v>
      </c>
      <c r="S74" s="29">
        <v>205856.79</v>
      </c>
      <c r="T74" s="29"/>
      <c r="U74" s="29">
        <v>205856.79</v>
      </c>
      <c r="V74"/>
      <c r="W74" s="57"/>
      <c r="X74" s="29"/>
      <c r="Y74" s="27"/>
      <c r="Z74" s="30"/>
      <c r="AD74" s="29"/>
    </row>
    <row r="75" hidden="1" customHeight="1" spans="1:30">
      <c r="A75" s="44" t="s">
        <v>637</v>
      </c>
      <c r="B75" s="86">
        <v>44985</v>
      </c>
      <c r="C75" s="44" t="s">
        <v>646</v>
      </c>
      <c r="D75" s="44" t="s">
        <v>726</v>
      </c>
      <c r="E75" s="44" t="s">
        <v>1898</v>
      </c>
      <c r="F75" s="44" t="s">
        <v>641</v>
      </c>
      <c r="G75" s="44" t="s">
        <v>1899</v>
      </c>
      <c r="H75" s="44" t="s">
        <v>697</v>
      </c>
      <c r="I75" s="44" t="s">
        <v>1908</v>
      </c>
      <c r="J75" s="44" t="s">
        <v>656</v>
      </c>
      <c r="K75" s="44" t="s">
        <v>350</v>
      </c>
      <c r="L75" s="48">
        <v>7508.54</v>
      </c>
      <c r="M75" s="48">
        <v>7083.53</v>
      </c>
      <c r="N75" s="48">
        <v>425.01</v>
      </c>
      <c r="O75" s="44" t="s">
        <v>2009</v>
      </c>
      <c r="P75" s="29"/>
      <c r="Q75" s="27"/>
      <c r="R75" s="27" t="s">
        <v>2010</v>
      </c>
      <c r="S75" s="29">
        <v>449612.68</v>
      </c>
      <c r="T75" s="29"/>
      <c r="U75" s="29">
        <v>449612.68</v>
      </c>
      <c r="V75"/>
      <c r="W75" s="57"/>
      <c r="X75" s="29"/>
      <c r="Y75" s="27"/>
      <c r="Z75" s="30"/>
      <c r="AD75" s="29"/>
    </row>
    <row r="76" hidden="1" customHeight="1" spans="1:30">
      <c r="A76" s="44" t="s">
        <v>637</v>
      </c>
      <c r="B76" s="86">
        <v>44985</v>
      </c>
      <c r="C76" s="44" t="s">
        <v>700</v>
      </c>
      <c r="D76" s="44" t="s">
        <v>1902</v>
      </c>
      <c r="E76" s="44" t="s">
        <v>640</v>
      </c>
      <c r="F76" s="44" t="s">
        <v>641</v>
      </c>
      <c r="G76" s="44" t="s">
        <v>1901</v>
      </c>
      <c r="H76" s="44" t="s">
        <v>650</v>
      </c>
      <c r="I76" s="44" t="s">
        <v>442</v>
      </c>
      <c r="J76" s="44" t="s">
        <v>656</v>
      </c>
      <c r="K76" s="44" t="s">
        <v>14</v>
      </c>
      <c r="L76" s="48">
        <v>4203.37</v>
      </c>
      <c r="M76" s="48">
        <v>3965.44</v>
      </c>
      <c r="N76" s="48">
        <v>237.93</v>
      </c>
      <c r="O76" s="44" t="s">
        <v>2011</v>
      </c>
      <c r="P76" s="29"/>
      <c r="Q76" s="27"/>
      <c r="R76" s="27" t="s">
        <v>2012</v>
      </c>
      <c r="S76" s="29">
        <v>0.77</v>
      </c>
      <c r="T76" s="29"/>
      <c r="U76" s="29">
        <v>0.77</v>
      </c>
      <c r="V76"/>
      <c r="W76" s="57"/>
      <c r="X76" s="29"/>
      <c r="Y76" s="27"/>
      <c r="Z76" s="30"/>
      <c r="AD76" s="29"/>
    </row>
    <row r="77" hidden="1" customHeight="1" spans="1:30">
      <c r="A77" s="44" t="s">
        <v>637</v>
      </c>
      <c r="B77" s="86">
        <v>44985</v>
      </c>
      <c r="C77" s="44" t="s">
        <v>646</v>
      </c>
      <c r="D77" s="44" t="s">
        <v>1284</v>
      </c>
      <c r="E77" s="44" t="s">
        <v>1898</v>
      </c>
      <c r="F77" s="44" t="s">
        <v>641</v>
      </c>
      <c r="G77" s="44" t="s">
        <v>1899</v>
      </c>
      <c r="H77" s="44" t="s">
        <v>643</v>
      </c>
      <c r="I77" s="44" t="s">
        <v>466</v>
      </c>
      <c r="J77" s="44" t="s">
        <v>656</v>
      </c>
      <c r="K77" s="44" t="s">
        <v>14</v>
      </c>
      <c r="L77" s="48">
        <v>20972.27</v>
      </c>
      <c r="M77" s="48">
        <v>19785.16</v>
      </c>
      <c r="N77" s="48">
        <v>1187.11</v>
      </c>
      <c r="O77" s="44" t="s">
        <v>2013</v>
      </c>
      <c r="P77" s="29"/>
      <c r="Q77" s="27"/>
      <c r="R77" s="27" t="s">
        <v>2014</v>
      </c>
      <c r="S77" s="29">
        <v>88000</v>
      </c>
      <c r="T77" s="29"/>
      <c r="U77" s="29">
        <v>88000</v>
      </c>
      <c r="V77"/>
      <c r="W77" s="57"/>
      <c r="X77" s="29"/>
      <c r="Y77" s="27"/>
      <c r="Z77" s="30"/>
      <c r="AD77" s="29"/>
    </row>
    <row r="78" hidden="1" customHeight="1" spans="1:30">
      <c r="A78" s="44" t="s">
        <v>637</v>
      </c>
      <c r="B78" s="86">
        <v>44985</v>
      </c>
      <c r="C78" s="44" t="s">
        <v>646</v>
      </c>
      <c r="D78" s="44" t="s">
        <v>740</v>
      </c>
      <c r="E78" s="44" t="s">
        <v>1898</v>
      </c>
      <c r="F78" s="44" t="s">
        <v>641</v>
      </c>
      <c r="G78" s="44" t="s">
        <v>1899</v>
      </c>
      <c r="H78" s="44" t="s">
        <v>643</v>
      </c>
      <c r="I78" s="44" t="s">
        <v>466</v>
      </c>
      <c r="J78" s="44" t="s">
        <v>656</v>
      </c>
      <c r="K78" s="44" t="s">
        <v>14</v>
      </c>
      <c r="L78" s="48">
        <v>202564.54</v>
      </c>
      <c r="M78" s="48">
        <v>191098.62</v>
      </c>
      <c r="N78" s="48">
        <v>11465.92</v>
      </c>
      <c r="O78" s="44" t="s">
        <v>2015</v>
      </c>
      <c r="P78" s="29"/>
      <c r="Q78" s="27"/>
      <c r="R78" s="27" t="s">
        <v>2016</v>
      </c>
      <c r="T78" s="29">
        <v>80354.7</v>
      </c>
      <c r="U78" s="29">
        <v>80354.7</v>
      </c>
      <c r="V78"/>
      <c r="W78" s="57"/>
      <c r="X78" s="29"/>
      <c r="Y78" s="27"/>
      <c r="Z78" s="30"/>
      <c r="AD78" s="29"/>
    </row>
    <row r="79" hidden="1" customHeight="1" spans="1:30">
      <c r="A79" s="44" t="s">
        <v>637</v>
      </c>
      <c r="B79" s="86">
        <v>44985</v>
      </c>
      <c r="C79" s="44" t="s">
        <v>646</v>
      </c>
      <c r="D79" s="44" t="s">
        <v>1902</v>
      </c>
      <c r="E79" s="44" t="s">
        <v>1898</v>
      </c>
      <c r="F79" s="44" t="s">
        <v>641</v>
      </c>
      <c r="G79" s="44" t="s">
        <v>1899</v>
      </c>
      <c r="H79" s="44" t="s">
        <v>643</v>
      </c>
      <c r="I79" s="44" t="s">
        <v>466</v>
      </c>
      <c r="J79" s="44" t="s">
        <v>656</v>
      </c>
      <c r="K79" s="44" t="s">
        <v>14</v>
      </c>
      <c r="L79" s="48">
        <v>20432.03</v>
      </c>
      <c r="M79" s="48">
        <v>19275.5</v>
      </c>
      <c r="N79" s="48">
        <v>1156.53</v>
      </c>
      <c r="O79" s="44" t="s">
        <v>2017</v>
      </c>
      <c r="P79" s="29"/>
      <c r="Q79" s="27" t="s">
        <v>165</v>
      </c>
      <c r="R79" s="27"/>
      <c r="S79" s="29">
        <v>6345.62</v>
      </c>
      <c r="T79" s="29"/>
      <c r="U79" s="29">
        <v>6345.62</v>
      </c>
      <c r="V79"/>
      <c r="W79" s="57"/>
      <c r="X79" s="29"/>
      <c r="Y79" s="27"/>
      <c r="Z79" s="30"/>
      <c r="AD79" s="29"/>
    </row>
    <row r="80" hidden="1" customHeight="1" spans="1:30">
      <c r="A80" s="44" t="s">
        <v>637</v>
      </c>
      <c r="B80" s="86">
        <v>44985</v>
      </c>
      <c r="C80" s="44" t="s">
        <v>646</v>
      </c>
      <c r="D80" s="44" t="s">
        <v>726</v>
      </c>
      <c r="E80" s="44" t="s">
        <v>1898</v>
      </c>
      <c r="F80" s="44" t="s">
        <v>641</v>
      </c>
      <c r="G80" s="44" t="s">
        <v>1899</v>
      </c>
      <c r="H80" s="44" t="s">
        <v>643</v>
      </c>
      <c r="I80" s="44" t="s">
        <v>466</v>
      </c>
      <c r="J80" s="44" t="s">
        <v>656</v>
      </c>
      <c r="K80" s="44" t="s">
        <v>14</v>
      </c>
      <c r="L80" s="48">
        <v>476530.16</v>
      </c>
      <c r="M80" s="48">
        <v>449556.75</v>
      </c>
      <c r="N80" s="48">
        <v>26973.41</v>
      </c>
      <c r="O80" s="44" t="s">
        <v>2018</v>
      </c>
      <c r="P80" s="29"/>
      <c r="Q80" s="27"/>
      <c r="R80" s="27" t="s">
        <v>466</v>
      </c>
      <c r="S80" s="29">
        <v>0</v>
      </c>
      <c r="T80" s="29"/>
      <c r="U80" s="29">
        <v>0</v>
      </c>
      <c r="V80"/>
      <c r="W80" s="57"/>
      <c r="X80" s="29"/>
      <c r="Y80" s="27"/>
      <c r="Z80" s="30"/>
      <c r="AD80" s="29"/>
    </row>
    <row r="81" hidden="1" customHeight="1" spans="1:30">
      <c r="A81" s="44" t="s">
        <v>637</v>
      </c>
      <c r="B81" s="86">
        <v>44985</v>
      </c>
      <c r="C81" s="44" t="s">
        <v>715</v>
      </c>
      <c r="D81" s="44" t="s">
        <v>733</v>
      </c>
      <c r="E81" s="44" t="s">
        <v>640</v>
      </c>
      <c r="F81" s="44" t="s">
        <v>641</v>
      </c>
      <c r="G81" s="44" t="s">
        <v>1899</v>
      </c>
      <c r="H81" s="44" t="s">
        <v>643</v>
      </c>
      <c r="I81" s="44" t="s">
        <v>430</v>
      </c>
      <c r="J81" s="44" t="s">
        <v>644</v>
      </c>
      <c r="K81" s="44" t="s">
        <v>14</v>
      </c>
      <c r="L81" s="48">
        <v>376136.32</v>
      </c>
      <c r="M81" s="48">
        <v>354845.58</v>
      </c>
      <c r="N81" s="48">
        <v>21290.74</v>
      </c>
      <c r="O81" s="44" t="s">
        <v>2019</v>
      </c>
      <c r="P81" s="29"/>
      <c r="Q81" s="27"/>
      <c r="R81" s="27" t="s">
        <v>737</v>
      </c>
      <c r="S81" s="29">
        <v>6345.62</v>
      </c>
      <c r="T81" s="29"/>
      <c r="U81" s="29">
        <v>6345.62</v>
      </c>
      <c r="V81"/>
      <c r="W81" s="57"/>
      <c r="X81" s="29"/>
      <c r="Y81" s="27"/>
      <c r="Z81" s="30"/>
      <c r="AD81" s="29"/>
    </row>
    <row r="82" hidden="1" customHeight="1" spans="1:30">
      <c r="A82" s="44" t="s">
        <v>637</v>
      </c>
      <c r="B82" s="86">
        <v>44985</v>
      </c>
      <c r="C82" s="44" t="s">
        <v>700</v>
      </c>
      <c r="D82" s="44" t="s">
        <v>1902</v>
      </c>
      <c r="E82" s="44" t="s">
        <v>1898</v>
      </c>
      <c r="F82" s="44" t="s">
        <v>641</v>
      </c>
      <c r="G82" s="44" t="s">
        <v>1899</v>
      </c>
      <c r="H82" s="44" t="s">
        <v>650</v>
      </c>
      <c r="I82" s="44" t="s">
        <v>442</v>
      </c>
      <c r="J82" s="44" t="s">
        <v>656</v>
      </c>
      <c r="K82" s="44" t="s">
        <v>14</v>
      </c>
      <c r="L82" s="48">
        <v>48886.89</v>
      </c>
      <c r="M82" s="48">
        <v>46119.71</v>
      </c>
      <c r="N82" s="48">
        <v>2767.18</v>
      </c>
      <c r="O82" s="44" t="s">
        <v>2020</v>
      </c>
      <c r="P82" s="29"/>
      <c r="Q82" s="27" t="s">
        <v>13</v>
      </c>
      <c r="R82" s="27"/>
      <c r="S82" s="29">
        <v>923202.8</v>
      </c>
      <c r="T82" s="29">
        <v>105646.28</v>
      </c>
      <c r="U82" s="29">
        <v>1028849.08</v>
      </c>
      <c r="V82"/>
      <c r="W82" s="57"/>
      <c r="X82" s="29"/>
      <c r="Y82" s="27"/>
      <c r="Z82" s="30"/>
      <c r="AD82" s="29"/>
    </row>
    <row r="83" hidden="1" customHeight="1" spans="1:30">
      <c r="A83" s="44" t="s">
        <v>637</v>
      </c>
      <c r="B83" s="86">
        <v>44985</v>
      </c>
      <c r="C83" s="44" t="s">
        <v>700</v>
      </c>
      <c r="D83" s="44" t="s">
        <v>733</v>
      </c>
      <c r="E83" s="44" t="s">
        <v>640</v>
      </c>
      <c r="F83" s="44" t="s">
        <v>641</v>
      </c>
      <c r="G83" s="44" t="s">
        <v>1899</v>
      </c>
      <c r="H83" s="44" t="s">
        <v>643</v>
      </c>
      <c r="I83" s="44" t="s">
        <v>442</v>
      </c>
      <c r="J83" s="44" t="s">
        <v>656</v>
      </c>
      <c r="K83" s="44" t="s">
        <v>14</v>
      </c>
      <c r="L83" s="48">
        <v>26960.16</v>
      </c>
      <c r="M83" s="48">
        <v>25434.11</v>
      </c>
      <c r="N83" s="48">
        <v>1526.05</v>
      </c>
      <c r="O83" s="44" t="s">
        <v>2021</v>
      </c>
      <c r="P83" s="29"/>
      <c r="Q83" s="27"/>
      <c r="R83" s="27" t="s">
        <v>1936</v>
      </c>
      <c r="S83" s="29">
        <v>361374</v>
      </c>
      <c r="T83" s="29"/>
      <c r="U83" s="29">
        <v>361374</v>
      </c>
      <c r="V83"/>
      <c r="W83" s="57"/>
      <c r="X83" s="29"/>
      <c r="Y83" s="27"/>
      <c r="Z83" s="30"/>
      <c r="AD83" s="29"/>
    </row>
    <row r="84" hidden="1" customHeight="1" spans="1:30">
      <c r="A84" s="44" t="s">
        <v>637</v>
      </c>
      <c r="B84" s="86">
        <v>44985</v>
      </c>
      <c r="C84" s="44" t="s">
        <v>811</v>
      </c>
      <c r="D84" s="44" t="s">
        <v>653</v>
      </c>
      <c r="E84" s="44" t="s">
        <v>640</v>
      </c>
      <c r="F84" s="44" t="s">
        <v>641</v>
      </c>
      <c r="G84" s="44" t="s">
        <v>1901</v>
      </c>
      <c r="H84" s="44" t="s">
        <v>650</v>
      </c>
      <c r="I84" s="44" t="s">
        <v>433</v>
      </c>
      <c r="J84" s="44" t="s">
        <v>656</v>
      </c>
      <c r="K84" s="44" t="s">
        <v>166</v>
      </c>
      <c r="L84" s="48">
        <v>111.25</v>
      </c>
      <c r="M84" s="48">
        <v>104.95</v>
      </c>
      <c r="N84" s="48">
        <v>6.3</v>
      </c>
      <c r="O84" s="44" t="s">
        <v>2022</v>
      </c>
      <c r="P84" s="29"/>
      <c r="Q84" s="27"/>
      <c r="R84" s="27" t="s">
        <v>1934</v>
      </c>
      <c r="S84" s="29">
        <v>404864</v>
      </c>
      <c r="T84" s="29"/>
      <c r="U84" s="29">
        <v>404864</v>
      </c>
      <c r="V84"/>
      <c r="W84" s="57"/>
      <c r="X84" s="29"/>
      <c r="Y84" s="27"/>
      <c r="Z84" s="30"/>
      <c r="AD84" s="29"/>
    </row>
    <row r="85" hidden="1" customHeight="1" spans="1:30">
      <c r="A85" s="44" t="s">
        <v>637</v>
      </c>
      <c r="B85" s="86">
        <v>44985</v>
      </c>
      <c r="C85" s="44" t="s">
        <v>811</v>
      </c>
      <c r="D85" s="44" t="s">
        <v>653</v>
      </c>
      <c r="E85" s="44" t="s">
        <v>640</v>
      </c>
      <c r="F85" s="44" t="s">
        <v>641</v>
      </c>
      <c r="G85" s="44" t="s">
        <v>1899</v>
      </c>
      <c r="H85" s="44" t="s">
        <v>650</v>
      </c>
      <c r="I85" s="44" t="s">
        <v>1921</v>
      </c>
      <c r="J85" s="44" t="s">
        <v>656</v>
      </c>
      <c r="K85" s="44" t="s">
        <v>166</v>
      </c>
      <c r="L85" s="48">
        <v>289975.59</v>
      </c>
      <c r="M85" s="48">
        <v>273561.88</v>
      </c>
      <c r="N85" s="48">
        <v>16413.71</v>
      </c>
      <c r="O85" s="44" t="s">
        <v>2023</v>
      </c>
      <c r="P85" s="29"/>
      <c r="Q85" s="27"/>
      <c r="R85" s="27" t="s">
        <v>2024</v>
      </c>
      <c r="T85" s="29">
        <v>67487.86</v>
      </c>
      <c r="U85" s="29">
        <v>67487.86</v>
      </c>
      <c r="V85"/>
      <c r="W85" s="57"/>
      <c r="X85" s="29"/>
      <c r="Y85" s="27"/>
      <c r="Z85" s="30"/>
      <c r="AD85" s="29"/>
    </row>
    <row r="86" hidden="1" customHeight="1" spans="1:30">
      <c r="A86" s="44" t="s">
        <v>637</v>
      </c>
      <c r="B86" s="86">
        <v>44985</v>
      </c>
      <c r="C86" s="44" t="s">
        <v>811</v>
      </c>
      <c r="D86" s="44" t="s">
        <v>653</v>
      </c>
      <c r="E86" s="44" t="s">
        <v>640</v>
      </c>
      <c r="F86" s="44" t="s">
        <v>641</v>
      </c>
      <c r="G86" s="44" t="s">
        <v>1899</v>
      </c>
      <c r="H86" s="44" t="s">
        <v>643</v>
      </c>
      <c r="I86" s="44" t="s">
        <v>435</v>
      </c>
      <c r="J86" s="44" t="s">
        <v>656</v>
      </c>
      <c r="K86" s="44" t="s">
        <v>166</v>
      </c>
      <c r="L86" s="48">
        <v>-58.15</v>
      </c>
      <c r="M86" s="48">
        <v>-54.86</v>
      </c>
      <c r="N86" s="48">
        <v>-3.29</v>
      </c>
      <c r="O86" s="44" t="s">
        <v>2025</v>
      </c>
      <c r="P86" s="29"/>
      <c r="Q86" s="27"/>
      <c r="R86" s="27" t="s">
        <v>2026</v>
      </c>
      <c r="S86" s="29">
        <v>44520</v>
      </c>
      <c r="T86" s="29"/>
      <c r="U86" s="29">
        <v>44520</v>
      </c>
      <c r="V86"/>
      <c r="W86" s="57"/>
      <c r="X86" s="29"/>
      <c r="Y86" s="27"/>
      <c r="Z86" s="30"/>
      <c r="AD86" s="29"/>
    </row>
    <row r="87" hidden="1" customHeight="1" spans="1:30">
      <c r="A87" s="44" t="s">
        <v>637</v>
      </c>
      <c r="B87" s="86">
        <v>44985</v>
      </c>
      <c r="C87" s="44" t="s">
        <v>811</v>
      </c>
      <c r="D87" s="44" t="s">
        <v>653</v>
      </c>
      <c r="E87" s="44" t="s">
        <v>640</v>
      </c>
      <c r="F87" s="44" t="s">
        <v>641</v>
      </c>
      <c r="G87" s="44" t="s">
        <v>1899</v>
      </c>
      <c r="H87" s="44" t="s">
        <v>650</v>
      </c>
      <c r="I87" s="44" t="s">
        <v>433</v>
      </c>
      <c r="J87" s="44" t="s">
        <v>656</v>
      </c>
      <c r="K87" s="44" t="s">
        <v>166</v>
      </c>
      <c r="L87" s="48">
        <v>-11060.81</v>
      </c>
      <c r="M87" s="48">
        <v>-10434.73</v>
      </c>
      <c r="N87" s="48">
        <v>-626.08</v>
      </c>
      <c r="O87" s="44" t="s">
        <v>2027</v>
      </c>
      <c r="P87" s="29"/>
      <c r="Q87" s="27"/>
      <c r="R87" s="27" t="s">
        <v>2028</v>
      </c>
      <c r="S87" s="29">
        <v>112444.8</v>
      </c>
      <c r="T87" s="29">
        <v>35158.42</v>
      </c>
      <c r="U87" s="29">
        <v>147603.22</v>
      </c>
      <c r="V87"/>
      <c r="W87" s="57"/>
      <c r="X87" s="29"/>
      <c r="Y87" s="27"/>
      <c r="Z87" s="30"/>
      <c r="AD87" s="29"/>
    </row>
    <row r="88" hidden="1" customHeight="1" spans="1:30">
      <c r="A88" s="44" t="s">
        <v>637</v>
      </c>
      <c r="B88" s="86">
        <v>44985</v>
      </c>
      <c r="C88" s="44" t="s">
        <v>811</v>
      </c>
      <c r="D88" s="44" t="s">
        <v>653</v>
      </c>
      <c r="E88" s="44" t="s">
        <v>640</v>
      </c>
      <c r="F88" s="44" t="s">
        <v>641</v>
      </c>
      <c r="G88" s="44" t="s">
        <v>1899</v>
      </c>
      <c r="H88" s="44" t="s">
        <v>650</v>
      </c>
      <c r="I88" s="44" t="s">
        <v>433</v>
      </c>
      <c r="J88" s="44" t="s">
        <v>656</v>
      </c>
      <c r="K88" s="44" t="s">
        <v>166</v>
      </c>
      <c r="L88" s="48">
        <v>-1214.6</v>
      </c>
      <c r="M88" s="48">
        <v>-1145.85</v>
      </c>
      <c r="N88" s="48">
        <v>-68.75</v>
      </c>
      <c r="O88" s="44" t="s">
        <v>2029</v>
      </c>
      <c r="P88" s="29"/>
      <c r="Q88" s="27"/>
      <c r="R88" s="27" t="s">
        <v>2030</v>
      </c>
      <c r="T88" s="29">
        <v>3000</v>
      </c>
      <c r="U88" s="29">
        <v>3000</v>
      </c>
      <c r="V88"/>
      <c r="W88" s="57"/>
      <c r="X88" s="29"/>
      <c r="Y88" s="27"/>
      <c r="Z88" s="30"/>
      <c r="AD88" s="29"/>
    </row>
    <row r="89" hidden="1" customHeight="1" spans="1:30">
      <c r="A89" s="44" t="s">
        <v>637</v>
      </c>
      <c r="B89" s="86">
        <v>44985</v>
      </c>
      <c r="C89" s="44" t="s">
        <v>811</v>
      </c>
      <c r="D89" s="44" t="s">
        <v>653</v>
      </c>
      <c r="E89" s="44" t="s">
        <v>640</v>
      </c>
      <c r="F89" s="44" t="s">
        <v>641</v>
      </c>
      <c r="G89" s="44" t="s">
        <v>1901</v>
      </c>
      <c r="H89" s="44" t="s">
        <v>650</v>
      </c>
      <c r="I89" s="44" t="s">
        <v>433</v>
      </c>
      <c r="J89" s="44" t="s">
        <v>656</v>
      </c>
      <c r="K89" s="44" t="s">
        <v>166</v>
      </c>
      <c r="L89" s="48">
        <v>22956.62</v>
      </c>
      <c r="M89" s="48">
        <v>21657.19</v>
      </c>
      <c r="N89" s="48">
        <v>1299.43</v>
      </c>
      <c r="O89" s="44" t="s">
        <v>2031</v>
      </c>
      <c r="P89" s="29"/>
      <c r="Q89" s="27" t="s">
        <v>20</v>
      </c>
      <c r="R89" s="27"/>
      <c r="S89" s="29">
        <v>2606787.15</v>
      </c>
      <c r="T89" s="29">
        <v>253928.93</v>
      </c>
      <c r="U89" s="29">
        <v>2860716.08</v>
      </c>
      <c r="V89"/>
      <c r="W89" s="57"/>
      <c r="X89" s="29"/>
      <c r="Y89" s="27"/>
      <c r="Z89" s="30"/>
      <c r="AD89" s="29"/>
    </row>
    <row r="90" hidden="1" customHeight="1" spans="1:30">
      <c r="A90" s="44" t="s">
        <v>637</v>
      </c>
      <c r="B90" s="86">
        <v>44985</v>
      </c>
      <c r="C90" s="44" t="s">
        <v>811</v>
      </c>
      <c r="D90" s="44" t="s">
        <v>653</v>
      </c>
      <c r="E90" s="44" t="s">
        <v>640</v>
      </c>
      <c r="F90" s="44" t="s">
        <v>641</v>
      </c>
      <c r="G90" s="44" t="s">
        <v>1899</v>
      </c>
      <c r="H90" s="44" t="s">
        <v>650</v>
      </c>
      <c r="I90" s="44" t="s">
        <v>433</v>
      </c>
      <c r="J90" s="44" t="s">
        <v>656</v>
      </c>
      <c r="K90" s="44" t="s">
        <v>166</v>
      </c>
      <c r="L90" s="48">
        <v>38178.36</v>
      </c>
      <c r="M90" s="48">
        <v>36017.32</v>
      </c>
      <c r="N90" s="48">
        <v>2161.04</v>
      </c>
      <c r="O90" s="44" t="s">
        <v>2032</v>
      </c>
      <c r="P90" s="29"/>
      <c r="Q90" s="27"/>
      <c r="R90" s="27" t="s">
        <v>2033</v>
      </c>
      <c r="S90" s="29">
        <v>0</v>
      </c>
      <c r="T90" s="29"/>
      <c r="U90" s="29">
        <v>0</v>
      </c>
      <c r="V90"/>
      <c r="W90" s="57"/>
      <c r="X90" s="29"/>
      <c r="Y90" s="27"/>
      <c r="Z90" s="30"/>
      <c r="AD90" s="29"/>
    </row>
    <row r="91" hidden="1" customHeight="1" spans="1:30">
      <c r="A91" s="44" t="s">
        <v>637</v>
      </c>
      <c r="B91" s="86">
        <v>44985</v>
      </c>
      <c r="C91" s="44" t="s">
        <v>811</v>
      </c>
      <c r="D91" s="44" t="s">
        <v>653</v>
      </c>
      <c r="E91" s="44" t="s">
        <v>640</v>
      </c>
      <c r="F91" s="44" t="s">
        <v>641</v>
      </c>
      <c r="G91" s="44" t="s">
        <v>1901</v>
      </c>
      <c r="H91" s="44" t="s">
        <v>650</v>
      </c>
      <c r="I91" s="44" t="s">
        <v>1923</v>
      </c>
      <c r="J91" s="44" t="s">
        <v>656</v>
      </c>
      <c r="K91" s="44" t="s">
        <v>166</v>
      </c>
      <c r="L91" s="48">
        <v>123676.89</v>
      </c>
      <c r="M91" s="48">
        <v>116676.31</v>
      </c>
      <c r="N91" s="48">
        <v>7000.58</v>
      </c>
      <c r="O91" s="44" t="s">
        <v>2034</v>
      </c>
      <c r="P91" s="29"/>
      <c r="Q91" s="27"/>
      <c r="R91" s="27" t="s">
        <v>2035</v>
      </c>
      <c r="S91" s="29">
        <v>27498.1</v>
      </c>
      <c r="T91" s="29"/>
      <c r="U91" s="29">
        <v>27498.1</v>
      </c>
      <c r="V91"/>
      <c r="W91" s="57"/>
      <c r="X91" s="29"/>
      <c r="Y91" s="27"/>
      <c r="Z91" s="30"/>
      <c r="AD91" s="29"/>
    </row>
    <row r="92" hidden="1" customHeight="1" spans="1:30">
      <c r="A92" s="44" t="s">
        <v>637</v>
      </c>
      <c r="B92" s="86">
        <v>44985</v>
      </c>
      <c r="C92" s="44" t="s">
        <v>811</v>
      </c>
      <c r="D92" s="44" t="s">
        <v>653</v>
      </c>
      <c r="E92" s="44" t="s">
        <v>640</v>
      </c>
      <c r="F92" s="44" t="s">
        <v>641</v>
      </c>
      <c r="G92" s="44" t="s">
        <v>1901</v>
      </c>
      <c r="H92" s="44" t="s">
        <v>650</v>
      </c>
      <c r="I92" s="44" t="s">
        <v>435</v>
      </c>
      <c r="J92" s="44" t="s">
        <v>656</v>
      </c>
      <c r="K92" s="44" t="s">
        <v>166</v>
      </c>
      <c r="L92" s="48">
        <v>138481.54</v>
      </c>
      <c r="M92" s="48">
        <v>130642.96</v>
      </c>
      <c r="N92" s="48">
        <v>7838.58</v>
      </c>
      <c r="O92" s="44" t="s">
        <v>2036</v>
      </c>
      <c r="P92" s="29"/>
      <c r="Q92" s="27"/>
      <c r="R92" s="27" t="s">
        <v>2037</v>
      </c>
      <c r="S92" s="29">
        <v>2237337.42</v>
      </c>
      <c r="T92" s="29"/>
      <c r="U92" s="29">
        <v>2237337.42</v>
      </c>
      <c r="V92"/>
      <c r="W92" s="57"/>
      <c r="X92" s="29"/>
      <c r="Y92" s="27"/>
      <c r="Z92" s="30"/>
      <c r="AD92" s="29"/>
    </row>
    <row r="93" hidden="1" customHeight="1" spans="1:30">
      <c r="A93" s="44" t="s">
        <v>637</v>
      </c>
      <c r="B93" s="86">
        <v>44985</v>
      </c>
      <c r="C93" s="44" t="s">
        <v>811</v>
      </c>
      <c r="D93" s="44" t="s">
        <v>653</v>
      </c>
      <c r="E93" s="44" t="s">
        <v>640</v>
      </c>
      <c r="F93" s="44" t="s">
        <v>641</v>
      </c>
      <c r="G93" s="44" t="s">
        <v>1901</v>
      </c>
      <c r="H93" s="44" t="s">
        <v>643</v>
      </c>
      <c r="I93" s="44" t="s">
        <v>435</v>
      </c>
      <c r="J93" s="44" t="s">
        <v>656</v>
      </c>
      <c r="K93" s="44" t="s">
        <v>166</v>
      </c>
      <c r="L93" s="48">
        <v>504.32</v>
      </c>
      <c r="M93" s="48">
        <v>475.77</v>
      </c>
      <c r="N93" s="48">
        <v>28.55</v>
      </c>
      <c r="O93" s="44" t="s">
        <v>2038</v>
      </c>
      <c r="P93" s="29"/>
      <c r="Q93" s="27"/>
      <c r="R93" s="27" t="s">
        <v>2039</v>
      </c>
      <c r="S93" s="29">
        <v>0.0100000000093132</v>
      </c>
      <c r="T93" s="29"/>
      <c r="U93" s="29">
        <v>0.0100000000093132</v>
      </c>
      <c r="V93"/>
      <c r="W93" s="57"/>
      <c r="X93" s="29"/>
      <c r="Y93" s="27"/>
      <c r="Z93" s="30"/>
      <c r="AD93" s="29"/>
    </row>
    <row r="94" hidden="1" customHeight="1" spans="1:30">
      <c r="A94" s="44" t="s">
        <v>637</v>
      </c>
      <c r="B94" s="86">
        <v>44985</v>
      </c>
      <c r="C94" s="44" t="s">
        <v>811</v>
      </c>
      <c r="D94" s="44" t="s">
        <v>653</v>
      </c>
      <c r="E94" s="44" t="s">
        <v>640</v>
      </c>
      <c r="F94" s="44" t="s">
        <v>641</v>
      </c>
      <c r="G94" s="44" t="s">
        <v>1899</v>
      </c>
      <c r="H94" s="44" t="s">
        <v>650</v>
      </c>
      <c r="I94" s="44" t="s">
        <v>435</v>
      </c>
      <c r="J94" s="44" t="s">
        <v>656</v>
      </c>
      <c r="K94" s="44" t="s">
        <v>166</v>
      </c>
      <c r="L94" s="48">
        <v>135426.8</v>
      </c>
      <c r="M94" s="48">
        <v>127761.13</v>
      </c>
      <c r="N94" s="48">
        <v>7665.67</v>
      </c>
      <c r="O94" s="44" t="s">
        <v>2040</v>
      </c>
      <c r="P94" s="29"/>
      <c r="Q94" s="27"/>
      <c r="R94" s="27" t="s">
        <v>2003</v>
      </c>
      <c r="T94" s="29">
        <v>49387.21</v>
      </c>
      <c r="U94" s="29">
        <v>49387.21</v>
      </c>
      <c r="V94"/>
      <c r="W94" s="57"/>
      <c r="X94" s="29"/>
      <c r="Y94" s="27"/>
      <c r="Z94" s="30"/>
      <c r="AD94" s="29"/>
    </row>
    <row r="95" hidden="1" customHeight="1" spans="1:30">
      <c r="A95" s="44" t="s">
        <v>637</v>
      </c>
      <c r="B95" s="86">
        <v>44985</v>
      </c>
      <c r="C95" s="44" t="s">
        <v>811</v>
      </c>
      <c r="D95" s="44" t="s">
        <v>653</v>
      </c>
      <c r="E95" s="44" t="s">
        <v>1898</v>
      </c>
      <c r="F95" s="44" t="s">
        <v>641</v>
      </c>
      <c r="G95" s="44" t="s">
        <v>1899</v>
      </c>
      <c r="H95" s="44" t="s">
        <v>650</v>
      </c>
      <c r="I95" s="44" t="s">
        <v>433</v>
      </c>
      <c r="J95" s="44" t="s">
        <v>656</v>
      </c>
      <c r="K95" s="44" t="s">
        <v>166</v>
      </c>
      <c r="L95" s="48">
        <v>164313.53</v>
      </c>
      <c r="M95" s="48">
        <v>155012.76</v>
      </c>
      <c r="N95" s="48">
        <v>9300.77</v>
      </c>
      <c r="O95" s="44" t="s">
        <v>2041</v>
      </c>
      <c r="P95" s="29"/>
      <c r="Q95" s="27"/>
      <c r="R95" s="27" t="s">
        <v>2042</v>
      </c>
      <c r="S95" s="29">
        <v>1778.15</v>
      </c>
      <c r="T95" s="29"/>
      <c r="U95" s="29">
        <v>1778.15</v>
      </c>
      <c r="V95"/>
      <c r="W95" s="57"/>
      <c r="X95" s="29"/>
      <c r="Y95" s="27"/>
      <c r="Z95" s="30"/>
      <c r="AD95" s="29"/>
    </row>
    <row r="96" hidden="1" customHeight="1" spans="1:30">
      <c r="A96" s="44" t="s">
        <v>637</v>
      </c>
      <c r="B96" s="86">
        <v>44985</v>
      </c>
      <c r="C96" s="44" t="s">
        <v>748</v>
      </c>
      <c r="D96" s="44" t="s">
        <v>653</v>
      </c>
      <c r="E96" s="44" t="s">
        <v>640</v>
      </c>
      <c r="F96" s="44" t="s">
        <v>641</v>
      </c>
      <c r="G96" s="44" t="s">
        <v>1901</v>
      </c>
      <c r="H96" s="44" t="s">
        <v>650</v>
      </c>
      <c r="I96" s="44" t="s">
        <v>463</v>
      </c>
      <c r="J96" s="44" t="s">
        <v>644</v>
      </c>
      <c r="K96" s="44" t="s">
        <v>166</v>
      </c>
      <c r="L96" s="48">
        <v>24365.89</v>
      </c>
      <c r="M96" s="48">
        <v>22986.69</v>
      </c>
      <c r="N96" s="48">
        <v>1379.2</v>
      </c>
      <c r="O96" s="44" t="s">
        <v>2043</v>
      </c>
      <c r="P96" s="29"/>
      <c r="Q96" s="27"/>
      <c r="R96" s="27" t="s">
        <v>2044</v>
      </c>
      <c r="S96" s="29">
        <v>276509.24</v>
      </c>
      <c r="T96" s="29"/>
      <c r="U96" s="29">
        <v>276509.24</v>
      </c>
      <c r="V96"/>
      <c r="W96" s="57"/>
      <c r="X96" s="29"/>
      <c r="Y96" s="27"/>
      <c r="Z96" s="30"/>
      <c r="AD96" s="29"/>
    </row>
    <row r="97" hidden="1" customHeight="1" spans="1:30">
      <c r="A97" s="44" t="s">
        <v>637</v>
      </c>
      <c r="B97" s="86">
        <v>44985</v>
      </c>
      <c r="C97" s="44" t="s">
        <v>811</v>
      </c>
      <c r="D97" s="44" t="s">
        <v>653</v>
      </c>
      <c r="E97" s="44" t="s">
        <v>640</v>
      </c>
      <c r="F97" s="44" t="s">
        <v>641</v>
      </c>
      <c r="G97" s="44" t="s">
        <v>1899</v>
      </c>
      <c r="H97" s="44" t="s">
        <v>650</v>
      </c>
      <c r="I97" s="44" t="s">
        <v>435</v>
      </c>
      <c r="J97" s="44" t="s">
        <v>656</v>
      </c>
      <c r="K97" s="44" t="s">
        <v>166</v>
      </c>
      <c r="L97" s="48">
        <v>-25932.64</v>
      </c>
      <c r="M97" s="48">
        <v>-24464.75</v>
      </c>
      <c r="N97" s="48">
        <v>-1467.89</v>
      </c>
      <c r="O97" s="44" t="s">
        <v>2045</v>
      </c>
      <c r="P97" s="29"/>
      <c r="Q97" s="27"/>
      <c r="R97" s="27" t="s">
        <v>2046</v>
      </c>
      <c r="S97" s="29">
        <v>7453.32</v>
      </c>
      <c r="T97" s="29"/>
      <c r="U97" s="29">
        <v>7453.32</v>
      </c>
      <c r="V97"/>
      <c r="W97" s="57"/>
      <c r="X97" s="29"/>
      <c r="Y97" s="27"/>
      <c r="Z97" s="30"/>
      <c r="AD97" s="29"/>
    </row>
    <row r="98" hidden="1" customHeight="1" spans="1:30">
      <c r="A98" s="44" t="s">
        <v>637</v>
      </c>
      <c r="B98" s="86">
        <v>44985</v>
      </c>
      <c r="C98" s="44" t="s">
        <v>748</v>
      </c>
      <c r="D98" s="44" t="s">
        <v>1902</v>
      </c>
      <c r="E98" s="44" t="s">
        <v>640</v>
      </c>
      <c r="F98" s="44" t="s">
        <v>641</v>
      </c>
      <c r="G98" s="44" t="s">
        <v>1899</v>
      </c>
      <c r="H98" s="44" t="s">
        <v>697</v>
      </c>
      <c r="I98" s="44" t="s">
        <v>444</v>
      </c>
      <c r="J98" s="44" t="s">
        <v>656</v>
      </c>
      <c r="K98" s="44" t="s">
        <v>14</v>
      </c>
      <c r="L98" s="48">
        <v>25103.86</v>
      </c>
      <c r="M98" s="48">
        <v>23682.89</v>
      </c>
      <c r="N98" s="48">
        <v>1420.97</v>
      </c>
      <c r="O98" s="44" t="s">
        <v>2047</v>
      </c>
      <c r="P98" s="29"/>
      <c r="Q98" s="27"/>
      <c r="R98" s="27" t="s">
        <v>2048</v>
      </c>
      <c r="T98" s="29">
        <v>60000</v>
      </c>
      <c r="U98" s="29">
        <v>60000</v>
      </c>
      <c r="V98"/>
      <c r="W98" s="57"/>
      <c r="X98" s="29"/>
      <c r="Y98" s="27"/>
      <c r="Z98" s="30"/>
      <c r="AD98" s="29"/>
    </row>
    <row r="99" hidden="1" customHeight="1" spans="1:30">
      <c r="A99" s="44" t="s">
        <v>637</v>
      </c>
      <c r="B99" s="86">
        <v>44985</v>
      </c>
      <c r="C99" s="44" t="s">
        <v>748</v>
      </c>
      <c r="D99" s="44" t="s">
        <v>1284</v>
      </c>
      <c r="E99" s="44" t="s">
        <v>640</v>
      </c>
      <c r="F99" s="44" t="s">
        <v>641</v>
      </c>
      <c r="G99" s="44" t="s">
        <v>1899</v>
      </c>
      <c r="H99" s="44" t="s">
        <v>643</v>
      </c>
      <c r="I99" s="44" t="s">
        <v>779</v>
      </c>
      <c r="J99" s="44" t="s">
        <v>644</v>
      </c>
      <c r="K99" s="44" t="s">
        <v>14</v>
      </c>
      <c r="L99" s="48">
        <v>-99.04</v>
      </c>
      <c r="M99" s="48">
        <v>-93.43</v>
      </c>
      <c r="N99" s="48">
        <v>-5.61</v>
      </c>
      <c r="O99" s="44" t="s">
        <v>2049</v>
      </c>
      <c r="P99" s="29"/>
      <c r="Q99" s="27"/>
      <c r="R99" s="27" t="s">
        <v>2050</v>
      </c>
      <c r="S99" s="29">
        <v>25182.24</v>
      </c>
      <c r="T99" s="29">
        <v>500.09</v>
      </c>
      <c r="U99" s="29">
        <v>25682.33</v>
      </c>
      <c r="V99"/>
      <c r="W99" s="57"/>
      <c r="X99" s="29"/>
      <c r="Y99" s="27"/>
      <c r="Z99" s="30"/>
      <c r="AD99" s="29"/>
    </row>
    <row r="100" hidden="1" customHeight="1" spans="1:30">
      <c r="A100" s="44" t="s">
        <v>637</v>
      </c>
      <c r="B100" s="86">
        <v>44985</v>
      </c>
      <c r="C100" s="44" t="s">
        <v>748</v>
      </c>
      <c r="D100" s="44" t="s">
        <v>726</v>
      </c>
      <c r="E100" s="44" t="s">
        <v>640</v>
      </c>
      <c r="F100" s="44" t="s">
        <v>641</v>
      </c>
      <c r="G100" s="44" t="s">
        <v>1901</v>
      </c>
      <c r="H100" s="44" t="s">
        <v>643</v>
      </c>
      <c r="I100" s="44" t="s">
        <v>444</v>
      </c>
      <c r="J100" s="44" t="s">
        <v>656</v>
      </c>
      <c r="K100" s="44" t="s">
        <v>14</v>
      </c>
      <c r="L100" s="48">
        <v>12355.05</v>
      </c>
      <c r="M100" s="48">
        <v>11655.71</v>
      </c>
      <c r="N100" s="48">
        <v>699.34</v>
      </c>
      <c r="O100" s="44" t="s">
        <v>2051</v>
      </c>
      <c r="P100" s="29"/>
      <c r="Q100" s="27"/>
      <c r="R100" s="27" t="s">
        <v>2052</v>
      </c>
      <c r="S100" s="29">
        <v>1080</v>
      </c>
      <c r="T100" s="29"/>
      <c r="U100" s="29">
        <v>1080</v>
      </c>
      <c r="V100"/>
      <c r="W100" s="57"/>
      <c r="X100" s="29"/>
      <c r="Y100" s="27"/>
      <c r="Z100" s="30"/>
      <c r="AD100" s="29"/>
    </row>
    <row r="101" hidden="1" customHeight="1" spans="1:30">
      <c r="A101" s="44" t="s">
        <v>637</v>
      </c>
      <c r="B101" s="86">
        <v>44985</v>
      </c>
      <c r="C101" s="44" t="s">
        <v>748</v>
      </c>
      <c r="D101" s="44" t="s">
        <v>1902</v>
      </c>
      <c r="E101" s="44" t="s">
        <v>640</v>
      </c>
      <c r="F101" s="44" t="s">
        <v>641</v>
      </c>
      <c r="G101" s="44" t="s">
        <v>1901</v>
      </c>
      <c r="H101" s="44" t="s">
        <v>643</v>
      </c>
      <c r="I101" s="44" t="s">
        <v>444</v>
      </c>
      <c r="J101" s="44" t="s">
        <v>656</v>
      </c>
      <c r="K101" s="44" t="s">
        <v>14</v>
      </c>
      <c r="L101" s="48">
        <v>393.11</v>
      </c>
      <c r="M101" s="48">
        <v>370.86</v>
      </c>
      <c r="N101" s="48">
        <v>22.25</v>
      </c>
      <c r="O101" s="44" t="s">
        <v>2053</v>
      </c>
      <c r="P101" s="29"/>
      <c r="Q101" s="27"/>
      <c r="R101" s="27" t="s">
        <v>2054</v>
      </c>
      <c r="T101" s="29">
        <v>8080</v>
      </c>
      <c r="U101" s="29">
        <v>8080</v>
      </c>
      <c r="V101"/>
      <c r="X101" s="29"/>
      <c r="Y101" s="27"/>
      <c r="Z101" s="30"/>
      <c r="AD101" s="29"/>
    </row>
    <row r="102" hidden="1" customHeight="1" spans="1:30">
      <c r="A102" s="44" t="s">
        <v>637</v>
      </c>
      <c r="B102" s="86">
        <v>44985</v>
      </c>
      <c r="C102" s="44" t="s">
        <v>748</v>
      </c>
      <c r="D102" s="44" t="s">
        <v>1902</v>
      </c>
      <c r="E102" s="44" t="s">
        <v>640</v>
      </c>
      <c r="F102" s="44" t="s">
        <v>641</v>
      </c>
      <c r="G102" s="44" t="s">
        <v>1899</v>
      </c>
      <c r="H102" s="44" t="s">
        <v>650</v>
      </c>
      <c r="I102" s="44" t="s">
        <v>779</v>
      </c>
      <c r="J102" s="44" t="s">
        <v>644</v>
      </c>
      <c r="K102" s="44" t="s">
        <v>14</v>
      </c>
      <c r="L102" s="48">
        <v>27098.89</v>
      </c>
      <c r="M102" s="48">
        <v>25564.99</v>
      </c>
      <c r="N102" s="48">
        <v>1533.9</v>
      </c>
      <c r="O102" s="44" t="s">
        <v>2055</v>
      </c>
      <c r="P102" s="29"/>
      <c r="Q102" s="27"/>
      <c r="R102" s="27" t="s">
        <v>2056</v>
      </c>
      <c r="T102" s="29">
        <v>72811.77</v>
      </c>
      <c r="U102" s="29">
        <v>72811.77</v>
      </c>
      <c r="V102"/>
      <c r="X102" s="29"/>
      <c r="Y102" s="27"/>
      <c r="Z102" s="30"/>
      <c r="AD102" s="29"/>
    </row>
    <row r="103" hidden="1" customHeight="1" spans="1:30">
      <c r="A103" s="44" t="s">
        <v>637</v>
      </c>
      <c r="B103" s="86">
        <v>44985</v>
      </c>
      <c r="C103" s="44" t="s">
        <v>748</v>
      </c>
      <c r="D103" s="44" t="s">
        <v>1284</v>
      </c>
      <c r="E103" s="44" t="s">
        <v>640</v>
      </c>
      <c r="F103" s="44" t="s">
        <v>641</v>
      </c>
      <c r="G103" s="44" t="s">
        <v>1901</v>
      </c>
      <c r="H103" s="44" t="s">
        <v>643</v>
      </c>
      <c r="I103" s="44" t="s">
        <v>444</v>
      </c>
      <c r="J103" s="44" t="s">
        <v>656</v>
      </c>
      <c r="K103" s="44" t="s">
        <v>14</v>
      </c>
      <c r="L103" s="48">
        <v>1123.73</v>
      </c>
      <c r="M103" s="48">
        <v>1060.12</v>
      </c>
      <c r="N103" s="48">
        <v>63.61</v>
      </c>
      <c r="O103" s="44" t="s">
        <v>2057</v>
      </c>
      <c r="P103" s="29"/>
      <c r="Q103" s="27"/>
      <c r="R103" s="27" t="s">
        <v>2058</v>
      </c>
      <c r="T103" s="29">
        <v>49317.2</v>
      </c>
      <c r="U103" s="29">
        <v>49317.2</v>
      </c>
      <c r="V103"/>
      <c r="X103" s="29"/>
      <c r="Y103" s="27"/>
      <c r="Z103" s="30"/>
      <c r="AD103" s="29"/>
    </row>
    <row r="104" hidden="1" customHeight="1" spans="1:30">
      <c r="A104" s="44" t="s">
        <v>637</v>
      </c>
      <c r="B104" s="86">
        <v>44985</v>
      </c>
      <c r="C104" s="44" t="s">
        <v>748</v>
      </c>
      <c r="D104" s="44" t="s">
        <v>653</v>
      </c>
      <c r="E104" s="44" t="s">
        <v>640</v>
      </c>
      <c r="F104" s="44" t="s">
        <v>641</v>
      </c>
      <c r="G104" s="44" t="s">
        <v>1901</v>
      </c>
      <c r="H104" s="44" t="s">
        <v>650</v>
      </c>
      <c r="I104" s="44" t="s">
        <v>463</v>
      </c>
      <c r="J104" s="44" t="s">
        <v>644</v>
      </c>
      <c r="K104" s="44" t="s">
        <v>166</v>
      </c>
      <c r="L104" s="48">
        <v>7157.88</v>
      </c>
      <c r="M104" s="48">
        <v>6752.72</v>
      </c>
      <c r="N104" s="48">
        <v>405.16</v>
      </c>
      <c r="O104" s="44" t="s">
        <v>2059</v>
      </c>
      <c r="P104" s="29"/>
      <c r="Q104" s="27"/>
      <c r="R104" s="27" t="s">
        <v>2060</v>
      </c>
      <c r="T104" s="29">
        <v>9711.24</v>
      </c>
      <c r="U104" s="29">
        <v>9711.24</v>
      </c>
      <c r="V104"/>
      <c r="X104" s="29"/>
      <c r="Y104" s="27"/>
      <c r="Z104" s="30"/>
      <c r="AD104" s="29"/>
    </row>
    <row r="105" hidden="1" customHeight="1" spans="1:30">
      <c r="A105" s="44" t="s">
        <v>637</v>
      </c>
      <c r="B105" s="86">
        <v>44985</v>
      </c>
      <c r="C105" s="44" t="s">
        <v>748</v>
      </c>
      <c r="D105" s="44" t="s">
        <v>726</v>
      </c>
      <c r="E105" s="44" t="s">
        <v>1898</v>
      </c>
      <c r="F105" s="44" t="s">
        <v>641</v>
      </c>
      <c r="G105" s="44" t="s">
        <v>1899</v>
      </c>
      <c r="H105" s="44" t="s">
        <v>643</v>
      </c>
      <c r="I105" s="44" t="s">
        <v>1910</v>
      </c>
      <c r="J105" s="44" t="s">
        <v>644</v>
      </c>
      <c r="K105" s="44" t="s">
        <v>350</v>
      </c>
      <c r="L105" s="48">
        <v>17017.55</v>
      </c>
      <c r="M105" s="48">
        <v>16054.29</v>
      </c>
      <c r="N105" s="48">
        <v>963.26</v>
      </c>
      <c r="O105" s="44" t="s">
        <v>2061</v>
      </c>
      <c r="P105" s="29"/>
      <c r="Q105" s="27"/>
      <c r="R105" s="27" t="s">
        <v>2062</v>
      </c>
      <c r="S105" s="29">
        <v>29948.67</v>
      </c>
      <c r="T105" s="29"/>
      <c r="U105" s="29">
        <v>29948.67</v>
      </c>
      <c r="V105"/>
      <c r="X105" s="29"/>
      <c r="Y105" s="27"/>
      <c r="Z105" s="30"/>
      <c r="AD105" s="29"/>
    </row>
    <row r="106" hidden="1" customHeight="1" spans="1:30">
      <c r="A106" s="44" t="s">
        <v>637</v>
      </c>
      <c r="B106" s="86">
        <v>44985</v>
      </c>
      <c r="C106" s="44" t="s">
        <v>748</v>
      </c>
      <c r="D106" s="44" t="s">
        <v>1284</v>
      </c>
      <c r="E106" s="44" t="s">
        <v>1898</v>
      </c>
      <c r="F106" s="44" t="s">
        <v>641</v>
      </c>
      <c r="G106" s="44" t="s">
        <v>1899</v>
      </c>
      <c r="H106" s="44" t="s">
        <v>643</v>
      </c>
      <c r="I106" s="44" t="s">
        <v>779</v>
      </c>
      <c r="J106" s="44" t="s">
        <v>644</v>
      </c>
      <c r="K106" s="44" t="s">
        <v>14</v>
      </c>
      <c r="L106" s="48">
        <v>27098.89</v>
      </c>
      <c r="M106" s="48">
        <v>25564.99</v>
      </c>
      <c r="N106" s="48">
        <v>1533.9</v>
      </c>
      <c r="O106" s="44" t="s">
        <v>2063</v>
      </c>
      <c r="P106" s="29"/>
      <c r="Q106" s="27"/>
      <c r="R106" s="27" t="s">
        <v>2064</v>
      </c>
      <c r="T106" s="29">
        <v>4121.42</v>
      </c>
      <c r="U106" s="29">
        <v>4121.42</v>
      </c>
      <c r="V106"/>
      <c r="X106" s="29"/>
      <c r="Y106" s="27"/>
      <c r="Z106" s="30"/>
      <c r="AD106" s="29"/>
    </row>
    <row r="107" hidden="1" customHeight="1" spans="1:30">
      <c r="A107" s="44" t="s">
        <v>637</v>
      </c>
      <c r="B107" s="86">
        <v>44985</v>
      </c>
      <c r="C107" s="44" t="s">
        <v>748</v>
      </c>
      <c r="D107" s="44" t="s">
        <v>1902</v>
      </c>
      <c r="E107" s="44" t="s">
        <v>1898</v>
      </c>
      <c r="F107" s="44" t="s">
        <v>641</v>
      </c>
      <c r="G107" s="44" t="s">
        <v>1899</v>
      </c>
      <c r="H107" s="44" t="s">
        <v>643</v>
      </c>
      <c r="I107" s="44" t="s">
        <v>444</v>
      </c>
      <c r="J107" s="44" t="s">
        <v>656</v>
      </c>
      <c r="K107" s="44" t="s">
        <v>14</v>
      </c>
      <c r="L107" s="48">
        <v>4640.89</v>
      </c>
      <c r="M107" s="48">
        <v>4378.2</v>
      </c>
      <c r="N107" s="48">
        <v>262.69</v>
      </c>
      <c r="O107" s="44" t="s">
        <v>2065</v>
      </c>
      <c r="P107" s="29"/>
      <c r="Q107" s="27" t="s">
        <v>319</v>
      </c>
      <c r="R107" s="27"/>
      <c r="S107" s="29">
        <v>96120600.58</v>
      </c>
      <c r="T107" s="29">
        <v>15941399.78</v>
      </c>
      <c r="U107" s="29">
        <v>112062000.36</v>
      </c>
      <c r="V107"/>
      <c r="X107" s="29"/>
      <c r="Y107" s="27"/>
      <c r="Z107" s="30"/>
      <c r="AD107" s="29"/>
    </row>
    <row r="108" hidden="1" customHeight="1" spans="1:30">
      <c r="A108" s="44" t="s">
        <v>637</v>
      </c>
      <c r="B108" s="86">
        <v>44985</v>
      </c>
      <c r="C108" s="44" t="s">
        <v>748</v>
      </c>
      <c r="D108" s="44" t="s">
        <v>1284</v>
      </c>
      <c r="E108" s="44" t="s">
        <v>1898</v>
      </c>
      <c r="F108" s="44" t="s">
        <v>641</v>
      </c>
      <c r="G108" s="44" t="s">
        <v>1899</v>
      </c>
      <c r="H108" s="44" t="s">
        <v>643</v>
      </c>
      <c r="I108" s="44" t="s">
        <v>444</v>
      </c>
      <c r="J108" s="44" t="s">
        <v>656</v>
      </c>
      <c r="K108" s="44" t="s">
        <v>14</v>
      </c>
      <c r="L108" s="48">
        <v>2268.36</v>
      </c>
      <c r="M108" s="48">
        <v>2139.96</v>
      </c>
      <c r="N108" s="48">
        <v>128.4</v>
      </c>
      <c r="O108" s="44" t="s">
        <v>2066</v>
      </c>
      <c r="P108" s="29"/>
      <c r="Q108" s="27"/>
      <c r="S108" s="29">
        <f>GETPIVOTDATA("taxrate_money",$Q$1,"rebates_rules","代运营服务")-GETPIVOTDATA("taxrate_money",$Q$1,"rebates_rules","代运营服务费")</f>
        <v>80179200.8</v>
      </c>
      <c r="T108" s="29"/>
      <c r="U108" s="32"/>
      <c r="V108" s="91"/>
      <c r="X108" s="29"/>
      <c r="Y108" s="27"/>
      <c r="Z108" s="30"/>
      <c r="AD108" s="29"/>
    </row>
    <row r="109" hidden="1" customHeight="1" spans="1:30">
      <c r="A109" s="44" t="s">
        <v>637</v>
      </c>
      <c r="B109" s="86">
        <v>44985</v>
      </c>
      <c r="C109" s="44" t="s">
        <v>748</v>
      </c>
      <c r="D109" s="44" t="s">
        <v>726</v>
      </c>
      <c r="E109" s="44" t="s">
        <v>1898</v>
      </c>
      <c r="F109" s="44" t="s">
        <v>641</v>
      </c>
      <c r="G109" s="44" t="s">
        <v>1899</v>
      </c>
      <c r="H109" s="44" t="s">
        <v>643</v>
      </c>
      <c r="I109" s="44" t="s">
        <v>444</v>
      </c>
      <c r="J109" s="44" t="s">
        <v>656</v>
      </c>
      <c r="K109" s="44" t="s">
        <v>14</v>
      </c>
      <c r="L109" s="48">
        <v>54464.62</v>
      </c>
      <c r="M109" s="48">
        <v>51381.72</v>
      </c>
      <c r="N109" s="48">
        <v>3082.9</v>
      </c>
      <c r="O109" s="44" t="s">
        <v>2067</v>
      </c>
      <c r="P109" s="29"/>
      <c r="Q109" s="27"/>
      <c r="T109" s="29"/>
      <c r="U109" s="32"/>
      <c r="V109" s="91"/>
      <c r="X109" s="29"/>
      <c r="Y109" s="27"/>
      <c r="Z109" s="30"/>
      <c r="AD109" s="29"/>
    </row>
    <row r="110" hidden="1" customHeight="1" spans="1:30">
      <c r="A110" s="44" t="s">
        <v>637</v>
      </c>
      <c r="B110" s="86">
        <v>44985</v>
      </c>
      <c r="C110" s="44" t="s">
        <v>638</v>
      </c>
      <c r="D110" s="44" t="s">
        <v>1915</v>
      </c>
      <c r="E110" s="44" t="s">
        <v>640</v>
      </c>
      <c r="F110" s="44" t="s">
        <v>641</v>
      </c>
      <c r="G110" s="44" t="s">
        <v>1899</v>
      </c>
      <c r="H110" s="44" t="s">
        <v>643</v>
      </c>
      <c r="I110" s="44" t="s">
        <v>430</v>
      </c>
      <c r="J110" s="44" t="s">
        <v>656</v>
      </c>
      <c r="K110" s="44" t="s">
        <v>14</v>
      </c>
      <c r="L110" s="48">
        <v>293197.98</v>
      </c>
      <c r="M110" s="48">
        <v>276601.87</v>
      </c>
      <c r="N110" s="48">
        <v>16596.11</v>
      </c>
      <c r="O110" s="44" t="s">
        <v>2068</v>
      </c>
      <c r="P110" s="29"/>
      <c r="Q110" s="27"/>
      <c r="T110" s="29"/>
      <c r="U110" s="32"/>
      <c r="V110" s="91"/>
      <c r="X110" s="29"/>
      <c r="Y110" s="27"/>
      <c r="Z110" s="30"/>
      <c r="AD110" s="29"/>
    </row>
    <row r="111" hidden="1" customHeight="1" spans="1:30">
      <c r="A111" s="44" t="s">
        <v>637</v>
      </c>
      <c r="B111" s="86">
        <v>44985</v>
      </c>
      <c r="C111" s="44" t="s">
        <v>646</v>
      </c>
      <c r="D111" s="44" t="s">
        <v>740</v>
      </c>
      <c r="E111" s="44" t="s">
        <v>640</v>
      </c>
      <c r="F111" s="44" t="s">
        <v>641</v>
      </c>
      <c r="G111" s="44" t="s">
        <v>1899</v>
      </c>
      <c r="H111" s="44" t="s">
        <v>643</v>
      </c>
      <c r="I111" s="44" t="s">
        <v>1982</v>
      </c>
      <c r="J111" s="44" t="s">
        <v>644</v>
      </c>
      <c r="K111" s="44" t="s">
        <v>14</v>
      </c>
      <c r="L111" s="48">
        <v>-420029.18</v>
      </c>
      <c r="M111" s="48">
        <v>-396253.94</v>
      </c>
      <c r="N111" s="48">
        <v>-23775.24</v>
      </c>
      <c r="O111" s="44" t="s">
        <v>2069</v>
      </c>
      <c r="P111" s="29"/>
      <c r="Q111" s="27"/>
      <c r="T111" s="29"/>
      <c r="U111" s="32"/>
      <c r="V111" s="91"/>
      <c r="X111" s="29"/>
      <c r="Y111" s="27"/>
      <c r="Z111" s="30"/>
      <c r="AD111" s="29"/>
    </row>
    <row r="112" hidden="1" customHeight="1" spans="1:30">
      <c r="A112" s="44" t="s">
        <v>637</v>
      </c>
      <c r="B112" s="86">
        <v>44985</v>
      </c>
      <c r="C112" s="44" t="s">
        <v>646</v>
      </c>
      <c r="D112" s="44" t="s">
        <v>733</v>
      </c>
      <c r="E112" s="44" t="s">
        <v>640</v>
      </c>
      <c r="F112" s="44" t="s">
        <v>641</v>
      </c>
      <c r="G112" s="44" t="s">
        <v>1899</v>
      </c>
      <c r="H112" s="44" t="s">
        <v>643</v>
      </c>
      <c r="I112" s="44" t="s">
        <v>1906</v>
      </c>
      <c r="J112" s="44" t="s">
        <v>656</v>
      </c>
      <c r="K112" s="44" t="s">
        <v>350</v>
      </c>
      <c r="L112" s="48">
        <v>96.45</v>
      </c>
      <c r="M112" s="48">
        <v>90.99</v>
      </c>
      <c r="N112" s="48">
        <v>5.46</v>
      </c>
      <c r="O112" s="44" t="s">
        <v>2070</v>
      </c>
      <c r="P112" s="29"/>
      <c r="Q112" s="27"/>
      <c r="T112" s="29"/>
      <c r="U112" s="32"/>
      <c r="V112" s="91"/>
      <c r="X112" s="29"/>
      <c r="Y112" s="27"/>
      <c r="Z112" s="30"/>
      <c r="AD112" s="29"/>
    </row>
    <row r="113" hidden="1" customHeight="1" spans="1:30">
      <c r="A113" s="44" t="s">
        <v>637</v>
      </c>
      <c r="B113" s="86">
        <v>44985</v>
      </c>
      <c r="C113" s="44" t="s">
        <v>646</v>
      </c>
      <c r="D113" s="44" t="s">
        <v>740</v>
      </c>
      <c r="E113" s="44" t="s">
        <v>640</v>
      </c>
      <c r="F113" s="44" t="s">
        <v>641</v>
      </c>
      <c r="G113" s="44" t="s">
        <v>1899</v>
      </c>
      <c r="H113" s="44" t="s">
        <v>650</v>
      </c>
      <c r="I113" s="44" t="s">
        <v>1936</v>
      </c>
      <c r="J113" s="44" t="s">
        <v>656</v>
      </c>
      <c r="K113" s="44" t="s">
        <v>13</v>
      </c>
      <c r="L113" s="48">
        <v>-7374.99</v>
      </c>
      <c r="M113" s="48">
        <v>-6957.54</v>
      </c>
      <c r="N113" s="48">
        <v>-417.45</v>
      </c>
      <c r="O113" s="44" t="s">
        <v>2071</v>
      </c>
      <c r="P113" s="29"/>
      <c r="Q113" s="27"/>
      <c r="T113" s="29"/>
      <c r="U113" s="32"/>
      <c r="V113" s="91"/>
      <c r="X113" s="29"/>
      <c r="Y113" s="27"/>
      <c r="Z113" s="30"/>
      <c r="AD113" s="29"/>
    </row>
    <row r="114" hidden="1" customHeight="1" spans="1:30">
      <c r="A114" s="44" t="s">
        <v>637</v>
      </c>
      <c r="B114" s="86">
        <v>44985</v>
      </c>
      <c r="C114" s="44" t="s">
        <v>646</v>
      </c>
      <c r="D114" s="44" t="s">
        <v>733</v>
      </c>
      <c r="E114" s="44" t="s">
        <v>640</v>
      </c>
      <c r="F114" s="44" t="s">
        <v>641</v>
      </c>
      <c r="G114" s="44" t="s">
        <v>1899</v>
      </c>
      <c r="H114" s="44" t="s">
        <v>650</v>
      </c>
      <c r="I114" s="44" t="s">
        <v>1917</v>
      </c>
      <c r="J114" s="44" t="s">
        <v>656</v>
      </c>
      <c r="K114" s="44" t="s">
        <v>14</v>
      </c>
      <c r="L114" s="48">
        <v>168.39</v>
      </c>
      <c r="M114" s="48">
        <v>158.86</v>
      </c>
      <c r="N114" s="48">
        <v>9.53</v>
      </c>
      <c r="O114" s="44" t="s">
        <v>2072</v>
      </c>
      <c r="P114" s="29"/>
      <c r="Q114" s="27"/>
      <c r="T114" s="29"/>
      <c r="U114" s="32"/>
      <c r="V114" s="91"/>
      <c r="X114" s="29"/>
      <c r="Y114" s="27"/>
      <c r="Z114" s="30"/>
      <c r="AD114" s="29"/>
    </row>
    <row r="115" hidden="1" customHeight="1" spans="1:30">
      <c r="A115" s="44" t="s">
        <v>637</v>
      </c>
      <c r="B115" s="86">
        <v>44985</v>
      </c>
      <c r="C115" s="44" t="s">
        <v>646</v>
      </c>
      <c r="D115" s="44" t="s">
        <v>733</v>
      </c>
      <c r="E115" s="44" t="s">
        <v>640</v>
      </c>
      <c r="F115" s="44" t="s">
        <v>641</v>
      </c>
      <c r="G115" s="44" t="s">
        <v>1899</v>
      </c>
      <c r="H115" s="44" t="s">
        <v>643</v>
      </c>
      <c r="I115" s="44" t="s">
        <v>466</v>
      </c>
      <c r="J115" s="44" t="s">
        <v>656</v>
      </c>
      <c r="K115" s="44" t="s">
        <v>14</v>
      </c>
      <c r="L115" s="48">
        <v>53431.39</v>
      </c>
      <c r="M115" s="48">
        <v>50406.97</v>
      </c>
      <c r="N115" s="48">
        <v>3024.42</v>
      </c>
      <c r="O115" s="44" t="s">
        <v>2073</v>
      </c>
      <c r="P115" s="29"/>
      <c r="Q115" s="27"/>
      <c r="T115" s="29"/>
      <c r="U115" s="32"/>
      <c r="V115" s="91"/>
      <c r="X115" s="29"/>
      <c r="Y115" s="27"/>
      <c r="Z115" s="30"/>
      <c r="AD115" s="29"/>
    </row>
    <row r="116" hidden="1" customHeight="1" spans="1:30">
      <c r="A116" s="44" t="s">
        <v>637</v>
      </c>
      <c r="B116" s="86">
        <v>44985</v>
      </c>
      <c r="C116" s="44" t="s">
        <v>646</v>
      </c>
      <c r="D116" s="44" t="s">
        <v>733</v>
      </c>
      <c r="E116" s="44" t="s">
        <v>640</v>
      </c>
      <c r="F116" s="44" t="s">
        <v>641</v>
      </c>
      <c r="G116" s="44" t="s">
        <v>1899</v>
      </c>
      <c r="H116" s="44" t="s">
        <v>643</v>
      </c>
      <c r="I116" s="44" t="s">
        <v>1906</v>
      </c>
      <c r="J116" s="44" t="s">
        <v>656</v>
      </c>
      <c r="K116" s="44" t="s">
        <v>14</v>
      </c>
      <c r="L116" s="48">
        <v>3943</v>
      </c>
      <c r="M116" s="48">
        <v>3719.81</v>
      </c>
      <c r="N116" s="48">
        <v>223.19</v>
      </c>
      <c r="O116" s="44" t="s">
        <v>2074</v>
      </c>
      <c r="P116" s="29"/>
      <c r="Q116" s="27"/>
      <c r="T116" s="29"/>
      <c r="U116" s="32"/>
      <c r="V116" s="91"/>
      <c r="X116" s="29"/>
      <c r="Y116" s="27"/>
      <c r="Z116" s="30"/>
      <c r="AD116" s="29"/>
    </row>
    <row r="117" hidden="1" customHeight="1" spans="1:30">
      <c r="A117" s="44" t="s">
        <v>637</v>
      </c>
      <c r="B117" s="86">
        <v>44985</v>
      </c>
      <c r="C117" s="44" t="s">
        <v>646</v>
      </c>
      <c r="D117" s="44" t="s">
        <v>740</v>
      </c>
      <c r="E117" s="44" t="s">
        <v>640</v>
      </c>
      <c r="F117" s="44" t="s">
        <v>641</v>
      </c>
      <c r="G117" s="44" t="s">
        <v>1899</v>
      </c>
      <c r="H117" s="44" t="s">
        <v>643</v>
      </c>
      <c r="I117" s="44" t="s">
        <v>436</v>
      </c>
      <c r="J117" s="44" t="s">
        <v>644</v>
      </c>
      <c r="K117" s="44" t="s">
        <v>350</v>
      </c>
      <c r="L117" s="48">
        <v>7256.15</v>
      </c>
      <c r="M117" s="48">
        <v>6845.42</v>
      </c>
      <c r="N117" s="48">
        <v>410.73</v>
      </c>
      <c r="O117" s="44" t="s">
        <v>2075</v>
      </c>
      <c r="P117" s="29"/>
      <c r="Q117" s="27"/>
      <c r="T117" s="29"/>
      <c r="U117" s="32"/>
      <c r="V117" s="91"/>
      <c r="X117" s="29"/>
      <c r="Y117" s="27"/>
      <c r="Z117" s="30"/>
      <c r="AD117" s="29"/>
    </row>
    <row r="118" hidden="1" customHeight="1" spans="1:30">
      <c r="A118" s="44" t="s">
        <v>637</v>
      </c>
      <c r="B118" s="86">
        <v>44985</v>
      </c>
      <c r="C118" s="44" t="s">
        <v>646</v>
      </c>
      <c r="D118" s="44" t="s">
        <v>1915</v>
      </c>
      <c r="E118" s="44" t="s">
        <v>640</v>
      </c>
      <c r="F118" s="44" t="s">
        <v>641</v>
      </c>
      <c r="G118" s="44" t="s">
        <v>1899</v>
      </c>
      <c r="H118" s="44" t="s">
        <v>643</v>
      </c>
      <c r="I118" s="44" t="s">
        <v>441</v>
      </c>
      <c r="J118" s="44" t="s">
        <v>656</v>
      </c>
      <c r="K118" s="44" t="s">
        <v>14</v>
      </c>
      <c r="L118" s="48">
        <v>253871.22</v>
      </c>
      <c r="M118" s="48">
        <v>239501.15</v>
      </c>
      <c r="N118" s="48">
        <v>14370.07</v>
      </c>
      <c r="O118" s="44" t="s">
        <v>2076</v>
      </c>
      <c r="P118" s="29"/>
      <c r="Q118" s="27"/>
      <c r="T118" s="29"/>
      <c r="U118" s="32"/>
      <c r="V118" s="91"/>
      <c r="X118" s="29"/>
      <c r="Y118" s="27"/>
      <c r="Z118" s="30"/>
      <c r="AD118" s="29"/>
    </row>
    <row r="119" hidden="1" customHeight="1" spans="1:30">
      <c r="A119" s="44" t="s">
        <v>637</v>
      </c>
      <c r="B119" s="86">
        <v>44985</v>
      </c>
      <c r="C119" s="44" t="s">
        <v>646</v>
      </c>
      <c r="D119" s="44" t="s">
        <v>1915</v>
      </c>
      <c r="E119" s="44" t="s">
        <v>640</v>
      </c>
      <c r="F119" s="44" t="s">
        <v>641</v>
      </c>
      <c r="G119" s="44" t="s">
        <v>1901</v>
      </c>
      <c r="H119" s="44" t="s">
        <v>643</v>
      </c>
      <c r="I119" s="44" t="s">
        <v>441</v>
      </c>
      <c r="J119" s="44" t="s">
        <v>656</v>
      </c>
      <c r="K119" s="44" t="s">
        <v>14</v>
      </c>
      <c r="L119" s="48">
        <v>252002.68</v>
      </c>
      <c r="M119" s="48">
        <v>237738.38</v>
      </c>
      <c r="N119" s="48">
        <v>14264.3</v>
      </c>
      <c r="O119" s="44" t="s">
        <v>2077</v>
      </c>
      <c r="P119" s="29"/>
      <c r="Q119" s="27"/>
      <c r="T119" s="29"/>
      <c r="U119" s="32"/>
      <c r="V119" s="91"/>
      <c r="X119" s="29"/>
      <c r="Y119" s="27"/>
      <c r="Z119" s="30"/>
      <c r="AD119" s="29"/>
    </row>
    <row r="120" hidden="1" customHeight="1" spans="1:30">
      <c r="A120" s="44" t="s">
        <v>637</v>
      </c>
      <c r="B120" s="86">
        <v>44985</v>
      </c>
      <c r="C120" s="44" t="s">
        <v>646</v>
      </c>
      <c r="D120" s="44" t="s">
        <v>740</v>
      </c>
      <c r="E120" s="44" t="s">
        <v>640</v>
      </c>
      <c r="F120" s="44" t="s">
        <v>641</v>
      </c>
      <c r="G120" s="44" t="s">
        <v>1899</v>
      </c>
      <c r="H120" s="44" t="s">
        <v>643</v>
      </c>
      <c r="I120" s="44" t="s">
        <v>1982</v>
      </c>
      <c r="J120" s="44" t="s">
        <v>644</v>
      </c>
      <c r="K120" s="44" t="s">
        <v>14</v>
      </c>
      <c r="L120" s="48">
        <v>307769.31</v>
      </c>
      <c r="M120" s="48">
        <v>290348.41</v>
      </c>
      <c r="N120" s="48">
        <v>17420.9</v>
      </c>
      <c r="O120" s="44" t="s">
        <v>2078</v>
      </c>
      <c r="P120" s="29"/>
      <c r="Q120" s="27"/>
      <c r="T120" s="29"/>
      <c r="U120" s="32"/>
      <c r="V120" s="91"/>
      <c r="X120" s="29"/>
      <c r="Y120" s="27"/>
      <c r="Z120" s="30"/>
      <c r="AD120" s="29"/>
    </row>
    <row r="121" hidden="1" customHeight="1" spans="1:30">
      <c r="A121" s="44" t="s">
        <v>637</v>
      </c>
      <c r="B121" s="86">
        <v>44985</v>
      </c>
      <c r="C121" s="44" t="s">
        <v>646</v>
      </c>
      <c r="D121" s="44" t="s">
        <v>740</v>
      </c>
      <c r="E121" s="44" t="s">
        <v>640</v>
      </c>
      <c r="F121" s="44" t="s">
        <v>641</v>
      </c>
      <c r="G121" s="44" t="s">
        <v>1899</v>
      </c>
      <c r="H121" s="44" t="s">
        <v>650</v>
      </c>
      <c r="I121" s="44" t="s">
        <v>461</v>
      </c>
      <c r="J121" s="44" t="s">
        <v>644</v>
      </c>
      <c r="K121" s="44" t="s">
        <v>14</v>
      </c>
      <c r="L121" s="48">
        <v>21055</v>
      </c>
      <c r="M121" s="48">
        <v>19863.21</v>
      </c>
      <c r="N121" s="48">
        <v>1191.79</v>
      </c>
      <c r="O121" s="44" t="s">
        <v>2079</v>
      </c>
      <c r="P121" s="29"/>
      <c r="Q121" s="27"/>
      <c r="T121" s="29"/>
      <c r="U121" s="32"/>
      <c r="V121" s="91"/>
      <c r="X121" s="29"/>
      <c r="Y121" s="27"/>
      <c r="Z121" s="30"/>
      <c r="AD121" s="29"/>
    </row>
    <row r="122" hidden="1" customHeight="1" spans="1:30">
      <c r="A122" s="39" t="s">
        <v>1980</v>
      </c>
      <c r="B122" s="40">
        <v>44985</v>
      </c>
      <c r="C122" s="41" t="s">
        <v>748</v>
      </c>
      <c r="D122" s="41" t="s">
        <v>177</v>
      </c>
      <c r="E122" s="41" t="s">
        <v>1981</v>
      </c>
      <c r="F122" s="42" t="s">
        <v>641</v>
      </c>
      <c r="G122" s="42" t="s">
        <v>1899</v>
      </c>
      <c r="H122" s="42" t="s">
        <v>643</v>
      </c>
      <c r="I122" s="41" t="s">
        <v>1927</v>
      </c>
      <c r="J122" s="41" t="s">
        <v>656</v>
      </c>
      <c r="K122" s="49" t="s">
        <v>166</v>
      </c>
      <c r="L122" s="50">
        <v>2577.35</v>
      </c>
      <c r="M122" s="50">
        <f t="shared" ref="M122:M133" si="2">ROUND(L122/1.06,2)</f>
        <v>2431.46</v>
      </c>
      <c r="N122" s="51">
        <f t="shared" ref="N122:N133" si="3">L122-M122</f>
        <v>145.89</v>
      </c>
      <c r="P122" s="29"/>
      <c r="Q122" s="27"/>
      <c r="T122" s="29"/>
      <c r="U122" s="32"/>
      <c r="V122" s="91"/>
      <c r="X122" s="29"/>
      <c r="Y122" s="27"/>
      <c r="Z122" s="30"/>
      <c r="AD122" s="29"/>
    </row>
    <row r="123" hidden="1" customHeight="1" spans="1:30">
      <c r="A123" s="39" t="s">
        <v>1980</v>
      </c>
      <c r="B123" s="40">
        <v>44985</v>
      </c>
      <c r="C123" s="41" t="s">
        <v>811</v>
      </c>
      <c r="D123" s="41" t="s">
        <v>177</v>
      </c>
      <c r="E123" s="41" t="s">
        <v>1981</v>
      </c>
      <c r="F123" s="42" t="s">
        <v>641</v>
      </c>
      <c r="G123" s="42" t="s">
        <v>1899</v>
      </c>
      <c r="H123" s="42" t="s">
        <v>643</v>
      </c>
      <c r="I123" s="41" t="s">
        <v>433</v>
      </c>
      <c r="J123" s="41" t="s">
        <v>656</v>
      </c>
      <c r="K123" s="49" t="s">
        <v>166</v>
      </c>
      <c r="L123" s="50">
        <v>-16882.07</v>
      </c>
      <c r="M123" s="50">
        <f t="shared" si="2"/>
        <v>-15926.48</v>
      </c>
      <c r="N123" s="51">
        <f t="shared" si="3"/>
        <v>-955.59</v>
      </c>
      <c r="P123" s="29"/>
      <c r="Q123" s="27"/>
      <c r="T123" s="29"/>
      <c r="U123" s="32"/>
      <c r="V123" s="91"/>
      <c r="X123" s="29"/>
      <c r="Y123" s="27"/>
      <c r="Z123" s="30"/>
      <c r="AD123" s="29"/>
    </row>
    <row r="124" hidden="1" customHeight="1" spans="1:30">
      <c r="A124" s="39" t="s">
        <v>1980</v>
      </c>
      <c r="B124" s="40">
        <v>44985</v>
      </c>
      <c r="C124" s="41" t="s">
        <v>811</v>
      </c>
      <c r="D124" s="41" t="s">
        <v>177</v>
      </c>
      <c r="E124" s="41" t="s">
        <v>1981</v>
      </c>
      <c r="F124" s="42" t="s">
        <v>641</v>
      </c>
      <c r="G124" s="42" t="s">
        <v>1899</v>
      </c>
      <c r="H124" s="42" t="s">
        <v>643</v>
      </c>
      <c r="I124" s="41" t="s">
        <v>435</v>
      </c>
      <c r="J124" s="41" t="s">
        <v>656</v>
      </c>
      <c r="K124" s="49" t="s">
        <v>166</v>
      </c>
      <c r="L124" s="50">
        <v>71482.08</v>
      </c>
      <c r="M124" s="50">
        <f t="shared" si="2"/>
        <v>67435.92</v>
      </c>
      <c r="N124" s="51">
        <f t="shared" si="3"/>
        <v>4046.16</v>
      </c>
      <c r="P124" s="29"/>
      <c r="Q124" s="27"/>
      <c r="T124" s="29"/>
      <c r="U124" s="32"/>
      <c r="V124" s="91"/>
      <c r="X124" s="29"/>
      <c r="Y124" s="27"/>
      <c r="Z124" s="30"/>
      <c r="AD124" s="29"/>
    </row>
    <row r="125" hidden="1" customHeight="1" spans="1:30">
      <c r="A125" s="39" t="s">
        <v>1980</v>
      </c>
      <c r="B125" s="40">
        <v>44985</v>
      </c>
      <c r="C125" s="41" t="s">
        <v>811</v>
      </c>
      <c r="D125" s="41" t="s">
        <v>177</v>
      </c>
      <c r="E125" s="41" t="s">
        <v>1981</v>
      </c>
      <c r="F125" s="42" t="s">
        <v>641</v>
      </c>
      <c r="G125" s="42" t="s">
        <v>1901</v>
      </c>
      <c r="H125" s="42" t="s">
        <v>643</v>
      </c>
      <c r="I125" s="88" t="s">
        <v>433</v>
      </c>
      <c r="J125" s="41" t="s">
        <v>656</v>
      </c>
      <c r="K125" s="41" t="s">
        <v>166</v>
      </c>
      <c r="L125" s="50">
        <v>53302.02</v>
      </c>
      <c r="M125" s="50">
        <f t="shared" si="2"/>
        <v>50284.92</v>
      </c>
      <c r="N125" s="51">
        <f t="shared" si="3"/>
        <v>3017.1</v>
      </c>
      <c r="P125" s="29"/>
      <c r="Q125" s="27"/>
      <c r="T125" s="29"/>
      <c r="U125" s="32"/>
      <c r="V125" s="91"/>
      <c r="X125" s="29"/>
      <c r="Y125" s="27"/>
      <c r="Z125" s="30"/>
      <c r="AD125" s="29"/>
    </row>
    <row r="126" hidden="1" customHeight="1" spans="1:30">
      <c r="A126" s="39" t="s">
        <v>1980</v>
      </c>
      <c r="B126" s="40">
        <v>44985</v>
      </c>
      <c r="C126" s="41" t="s">
        <v>811</v>
      </c>
      <c r="D126" s="41" t="s">
        <v>177</v>
      </c>
      <c r="E126" s="41" t="s">
        <v>1981</v>
      </c>
      <c r="F126" s="42" t="s">
        <v>641</v>
      </c>
      <c r="G126" s="42" t="s">
        <v>1901</v>
      </c>
      <c r="H126" s="42" t="s">
        <v>643</v>
      </c>
      <c r="I126" s="88" t="s">
        <v>435</v>
      </c>
      <c r="J126" s="41" t="s">
        <v>656</v>
      </c>
      <c r="K126" s="41" t="s">
        <v>166</v>
      </c>
      <c r="L126" s="50">
        <v>37520.17</v>
      </c>
      <c r="M126" s="50">
        <f t="shared" si="2"/>
        <v>35396.39</v>
      </c>
      <c r="N126" s="51">
        <f t="shared" si="3"/>
        <v>2123.78</v>
      </c>
      <c r="P126" s="29"/>
      <c r="Q126" s="27"/>
      <c r="T126" s="29"/>
      <c r="U126" s="32"/>
      <c r="V126" s="91"/>
      <c r="X126" s="29"/>
      <c r="Y126" s="27"/>
      <c r="Z126" s="30"/>
      <c r="AD126" s="29"/>
    </row>
    <row r="127" hidden="1" customHeight="1" spans="1:30">
      <c r="A127" s="39" t="s">
        <v>1085</v>
      </c>
      <c r="B127" s="40">
        <v>44985</v>
      </c>
      <c r="C127" s="39" t="s">
        <v>715</v>
      </c>
      <c r="D127" s="41" t="s">
        <v>177</v>
      </c>
      <c r="E127" s="87" t="s">
        <v>1985</v>
      </c>
      <c r="F127" s="42" t="s">
        <v>641</v>
      </c>
      <c r="G127" s="42" t="s">
        <v>1899</v>
      </c>
      <c r="H127" s="39"/>
      <c r="I127" s="39" t="s">
        <v>430</v>
      </c>
      <c r="J127" s="89" t="s">
        <v>644</v>
      </c>
      <c r="K127" s="89" t="s">
        <v>14</v>
      </c>
      <c r="L127" s="90">
        <v>113543.95</v>
      </c>
      <c r="M127" s="50">
        <f t="shared" si="2"/>
        <v>107116.93</v>
      </c>
      <c r="N127" s="51">
        <f t="shared" si="3"/>
        <v>6427.02</v>
      </c>
      <c r="P127" s="29"/>
      <c r="Q127" s="27"/>
      <c r="T127" s="29"/>
      <c r="U127" s="32"/>
      <c r="V127" s="91"/>
      <c r="X127" s="29"/>
      <c r="Y127" s="27"/>
      <c r="Z127" s="30"/>
      <c r="AD127" s="29"/>
    </row>
    <row r="128" hidden="1" customHeight="1" spans="1:30">
      <c r="A128" s="39" t="s">
        <v>1085</v>
      </c>
      <c r="B128" s="40">
        <v>44985</v>
      </c>
      <c r="C128" s="39" t="s">
        <v>715</v>
      </c>
      <c r="D128" s="41" t="s">
        <v>177</v>
      </c>
      <c r="E128" s="87" t="s">
        <v>1985</v>
      </c>
      <c r="F128" s="42" t="s">
        <v>641</v>
      </c>
      <c r="G128" s="42" t="s">
        <v>1899</v>
      </c>
      <c r="H128" s="39"/>
      <c r="I128" s="39" t="s">
        <v>1929</v>
      </c>
      <c r="J128" s="89" t="s">
        <v>656</v>
      </c>
      <c r="K128" s="89" t="s">
        <v>14</v>
      </c>
      <c r="L128" s="90">
        <v>391825.82</v>
      </c>
      <c r="M128" s="50">
        <f t="shared" si="2"/>
        <v>369647</v>
      </c>
      <c r="N128" s="51">
        <f t="shared" si="3"/>
        <v>22178.82</v>
      </c>
      <c r="P128" s="29"/>
      <c r="Q128" s="27"/>
      <c r="T128" s="29"/>
      <c r="U128" s="32"/>
      <c r="V128" s="91"/>
      <c r="X128" s="29"/>
      <c r="Y128" s="27"/>
      <c r="Z128" s="30"/>
      <c r="AD128" s="29"/>
    </row>
    <row r="129" hidden="1" customHeight="1" spans="1:30">
      <c r="A129" s="39" t="s">
        <v>1085</v>
      </c>
      <c r="B129" s="40">
        <v>44985</v>
      </c>
      <c r="C129" s="39" t="s">
        <v>730</v>
      </c>
      <c r="D129" s="41" t="s">
        <v>177</v>
      </c>
      <c r="E129" s="87" t="s">
        <v>1985</v>
      </c>
      <c r="F129" s="42" t="s">
        <v>641</v>
      </c>
      <c r="G129" s="42" t="s">
        <v>1899</v>
      </c>
      <c r="H129" s="39"/>
      <c r="I129" s="39" t="s">
        <v>473</v>
      </c>
      <c r="J129" s="89" t="s">
        <v>656</v>
      </c>
      <c r="K129" s="89" t="s">
        <v>14</v>
      </c>
      <c r="L129" s="90">
        <v>81742.17</v>
      </c>
      <c r="M129" s="50">
        <f t="shared" si="2"/>
        <v>77115.25</v>
      </c>
      <c r="N129" s="51">
        <f t="shared" si="3"/>
        <v>4626.92</v>
      </c>
      <c r="P129" s="29"/>
      <c r="Q129" s="27"/>
      <c r="T129" s="29"/>
      <c r="U129" s="32"/>
      <c r="V129" s="91"/>
      <c r="X129" s="29"/>
      <c r="Y129" s="27"/>
      <c r="Z129" s="30"/>
      <c r="AD129" s="29"/>
    </row>
    <row r="130" hidden="1" customHeight="1" spans="1:30">
      <c r="A130" s="39" t="s">
        <v>1085</v>
      </c>
      <c r="B130" s="40">
        <v>44985</v>
      </c>
      <c r="C130" s="39" t="s">
        <v>725</v>
      </c>
      <c r="D130" s="41" t="s">
        <v>177</v>
      </c>
      <c r="E130" s="87" t="s">
        <v>1985</v>
      </c>
      <c r="F130" s="42" t="s">
        <v>641</v>
      </c>
      <c r="G130" s="42" t="s">
        <v>1899</v>
      </c>
      <c r="H130" s="39"/>
      <c r="I130" s="88" t="s">
        <v>433</v>
      </c>
      <c r="J130" s="89" t="s">
        <v>656</v>
      </c>
      <c r="K130" s="89" t="s">
        <v>166</v>
      </c>
      <c r="L130" s="90">
        <v>2676.65</v>
      </c>
      <c r="M130" s="50">
        <f t="shared" si="2"/>
        <v>2525.14</v>
      </c>
      <c r="N130" s="51">
        <f t="shared" si="3"/>
        <v>151.51</v>
      </c>
      <c r="P130" s="29"/>
      <c r="Q130" s="27"/>
      <c r="T130" s="29"/>
      <c r="U130" s="32"/>
      <c r="V130" s="91"/>
      <c r="X130" s="29"/>
      <c r="Y130" s="27"/>
      <c r="Z130" s="30"/>
      <c r="AD130" s="29"/>
    </row>
    <row r="131" customHeight="1" spans="1:30">
      <c r="A131" s="39" t="s">
        <v>1085</v>
      </c>
      <c r="B131" s="40">
        <v>44985</v>
      </c>
      <c r="C131" s="39" t="s">
        <v>811</v>
      </c>
      <c r="D131" s="41" t="s">
        <v>177</v>
      </c>
      <c r="E131" s="87" t="s">
        <v>1985</v>
      </c>
      <c r="F131" s="42" t="s">
        <v>641</v>
      </c>
      <c r="G131" s="42" t="s">
        <v>1899</v>
      </c>
      <c r="H131" s="39"/>
      <c r="I131" s="39" t="s">
        <v>435</v>
      </c>
      <c r="J131" s="89" t="s">
        <v>656</v>
      </c>
      <c r="K131" s="89" t="s">
        <v>166</v>
      </c>
      <c r="L131" s="90">
        <v>135017.78</v>
      </c>
      <c r="M131" s="50">
        <f t="shared" si="2"/>
        <v>127375.26</v>
      </c>
      <c r="N131" s="51">
        <f t="shared" si="3"/>
        <v>7642.52</v>
      </c>
      <c r="P131" s="29"/>
      <c r="Q131" s="27"/>
      <c r="T131" s="29"/>
      <c r="U131" s="32"/>
      <c r="V131" s="91"/>
      <c r="X131" s="29"/>
      <c r="Y131" s="27"/>
      <c r="Z131" s="30"/>
      <c r="AD131" s="29"/>
    </row>
    <row r="132" hidden="1" customHeight="1" spans="1:30">
      <c r="A132" s="39" t="s">
        <v>1085</v>
      </c>
      <c r="B132" s="40">
        <v>44985</v>
      </c>
      <c r="C132" s="41" t="s">
        <v>725</v>
      </c>
      <c r="D132" s="41" t="s">
        <v>177</v>
      </c>
      <c r="E132" s="87" t="s">
        <v>1985</v>
      </c>
      <c r="F132" s="42" t="s">
        <v>641</v>
      </c>
      <c r="G132" s="42" t="s">
        <v>1901</v>
      </c>
      <c r="H132" s="39"/>
      <c r="I132" s="39" t="s">
        <v>433</v>
      </c>
      <c r="J132" s="89" t="s">
        <v>656</v>
      </c>
      <c r="K132" s="89" t="s">
        <v>166</v>
      </c>
      <c r="L132" s="95">
        <v>-11.03</v>
      </c>
      <c r="M132" s="50">
        <f t="shared" si="2"/>
        <v>-10.41</v>
      </c>
      <c r="N132" s="51">
        <f t="shared" si="3"/>
        <v>-0.619999999999999</v>
      </c>
      <c r="P132" s="29"/>
      <c r="Q132" s="27"/>
      <c r="T132" s="29"/>
      <c r="U132" s="32"/>
      <c r="V132" s="91"/>
      <c r="X132" s="29"/>
      <c r="Y132" s="27"/>
      <c r="Z132" s="30"/>
      <c r="AD132" s="29"/>
    </row>
    <row r="133" hidden="1" customHeight="1" spans="1:30">
      <c r="A133" s="39" t="s">
        <v>1085</v>
      </c>
      <c r="B133" s="40">
        <v>44985</v>
      </c>
      <c r="C133" s="92" t="s">
        <v>811</v>
      </c>
      <c r="D133" s="41" t="s">
        <v>177</v>
      </c>
      <c r="E133" s="87" t="s">
        <v>1985</v>
      </c>
      <c r="F133" s="42" t="s">
        <v>641</v>
      </c>
      <c r="G133" s="42" t="s">
        <v>1901</v>
      </c>
      <c r="H133" s="39"/>
      <c r="I133" s="39" t="s">
        <v>435</v>
      </c>
      <c r="J133" s="89" t="s">
        <v>656</v>
      </c>
      <c r="K133" s="89" t="s">
        <v>166</v>
      </c>
      <c r="L133" s="95">
        <v>69910.2</v>
      </c>
      <c r="M133" s="50">
        <f t="shared" si="2"/>
        <v>65953.02</v>
      </c>
      <c r="N133" s="51">
        <f t="shared" si="3"/>
        <v>3957.17999999999</v>
      </c>
      <c r="P133" s="29"/>
      <c r="Q133" s="27"/>
      <c r="T133" s="29"/>
      <c r="U133" s="32"/>
      <c r="V133" s="91"/>
      <c r="X133" s="29"/>
      <c r="Y133" s="27"/>
      <c r="Z133" s="30"/>
      <c r="AD133" s="29"/>
    </row>
    <row r="134" hidden="1" customHeight="1" spans="1:30">
      <c r="A134" s="37" t="s">
        <v>637</v>
      </c>
      <c r="B134" s="38">
        <v>45016</v>
      </c>
      <c r="C134" s="37" t="s">
        <v>646</v>
      </c>
      <c r="D134" s="37" t="s">
        <v>1915</v>
      </c>
      <c r="E134" s="37" t="s">
        <v>640</v>
      </c>
      <c r="F134" s="37" t="s">
        <v>641</v>
      </c>
      <c r="G134" s="37" t="s">
        <v>1899</v>
      </c>
      <c r="H134" s="37" t="s">
        <v>643</v>
      </c>
      <c r="I134" s="37" t="s">
        <v>441</v>
      </c>
      <c r="J134" s="37" t="s">
        <v>656</v>
      </c>
      <c r="K134" s="37" t="s">
        <v>14</v>
      </c>
      <c r="L134" s="47">
        <v>251384</v>
      </c>
      <c r="M134" s="47">
        <v>237154.72</v>
      </c>
      <c r="N134" s="47">
        <v>14229.28</v>
      </c>
      <c r="O134" s="37" t="s">
        <v>2080</v>
      </c>
      <c r="P134" s="29"/>
      <c r="Q134" s="27"/>
      <c r="T134" s="29"/>
      <c r="U134" s="32"/>
      <c r="V134" s="91"/>
      <c r="X134" s="29"/>
      <c r="Y134" s="27"/>
      <c r="Z134" s="30"/>
      <c r="AD134" s="29"/>
    </row>
    <row r="135" hidden="1" customHeight="1" spans="1:30">
      <c r="A135" s="37" t="s">
        <v>637</v>
      </c>
      <c r="B135" s="38">
        <v>45016</v>
      </c>
      <c r="C135" s="37" t="s">
        <v>646</v>
      </c>
      <c r="D135" s="37" t="s">
        <v>1915</v>
      </c>
      <c r="E135" s="37" t="s">
        <v>640</v>
      </c>
      <c r="F135" s="37" t="s">
        <v>641</v>
      </c>
      <c r="G135" s="37" t="s">
        <v>1901</v>
      </c>
      <c r="H135" s="37" t="s">
        <v>643</v>
      </c>
      <c r="I135" s="37" t="s">
        <v>441</v>
      </c>
      <c r="J135" s="37" t="s">
        <v>656</v>
      </c>
      <c r="K135" s="37" t="s">
        <v>14</v>
      </c>
      <c r="L135" s="47">
        <v>322268.56</v>
      </c>
      <c r="M135" s="47">
        <v>304026.94</v>
      </c>
      <c r="N135" s="47">
        <v>18241.62</v>
      </c>
      <c r="O135" s="37" t="s">
        <v>2081</v>
      </c>
      <c r="P135" s="29"/>
      <c r="Q135" s="27"/>
      <c r="T135" s="29"/>
      <c r="U135" s="32"/>
      <c r="V135" s="91"/>
      <c r="X135" s="29"/>
      <c r="Y135" s="27"/>
      <c r="Z135" s="30"/>
      <c r="AD135" s="29"/>
    </row>
    <row r="136" hidden="1" customHeight="1" spans="1:30">
      <c r="A136" s="37" t="s">
        <v>637</v>
      </c>
      <c r="B136" s="38">
        <v>45016</v>
      </c>
      <c r="C136" s="37" t="s">
        <v>811</v>
      </c>
      <c r="D136" s="37" t="s">
        <v>653</v>
      </c>
      <c r="E136" s="37" t="s">
        <v>1898</v>
      </c>
      <c r="F136" s="37" t="s">
        <v>641</v>
      </c>
      <c r="G136" s="37" t="s">
        <v>1899</v>
      </c>
      <c r="H136" s="37" t="s">
        <v>650</v>
      </c>
      <c r="I136" s="37" t="s">
        <v>433</v>
      </c>
      <c r="J136" s="37" t="s">
        <v>656</v>
      </c>
      <c r="K136" s="37" t="s">
        <v>166</v>
      </c>
      <c r="L136" s="47">
        <v>234648.35</v>
      </c>
      <c r="M136" s="47">
        <v>221366.37</v>
      </c>
      <c r="N136" s="47">
        <v>13281.98</v>
      </c>
      <c r="O136" s="37" t="s">
        <v>2082</v>
      </c>
      <c r="P136" s="29"/>
      <c r="Q136" s="27"/>
      <c r="T136" s="29"/>
      <c r="U136" s="32"/>
      <c r="V136" s="91"/>
      <c r="X136" s="29"/>
      <c r="Y136" s="27"/>
      <c r="Z136" s="30"/>
      <c r="AD136" s="29"/>
    </row>
    <row r="137" hidden="1" customHeight="1" spans="1:30">
      <c r="A137" s="37" t="s">
        <v>637</v>
      </c>
      <c r="B137" s="38">
        <v>45016</v>
      </c>
      <c r="C137" s="37" t="s">
        <v>646</v>
      </c>
      <c r="D137" s="37" t="s">
        <v>740</v>
      </c>
      <c r="E137" s="37" t="s">
        <v>640</v>
      </c>
      <c r="F137" s="37" t="s">
        <v>641</v>
      </c>
      <c r="G137" s="37" t="s">
        <v>1899</v>
      </c>
      <c r="H137" s="37" t="s">
        <v>650</v>
      </c>
      <c r="I137" s="37" t="s">
        <v>1934</v>
      </c>
      <c r="J137" s="37" t="s">
        <v>656</v>
      </c>
      <c r="K137" s="37" t="s">
        <v>13</v>
      </c>
      <c r="L137" s="47">
        <v>31800</v>
      </c>
      <c r="M137" s="47">
        <v>30000</v>
      </c>
      <c r="N137" s="47">
        <v>1800</v>
      </c>
      <c r="O137" s="37" t="s">
        <v>2083</v>
      </c>
      <c r="P137" s="29"/>
      <c r="Q137" s="27"/>
      <c r="T137" s="29"/>
      <c r="U137" s="32"/>
      <c r="V137" s="91"/>
      <c r="X137" s="29"/>
      <c r="Y137" s="27"/>
      <c r="Z137" s="30"/>
      <c r="AD137" s="29"/>
    </row>
    <row r="138" hidden="1" customHeight="1" spans="1:30">
      <c r="A138" s="37" t="s">
        <v>637</v>
      </c>
      <c r="B138" s="38">
        <v>45016</v>
      </c>
      <c r="C138" s="37" t="s">
        <v>646</v>
      </c>
      <c r="D138" s="37" t="s">
        <v>1915</v>
      </c>
      <c r="E138" s="37" t="s">
        <v>640</v>
      </c>
      <c r="F138" s="37" t="s">
        <v>641</v>
      </c>
      <c r="G138" s="37" t="s">
        <v>1899</v>
      </c>
      <c r="H138" s="37" t="s">
        <v>650</v>
      </c>
      <c r="I138" s="37" t="s">
        <v>441</v>
      </c>
      <c r="J138" s="37" t="s">
        <v>656</v>
      </c>
      <c r="K138" s="37" t="s">
        <v>14</v>
      </c>
      <c r="L138" s="47">
        <v>325126.73</v>
      </c>
      <c r="M138" s="47">
        <v>306723.33</v>
      </c>
      <c r="N138" s="47">
        <v>18403.4</v>
      </c>
      <c r="O138" s="37" t="s">
        <v>2084</v>
      </c>
      <c r="P138" s="29"/>
      <c r="Q138" s="27"/>
      <c r="T138" s="29"/>
      <c r="U138" s="32"/>
      <c r="V138" s="91"/>
      <c r="X138" s="29"/>
      <c r="Y138" s="27"/>
      <c r="Z138" s="30"/>
      <c r="AD138" s="29"/>
    </row>
    <row r="139" hidden="1" customHeight="1" spans="1:30">
      <c r="A139" s="37" t="s">
        <v>637</v>
      </c>
      <c r="B139" s="38">
        <v>45016</v>
      </c>
      <c r="C139" s="37" t="s">
        <v>646</v>
      </c>
      <c r="D139" s="37" t="s">
        <v>1915</v>
      </c>
      <c r="E139" s="37" t="s">
        <v>640</v>
      </c>
      <c r="F139" s="37" t="s">
        <v>641</v>
      </c>
      <c r="G139" s="37" t="s">
        <v>1899</v>
      </c>
      <c r="H139" s="37" t="s">
        <v>643</v>
      </c>
      <c r="I139" s="37" t="s">
        <v>441</v>
      </c>
      <c r="J139" s="37" t="s">
        <v>656</v>
      </c>
      <c r="K139" s="37" t="s">
        <v>14</v>
      </c>
      <c r="L139" s="47">
        <v>64231.27</v>
      </c>
      <c r="M139" s="47">
        <v>60595.54</v>
      </c>
      <c r="N139" s="47">
        <v>3635.73</v>
      </c>
      <c r="O139" s="37" t="s">
        <v>2085</v>
      </c>
      <c r="P139" s="29"/>
      <c r="Q139" s="27"/>
      <c r="T139" s="29"/>
      <c r="U139" s="32"/>
      <c r="V139" s="91"/>
      <c r="X139" s="29"/>
      <c r="Y139" s="27"/>
      <c r="Z139" s="30"/>
      <c r="AD139" s="29"/>
    </row>
    <row r="140" hidden="1" customHeight="1" spans="1:30">
      <c r="A140" s="37" t="s">
        <v>637</v>
      </c>
      <c r="B140" s="38">
        <v>45016</v>
      </c>
      <c r="C140" s="37" t="s">
        <v>646</v>
      </c>
      <c r="D140" s="37" t="s">
        <v>740</v>
      </c>
      <c r="E140" s="37" t="s">
        <v>640</v>
      </c>
      <c r="F140" s="37" t="s">
        <v>641</v>
      </c>
      <c r="G140" s="37" t="s">
        <v>1899</v>
      </c>
      <c r="H140" s="37" t="s">
        <v>650</v>
      </c>
      <c r="I140" s="37" t="s">
        <v>461</v>
      </c>
      <c r="J140" s="37" t="s">
        <v>644</v>
      </c>
      <c r="K140" s="37" t="s">
        <v>14</v>
      </c>
      <c r="L140" s="47">
        <v>24549.2</v>
      </c>
      <c r="M140" s="47">
        <v>23159.62</v>
      </c>
      <c r="N140" s="47">
        <v>1389.58</v>
      </c>
      <c r="O140" s="37" t="s">
        <v>2086</v>
      </c>
      <c r="P140" s="29"/>
      <c r="Q140" s="27"/>
      <c r="T140" s="29"/>
      <c r="U140" s="32"/>
      <c r="V140" s="91"/>
      <c r="X140" s="29"/>
      <c r="Y140" s="27"/>
      <c r="Z140" s="30"/>
      <c r="AD140" s="29"/>
    </row>
    <row r="141" hidden="1" customHeight="1" spans="1:30">
      <c r="A141" s="37" t="s">
        <v>637</v>
      </c>
      <c r="B141" s="38">
        <v>45016</v>
      </c>
      <c r="C141" s="37" t="s">
        <v>646</v>
      </c>
      <c r="D141" s="37" t="s">
        <v>726</v>
      </c>
      <c r="E141" s="37" t="s">
        <v>640</v>
      </c>
      <c r="F141" s="37" t="s">
        <v>641</v>
      </c>
      <c r="G141" s="37" t="s">
        <v>1899</v>
      </c>
      <c r="H141" s="37" t="s">
        <v>650</v>
      </c>
      <c r="I141" s="37" t="s">
        <v>1938</v>
      </c>
      <c r="J141" s="37" t="s">
        <v>656</v>
      </c>
      <c r="K141" s="37" t="s">
        <v>14</v>
      </c>
      <c r="L141" s="47">
        <v>37875.87</v>
      </c>
      <c r="M141" s="47">
        <v>35731.95</v>
      </c>
      <c r="N141" s="47">
        <v>2143.92</v>
      </c>
      <c r="O141" s="37" t="s">
        <v>2087</v>
      </c>
      <c r="P141" s="29"/>
      <c r="Q141" s="27"/>
      <c r="T141" s="29"/>
      <c r="U141" s="32"/>
      <c r="V141" s="91"/>
      <c r="X141" s="29"/>
      <c r="Y141" s="27"/>
      <c r="Z141" s="30"/>
      <c r="AD141" s="29"/>
    </row>
    <row r="142" hidden="1" customHeight="1" spans="1:30">
      <c r="A142" s="37" t="s">
        <v>637</v>
      </c>
      <c r="B142" s="38">
        <v>45016</v>
      </c>
      <c r="C142" s="37" t="s">
        <v>646</v>
      </c>
      <c r="D142" s="37" t="s">
        <v>740</v>
      </c>
      <c r="E142" s="37" t="s">
        <v>640</v>
      </c>
      <c r="F142" s="37" t="s">
        <v>641</v>
      </c>
      <c r="G142" s="37" t="s">
        <v>1899</v>
      </c>
      <c r="H142" s="37" t="s">
        <v>650</v>
      </c>
      <c r="I142" s="37" t="s">
        <v>779</v>
      </c>
      <c r="J142" s="37" t="s">
        <v>656</v>
      </c>
      <c r="K142" s="37" t="s">
        <v>14</v>
      </c>
      <c r="L142" s="47">
        <v>104646.12</v>
      </c>
      <c r="M142" s="47">
        <v>98722.75</v>
      </c>
      <c r="N142" s="47">
        <v>5923.37</v>
      </c>
      <c r="O142" s="37" t="s">
        <v>2088</v>
      </c>
      <c r="P142" s="29"/>
      <c r="Q142" s="27"/>
      <c r="T142" s="29"/>
      <c r="U142" s="32"/>
      <c r="V142" s="91"/>
      <c r="X142" s="29"/>
      <c r="Y142" s="27"/>
      <c r="Z142" s="30"/>
      <c r="AD142" s="29"/>
    </row>
    <row r="143" hidden="1" customHeight="1" spans="1:30">
      <c r="A143" s="37" t="s">
        <v>637</v>
      </c>
      <c r="B143" s="38">
        <v>45016</v>
      </c>
      <c r="C143" s="37" t="s">
        <v>646</v>
      </c>
      <c r="D143" s="37" t="s">
        <v>1902</v>
      </c>
      <c r="E143" s="37" t="s">
        <v>1898</v>
      </c>
      <c r="F143" s="37" t="s">
        <v>641</v>
      </c>
      <c r="G143" s="37" t="s">
        <v>1899</v>
      </c>
      <c r="H143" s="37" t="s">
        <v>697</v>
      </c>
      <c r="I143" s="37" t="s">
        <v>436</v>
      </c>
      <c r="J143" s="37" t="s">
        <v>644</v>
      </c>
      <c r="K143" s="37" t="s">
        <v>350</v>
      </c>
      <c r="L143" s="47">
        <v>57572.9</v>
      </c>
      <c r="M143" s="47">
        <v>54314.06</v>
      </c>
      <c r="N143" s="47">
        <v>3258.84</v>
      </c>
      <c r="O143" s="37" t="s">
        <v>2089</v>
      </c>
      <c r="P143" s="29"/>
      <c r="Q143" s="27"/>
      <c r="T143" s="29"/>
      <c r="U143" s="32"/>
      <c r="V143" s="91"/>
      <c r="X143" s="29"/>
      <c r="Y143" s="27"/>
      <c r="Z143" s="30"/>
      <c r="AD143" s="29"/>
    </row>
    <row r="144" hidden="1" customHeight="1" spans="1:30">
      <c r="A144" s="37" t="s">
        <v>637</v>
      </c>
      <c r="B144" s="38">
        <v>45016</v>
      </c>
      <c r="C144" s="37" t="s">
        <v>646</v>
      </c>
      <c r="D144" s="37" t="s">
        <v>1902</v>
      </c>
      <c r="E144" s="37" t="s">
        <v>1898</v>
      </c>
      <c r="F144" s="37" t="s">
        <v>641</v>
      </c>
      <c r="G144" s="37" t="s">
        <v>1899</v>
      </c>
      <c r="H144" s="37" t="s">
        <v>643</v>
      </c>
      <c r="I144" s="37" t="s">
        <v>466</v>
      </c>
      <c r="J144" s="37" t="s">
        <v>656</v>
      </c>
      <c r="K144" s="37" t="s">
        <v>14</v>
      </c>
      <c r="L144" s="47">
        <v>706.2</v>
      </c>
      <c r="M144" s="47">
        <v>666.23</v>
      </c>
      <c r="N144" s="47">
        <v>39.97</v>
      </c>
      <c r="O144" s="37" t="s">
        <v>2090</v>
      </c>
      <c r="P144" s="29"/>
      <c r="Q144" s="27"/>
      <c r="T144" s="29"/>
      <c r="U144" s="32"/>
      <c r="V144" s="91"/>
      <c r="X144" s="29"/>
      <c r="Y144" s="27"/>
      <c r="Z144" s="30"/>
      <c r="AD144" s="29"/>
    </row>
    <row r="145" hidden="1" customHeight="1" spans="1:30">
      <c r="A145" s="37" t="s">
        <v>637</v>
      </c>
      <c r="B145" s="38">
        <v>45016</v>
      </c>
      <c r="C145" s="37" t="s">
        <v>646</v>
      </c>
      <c r="D145" s="37" t="s">
        <v>726</v>
      </c>
      <c r="E145" s="37" t="s">
        <v>1898</v>
      </c>
      <c r="F145" s="37" t="s">
        <v>641</v>
      </c>
      <c r="G145" s="37" t="s">
        <v>1899</v>
      </c>
      <c r="H145" s="37" t="s">
        <v>650</v>
      </c>
      <c r="I145" s="37" t="s">
        <v>461</v>
      </c>
      <c r="J145" s="37" t="s">
        <v>656</v>
      </c>
      <c r="K145" s="37" t="s">
        <v>14</v>
      </c>
      <c r="L145" s="47">
        <v>29264.08</v>
      </c>
      <c r="M145" s="47">
        <v>27607.62</v>
      </c>
      <c r="N145" s="47">
        <v>1656.46</v>
      </c>
      <c r="O145" s="37" t="s">
        <v>2091</v>
      </c>
      <c r="P145" s="29"/>
      <c r="Q145" s="27"/>
      <c r="T145" s="29"/>
      <c r="U145" s="32"/>
      <c r="V145" s="91"/>
      <c r="X145" s="29"/>
      <c r="Y145" s="27"/>
      <c r="Z145" s="30"/>
      <c r="AD145" s="29"/>
    </row>
    <row r="146" hidden="1" customHeight="1" spans="1:30">
      <c r="A146" s="37" t="s">
        <v>637</v>
      </c>
      <c r="B146" s="38">
        <v>45016</v>
      </c>
      <c r="C146" s="37" t="s">
        <v>646</v>
      </c>
      <c r="D146" s="37" t="s">
        <v>726</v>
      </c>
      <c r="E146" s="37" t="s">
        <v>1898</v>
      </c>
      <c r="F146" s="37" t="s">
        <v>641</v>
      </c>
      <c r="G146" s="37" t="s">
        <v>1899</v>
      </c>
      <c r="H146" s="37" t="s">
        <v>697</v>
      </c>
      <c r="I146" s="37" t="s">
        <v>1908</v>
      </c>
      <c r="J146" s="37" t="s">
        <v>656</v>
      </c>
      <c r="K146" s="37" t="s">
        <v>350</v>
      </c>
      <c r="L146" s="47">
        <v>11661.07</v>
      </c>
      <c r="M146" s="47">
        <v>11001.01</v>
      </c>
      <c r="N146" s="47">
        <v>660.06</v>
      </c>
      <c r="O146" s="37" t="s">
        <v>2092</v>
      </c>
      <c r="P146" s="29"/>
      <c r="Q146" s="27"/>
      <c r="T146" s="29"/>
      <c r="U146" s="32"/>
      <c r="V146" s="91"/>
      <c r="X146" s="29"/>
      <c r="Y146" s="27"/>
      <c r="Z146" s="30"/>
      <c r="AD146" s="29"/>
    </row>
    <row r="147" hidden="1" customHeight="1" spans="1:30">
      <c r="A147" s="37" t="s">
        <v>637</v>
      </c>
      <c r="B147" s="38">
        <v>45016</v>
      </c>
      <c r="C147" s="37" t="s">
        <v>646</v>
      </c>
      <c r="D147" s="37" t="s">
        <v>726</v>
      </c>
      <c r="E147" s="37" t="s">
        <v>1898</v>
      </c>
      <c r="F147" s="37" t="s">
        <v>641</v>
      </c>
      <c r="G147" s="37" t="s">
        <v>1899</v>
      </c>
      <c r="H147" s="37" t="s">
        <v>643</v>
      </c>
      <c r="I147" s="37" t="s">
        <v>1906</v>
      </c>
      <c r="J147" s="37" t="s">
        <v>644</v>
      </c>
      <c r="K147" s="37" t="s">
        <v>14</v>
      </c>
      <c r="L147" s="47">
        <v>108313.4</v>
      </c>
      <c r="M147" s="47">
        <v>102182.45</v>
      </c>
      <c r="N147" s="47">
        <v>6130.95</v>
      </c>
      <c r="O147" s="37" t="s">
        <v>2093</v>
      </c>
      <c r="P147" s="29"/>
      <c r="Q147" s="27"/>
      <c r="T147" s="29"/>
      <c r="U147" s="32"/>
      <c r="V147" s="91"/>
      <c r="X147" s="29"/>
      <c r="Y147" s="27"/>
      <c r="Z147" s="30"/>
      <c r="AD147" s="29"/>
    </row>
    <row r="148" hidden="1" customHeight="1" spans="1:30">
      <c r="A148" s="37" t="s">
        <v>637</v>
      </c>
      <c r="B148" s="38">
        <v>45016</v>
      </c>
      <c r="C148" s="37" t="s">
        <v>700</v>
      </c>
      <c r="D148" s="37" t="s">
        <v>733</v>
      </c>
      <c r="E148" s="37" t="s">
        <v>640</v>
      </c>
      <c r="F148" s="37" t="s">
        <v>641</v>
      </c>
      <c r="G148" s="37" t="s">
        <v>1899</v>
      </c>
      <c r="H148" s="37" t="s">
        <v>643</v>
      </c>
      <c r="I148" s="37" t="s">
        <v>442</v>
      </c>
      <c r="J148" s="37" t="s">
        <v>656</v>
      </c>
      <c r="K148" s="37" t="s">
        <v>14</v>
      </c>
      <c r="L148" s="47">
        <v>14409.12</v>
      </c>
      <c r="M148" s="47">
        <v>13593.51</v>
      </c>
      <c r="N148" s="47">
        <v>815.61</v>
      </c>
      <c r="O148" s="37" t="s">
        <v>2094</v>
      </c>
      <c r="P148" s="29"/>
      <c r="Q148" s="27"/>
      <c r="T148" s="29"/>
      <c r="U148" s="32"/>
      <c r="V148" s="91"/>
      <c r="X148" s="29"/>
      <c r="Y148" s="27"/>
      <c r="Z148" s="30"/>
      <c r="AD148" s="29"/>
    </row>
    <row r="149" hidden="1" customHeight="1" spans="1:30">
      <c r="A149" s="37" t="s">
        <v>637</v>
      </c>
      <c r="B149" s="38">
        <v>45016</v>
      </c>
      <c r="C149" s="37" t="s">
        <v>646</v>
      </c>
      <c r="D149" s="37" t="s">
        <v>1284</v>
      </c>
      <c r="E149" s="37" t="s">
        <v>1898</v>
      </c>
      <c r="F149" s="37" t="s">
        <v>641</v>
      </c>
      <c r="G149" s="37" t="s">
        <v>1899</v>
      </c>
      <c r="H149" s="37" t="s">
        <v>643</v>
      </c>
      <c r="I149" s="37" t="s">
        <v>466</v>
      </c>
      <c r="J149" s="37" t="s">
        <v>656</v>
      </c>
      <c r="K149" s="37" t="s">
        <v>14</v>
      </c>
      <c r="L149" s="47">
        <v>98378.7</v>
      </c>
      <c r="M149" s="47">
        <v>92810.09</v>
      </c>
      <c r="N149" s="47">
        <v>5568.61</v>
      </c>
      <c r="O149" s="37" t="s">
        <v>2095</v>
      </c>
      <c r="P149" s="29"/>
      <c r="Q149" s="27"/>
      <c r="T149" s="29"/>
      <c r="U149" s="32"/>
      <c r="V149" s="91"/>
      <c r="X149" s="29"/>
      <c r="Y149" s="27"/>
      <c r="Z149" s="30"/>
      <c r="AD149" s="29"/>
    </row>
    <row r="150" hidden="1" customHeight="1" spans="1:30">
      <c r="A150" s="37" t="s">
        <v>637</v>
      </c>
      <c r="B150" s="38">
        <v>45016</v>
      </c>
      <c r="C150" s="37" t="s">
        <v>646</v>
      </c>
      <c r="D150" s="37" t="s">
        <v>740</v>
      </c>
      <c r="E150" s="37" t="s">
        <v>1898</v>
      </c>
      <c r="F150" s="37" t="s">
        <v>641</v>
      </c>
      <c r="G150" s="37" t="s">
        <v>1899</v>
      </c>
      <c r="H150" s="37" t="s">
        <v>643</v>
      </c>
      <c r="I150" s="37" t="s">
        <v>466</v>
      </c>
      <c r="J150" s="37" t="s">
        <v>656</v>
      </c>
      <c r="K150" s="37" t="s">
        <v>14</v>
      </c>
      <c r="L150" s="47">
        <v>208086.2</v>
      </c>
      <c r="M150" s="47">
        <v>196307.74</v>
      </c>
      <c r="N150" s="47">
        <v>11778.46</v>
      </c>
      <c r="O150" s="37" t="s">
        <v>2096</v>
      </c>
      <c r="P150" s="29"/>
      <c r="Q150" s="27"/>
      <c r="T150" s="29"/>
      <c r="U150" s="32"/>
      <c r="V150" s="91"/>
      <c r="X150" s="29"/>
      <c r="Y150" s="27"/>
      <c r="Z150" s="30"/>
      <c r="AD150" s="29"/>
    </row>
    <row r="151" hidden="1" customHeight="1" spans="1:30">
      <c r="A151" s="37" t="s">
        <v>637</v>
      </c>
      <c r="B151" s="38">
        <v>45016</v>
      </c>
      <c r="C151" s="37" t="s">
        <v>646</v>
      </c>
      <c r="D151" s="37" t="s">
        <v>1902</v>
      </c>
      <c r="E151" s="37" t="s">
        <v>1898</v>
      </c>
      <c r="F151" s="37" t="s">
        <v>641</v>
      </c>
      <c r="G151" s="37" t="s">
        <v>1899</v>
      </c>
      <c r="H151" s="37" t="s">
        <v>643</v>
      </c>
      <c r="I151" s="37" t="s">
        <v>466</v>
      </c>
      <c r="J151" s="37" t="s">
        <v>656</v>
      </c>
      <c r="K151" s="37" t="s">
        <v>14</v>
      </c>
      <c r="L151" s="47">
        <v>70603</v>
      </c>
      <c r="M151" s="47">
        <v>66606.6</v>
      </c>
      <c r="N151" s="47">
        <v>3996.4</v>
      </c>
      <c r="O151" s="37" t="s">
        <v>2097</v>
      </c>
      <c r="P151" s="29"/>
      <c r="Q151" s="27"/>
      <c r="T151" s="29"/>
      <c r="U151" s="32"/>
      <c r="V151" s="91"/>
      <c r="X151" s="29"/>
      <c r="Y151" s="27"/>
      <c r="Z151" s="30"/>
      <c r="AD151" s="29"/>
    </row>
    <row r="152" hidden="1" customHeight="1" spans="1:30">
      <c r="A152" s="37" t="s">
        <v>637</v>
      </c>
      <c r="B152" s="38">
        <v>45016</v>
      </c>
      <c r="C152" s="37" t="s">
        <v>646</v>
      </c>
      <c r="D152" s="37" t="s">
        <v>726</v>
      </c>
      <c r="E152" s="37" t="s">
        <v>1898</v>
      </c>
      <c r="F152" s="37" t="s">
        <v>641</v>
      </c>
      <c r="G152" s="37" t="s">
        <v>1899</v>
      </c>
      <c r="H152" s="37" t="s">
        <v>643</v>
      </c>
      <c r="I152" s="37" t="s">
        <v>466</v>
      </c>
      <c r="J152" s="37" t="s">
        <v>656</v>
      </c>
      <c r="K152" s="37" t="s">
        <v>14</v>
      </c>
      <c r="L152" s="47">
        <v>643014.47</v>
      </c>
      <c r="M152" s="47">
        <v>606617.42</v>
      </c>
      <c r="N152" s="47">
        <v>36397.05</v>
      </c>
      <c r="O152" s="37" t="s">
        <v>2098</v>
      </c>
      <c r="P152" s="29"/>
      <c r="Q152" s="27"/>
      <c r="T152" s="29"/>
      <c r="U152" s="32"/>
      <c r="V152" s="91"/>
      <c r="X152" s="29"/>
      <c r="Y152" s="27"/>
      <c r="Z152" s="30"/>
      <c r="AD152" s="29"/>
    </row>
    <row r="153" hidden="1" customHeight="1" spans="1:30">
      <c r="A153" s="37" t="s">
        <v>637</v>
      </c>
      <c r="B153" s="38">
        <v>45016</v>
      </c>
      <c r="C153" s="37" t="s">
        <v>700</v>
      </c>
      <c r="D153" s="37" t="s">
        <v>1902</v>
      </c>
      <c r="E153" s="37" t="s">
        <v>640</v>
      </c>
      <c r="F153" s="37" t="s">
        <v>641</v>
      </c>
      <c r="G153" s="37" t="s">
        <v>1901</v>
      </c>
      <c r="H153" s="37" t="s">
        <v>643</v>
      </c>
      <c r="I153" s="37" t="s">
        <v>442</v>
      </c>
      <c r="J153" s="37" t="s">
        <v>656</v>
      </c>
      <c r="K153" s="37" t="s">
        <v>14</v>
      </c>
      <c r="L153" s="47">
        <v>6750.05</v>
      </c>
      <c r="M153" s="47">
        <v>6367.97</v>
      </c>
      <c r="N153" s="47">
        <v>382.08</v>
      </c>
      <c r="O153" s="37" t="s">
        <v>2099</v>
      </c>
      <c r="P153" s="29"/>
      <c r="Q153" s="27"/>
      <c r="T153" s="29"/>
      <c r="U153" s="32"/>
      <c r="V153" s="91"/>
      <c r="X153" s="29"/>
      <c r="Y153" s="27"/>
      <c r="Z153" s="30"/>
      <c r="AD153" s="29"/>
    </row>
    <row r="154" hidden="1" customHeight="1" spans="1:30">
      <c r="A154" s="37" t="s">
        <v>637</v>
      </c>
      <c r="B154" s="38">
        <v>45016</v>
      </c>
      <c r="C154" s="37" t="s">
        <v>700</v>
      </c>
      <c r="D154" s="37" t="s">
        <v>1902</v>
      </c>
      <c r="E154" s="37" t="s">
        <v>1898</v>
      </c>
      <c r="F154" s="37" t="s">
        <v>641</v>
      </c>
      <c r="G154" s="37" t="s">
        <v>1899</v>
      </c>
      <c r="H154" s="37" t="s">
        <v>643</v>
      </c>
      <c r="I154" s="37" t="s">
        <v>442</v>
      </c>
      <c r="J154" s="37" t="s">
        <v>656</v>
      </c>
      <c r="K154" s="37" t="s">
        <v>14</v>
      </c>
      <c r="L154" s="47">
        <v>50908.24</v>
      </c>
      <c r="M154" s="47">
        <v>48026.64</v>
      </c>
      <c r="N154" s="47">
        <v>2881.6</v>
      </c>
      <c r="O154" s="37" t="s">
        <v>2100</v>
      </c>
      <c r="P154" s="29"/>
      <c r="Q154" s="27"/>
      <c r="T154" s="29"/>
      <c r="U154" s="32"/>
      <c r="V154" s="91"/>
      <c r="X154" s="29"/>
      <c r="Y154" s="27"/>
      <c r="Z154" s="30"/>
      <c r="AD154" s="29"/>
    </row>
    <row r="155" hidden="1" customHeight="1" spans="1:30">
      <c r="A155" s="37" t="s">
        <v>637</v>
      </c>
      <c r="B155" s="38">
        <v>45016</v>
      </c>
      <c r="C155" s="37" t="s">
        <v>715</v>
      </c>
      <c r="D155" s="37" t="s">
        <v>733</v>
      </c>
      <c r="E155" s="37" t="s">
        <v>640</v>
      </c>
      <c r="F155" s="37" t="s">
        <v>641</v>
      </c>
      <c r="G155" s="37" t="s">
        <v>1899</v>
      </c>
      <c r="H155" s="37" t="s">
        <v>643</v>
      </c>
      <c r="I155" s="37" t="s">
        <v>430</v>
      </c>
      <c r="J155" s="37" t="s">
        <v>644</v>
      </c>
      <c r="K155" s="37" t="s">
        <v>14</v>
      </c>
      <c r="L155" s="47">
        <v>138456.05</v>
      </c>
      <c r="M155" s="47">
        <v>130618.92</v>
      </c>
      <c r="N155" s="47">
        <v>7837.13</v>
      </c>
      <c r="O155" s="37" t="s">
        <v>2101</v>
      </c>
      <c r="P155" s="29"/>
      <c r="Q155" s="27"/>
      <c r="T155" s="29"/>
      <c r="U155" s="32"/>
      <c r="V155" s="91"/>
      <c r="X155" s="29"/>
      <c r="Y155" s="27"/>
      <c r="Z155" s="30"/>
      <c r="AD155" s="29"/>
    </row>
    <row r="156" hidden="1" customHeight="1" spans="1:30">
      <c r="A156" s="37" t="s">
        <v>637</v>
      </c>
      <c r="B156" s="38">
        <v>45016</v>
      </c>
      <c r="C156" s="37" t="s">
        <v>2102</v>
      </c>
      <c r="D156" s="37" t="s">
        <v>740</v>
      </c>
      <c r="E156" s="37" t="s">
        <v>640</v>
      </c>
      <c r="F156" s="37" t="s">
        <v>641</v>
      </c>
      <c r="G156" s="37" t="s">
        <v>1899</v>
      </c>
      <c r="H156" s="37" t="s">
        <v>697</v>
      </c>
      <c r="I156" s="37" t="s">
        <v>486</v>
      </c>
      <c r="J156" s="37" t="s">
        <v>656</v>
      </c>
      <c r="K156" s="37" t="s">
        <v>14</v>
      </c>
      <c r="L156" s="47">
        <v>6070.59</v>
      </c>
      <c r="M156" s="47">
        <v>5726.97</v>
      </c>
      <c r="N156" s="47">
        <v>343.62</v>
      </c>
      <c r="O156" s="37" t="s">
        <v>2103</v>
      </c>
      <c r="P156" s="29"/>
      <c r="Q156" s="27"/>
      <c r="T156" s="29"/>
      <c r="U156" s="32"/>
      <c r="V156" s="91"/>
      <c r="X156" s="29"/>
      <c r="Y156" s="27"/>
      <c r="Z156" s="30"/>
      <c r="AD156" s="29"/>
    </row>
    <row r="157" hidden="1" customHeight="1" spans="1:30">
      <c r="A157" s="37" t="s">
        <v>637</v>
      </c>
      <c r="B157" s="38">
        <v>45016</v>
      </c>
      <c r="C157" s="37" t="s">
        <v>811</v>
      </c>
      <c r="D157" s="37" t="s">
        <v>653</v>
      </c>
      <c r="E157" s="37" t="s">
        <v>640</v>
      </c>
      <c r="F157" s="37" t="s">
        <v>641</v>
      </c>
      <c r="G157" s="37" t="s">
        <v>1899</v>
      </c>
      <c r="H157" s="37" t="s">
        <v>650</v>
      </c>
      <c r="I157" s="37" t="s">
        <v>435</v>
      </c>
      <c r="J157" s="37" t="s">
        <v>656</v>
      </c>
      <c r="K157" s="37" t="s">
        <v>166</v>
      </c>
      <c r="L157" s="47">
        <v>214358.89</v>
      </c>
      <c r="M157" s="47">
        <v>202225.37</v>
      </c>
      <c r="N157" s="47">
        <v>12133.52</v>
      </c>
      <c r="O157" s="37" t="s">
        <v>2104</v>
      </c>
      <c r="P157" s="29"/>
      <c r="Q157" s="27"/>
      <c r="T157" s="29"/>
      <c r="U157" s="32"/>
      <c r="V157" s="91"/>
      <c r="X157" s="29"/>
      <c r="Y157" s="27"/>
      <c r="Z157" s="30"/>
      <c r="AD157" s="29"/>
    </row>
    <row r="158" hidden="1" customHeight="1" spans="1:30">
      <c r="A158" s="37" t="s">
        <v>637</v>
      </c>
      <c r="B158" s="38">
        <v>45016</v>
      </c>
      <c r="C158" s="37" t="s">
        <v>811</v>
      </c>
      <c r="D158" s="37" t="s">
        <v>653</v>
      </c>
      <c r="E158" s="37" t="s">
        <v>640</v>
      </c>
      <c r="F158" s="37" t="s">
        <v>641</v>
      </c>
      <c r="G158" s="37" t="s">
        <v>1899</v>
      </c>
      <c r="H158" s="37" t="s">
        <v>650</v>
      </c>
      <c r="I158" s="37" t="s">
        <v>1921</v>
      </c>
      <c r="J158" s="37" t="s">
        <v>656</v>
      </c>
      <c r="K158" s="37" t="s">
        <v>166</v>
      </c>
      <c r="L158" s="47">
        <v>351691.33</v>
      </c>
      <c r="M158" s="47">
        <v>331784.27</v>
      </c>
      <c r="N158" s="47">
        <v>19907.06</v>
      </c>
      <c r="O158" s="37" t="s">
        <v>2105</v>
      </c>
      <c r="P158" s="29"/>
      <c r="Q158" s="27"/>
      <c r="T158" s="29"/>
      <c r="U158" s="32"/>
      <c r="V158" s="91"/>
      <c r="X158" s="29"/>
      <c r="Y158" s="27"/>
      <c r="Z158" s="30"/>
      <c r="AD158" s="29"/>
    </row>
    <row r="159" hidden="1" customHeight="1" spans="1:30">
      <c r="A159" s="37" t="s">
        <v>637</v>
      </c>
      <c r="B159" s="38">
        <v>45016</v>
      </c>
      <c r="C159" s="37" t="s">
        <v>811</v>
      </c>
      <c r="D159" s="37" t="s">
        <v>653</v>
      </c>
      <c r="E159" s="37" t="s">
        <v>640</v>
      </c>
      <c r="F159" s="37" t="s">
        <v>641</v>
      </c>
      <c r="G159" s="37" t="s">
        <v>1899</v>
      </c>
      <c r="H159" s="37" t="s">
        <v>650</v>
      </c>
      <c r="I159" s="37" t="s">
        <v>435</v>
      </c>
      <c r="J159" s="37" t="s">
        <v>656</v>
      </c>
      <c r="K159" s="37" t="s">
        <v>166</v>
      </c>
      <c r="L159" s="47">
        <v>-27538.04</v>
      </c>
      <c r="M159" s="47">
        <v>-25979.28</v>
      </c>
      <c r="N159" s="47">
        <v>-1558.76</v>
      </c>
      <c r="O159" s="37" t="s">
        <v>2106</v>
      </c>
      <c r="P159" s="29"/>
      <c r="Q159" s="27"/>
      <c r="T159" s="29"/>
      <c r="U159" s="32"/>
      <c r="V159" s="91"/>
      <c r="X159" s="29"/>
      <c r="Y159" s="27"/>
      <c r="Z159" s="30"/>
      <c r="AD159" s="29"/>
    </row>
    <row r="160" hidden="1" customHeight="1" spans="1:30">
      <c r="A160" s="37" t="s">
        <v>637</v>
      </c>
      <c r="B160" s="38">
        <v>45016</v>
      </c>
      <c r="C160" s="37" t="s">
        <v>811</v>
      </c>
      <c r="D160" s="37" t="s">
        <v>653</v>
      </c>
      <c r="E160" s="37" t="s">
        <v>640</v>
      </c>
      <c r="F160" s="37" t="s">
        <v>641</v>
      </c>
      <c r="G160" s="37" t="s">
        <v>1901</v>
      </c>
      <c r="H160" s="37" t="s">
        <v>650</v>
      </c>
      <c r="I160" s="37" t="s">
        <v>435</v>
      </c>
      <c r="J160" s="37" t="s">
        <v>656</v>
      </c>
      <c r="K160" s="37" t="s">
        <v>166</v>
      </c>
      <c r="L160" s="47">
        <v>76359.42</v>
      </c>
      <c r="M160" s="47">
        <v>72037.19</v>
      </c>
      <c r="N160" s="47">
        <v>4322.23</v>
      </c>
      <c r="O160" s="37" t="s">
        <v>2107</v>
      </c>
      <c r="P160" s="29"/>
      <c r="Q160" s="27"/>
      <c r="T160" s="29"/>
      <c r="U160" s="32"/>
      <c r="V160" s="91"/>
      <c r="X160" s="29"/>
      <c r="Y160" s="27"/>
      <c r="Z160" s="30"/>
      <c r="AD160" s="29"/>
    </row>
    <row r="161" hidden="1" customHeight="1" spans="1:30">
      <c r="A161" s="37" t="s">
        <v>637</v>
      </c>
      <c r="B161" s="38">
        <v>45016</v>
      </c>
      <c r="C161" s="37" t="s">
        <v>811</v>
      </c>
      <c r="D161" s="37" t="s">
        <v>653</v>
      </c>
      <c r="E161" s="37" t="s">
        <v>640</v>
      </c>
      <c r="F161" s="37" t="s">
        <v>641</v>
      </c>
      <c r="G161" s="37" t="s">
        <v>1899</v>
      </c>
      <c r="H161" s="37" t="s">
        <v>650</v>
      </c>
      <c r="I161" s="37" t="s">
        <v>433</v>
      </c>
      <c r="J161" s="37" t="s">
        <v>656</v>
      </c>
      <c r="K161" s="37" t="s">
        <v>166</v>
      </c>
      <c r="L161" s="47">
        <v>1242.58</v>
      </c>
      <c r="M161" s="47">
        <v>1172.25</v>
      </c>
      <c r="N161" s="47">
        <v>70.33</v>
      </c>
      <c r="O161" s="37" t="s">
        <v>2108</v>
      </c>
      <c r="P161" s="29"/>
      <c r="Q161" s="27"/>
      <c r="T161" s="29"/>
      <c r="U161" s="32"/>
      <c r="V161" s="91"/>
      <c r="X161" s="29"/>
      <c r="Y161" s="27"/>
      <c r="Z161" s="30"/>
      <c r="AD161" s="29"/>
    </row>
    <row r="162" hidden="1" customHeight="1" spans="1:30">
      <c r="A162" s="37" t="s">
        <v>637</v>
      </c>
      <c r="B162" s="38">
        <v>45016</v>
      </c>
      <c r="C162" s="37" t="s">
        <v>811</v>
      </c>
      <c r="D162" s="37" t="s">
        <v>653</v>
      </c>
      <c r="E162" s="37" t="s">
        <v>640</v>
      </c>
      <c r="F162" s="37" t="s">
        <v>641</v>
      </c>
      <c r="G162" s="37" t="s">
        <v>1899</v>
      </c>
      <c r="H162" s="37" t="s">
        <v>650</v>
      </c>
      <c r="I162" s="37" t="s">
        <v>433</v>
      </c>
      <c r="J162" s="37" t="s">
        <v>656</v>
      </c>
      <c r="K162" s="37" t="s">
        <v>166</v>
      </c>
      <c r="L162" s="47">
        <v>-7165</v>
      </c>
      <c r="M162" s="47">
        <v>-6759.43</v>
      </c>
      <c r="N162" s="47">
        <v>-405.57</v>
      </c>
      <c r="O162" s="37" t="s">
        <v>2109</v>
      </c>
      <c r="P162" s="29"/>
      <c r="Q162" s="27"/>
      <c r="T162" s="29"/>
      <c r="U162" s="32"/>
      <c r="V162" s="91"/>
      <c r="X162" s="29"/>
      <c r="Y162" s="27"/>
      <c r="Z162" s="30"/>
      <c r="AD162" s="29"/>
    </row>
    <row r="163" hidden="1" customHeight="1" spans="1:30">
      <c r="A163" s="37" t="s">
        <v>637</v>
      </c>
      <c r="B163" s="38">
        <v>45016</v>
      </c>
      <c r="C163" s="37" t="s">
        <v>811</v>
      </c>
      <c r="D163" s="37" t="s">
        <v>653</v>
      </c>
      <c r="E163" s="37" t="s">
        <v>640</v>
      </c>
      <c r="F163" s="37" t="s">
        <v>641</v>
      </c>
      <c r="G163" s="37" t="s">
        <v>1901</v>
      </c>
      <c r="H163" s="37" t="s">
        <v>650</v>
      </c>
      <c r="I163" s="37" t="s">
        <v>433</v>
      </c>
      <c r="J163" s="37" t="s">
        <v>656</v>
      </c>
      <c r="K163" s="37" t="s">
        <v>166</v>
      </c>
      <c r="L163" s="47">
        <v>1317.48</v>
      </c>
      <c r="M163" s="47">
        <v>1242.91</v>
      </c>
      <c r="N163" s="47">
        <v>74.57</v>
      </c>
      <c r="O163" s="37" t="s">
        <v>2110</v>
      </c>
      <c r="P163" s="29"/>
      <c r="Q163" s="27"/>
      <c r="T163" s="29"/>
      <c r="U163" s="32"/>
      <c r="V163" s="91"/>
      <c r="X163" s="29"/>
      <c r="Y163" s="27"/>
      <c r="Z163" s="30"/>
      <c r="AD163" s="29"/>
    </row>
    <row r="164" hidden="1" customHeight="1" spans="1:30">
      <c r="A164" s="37" t="s">
        <v>637</v>
      </c>
      <c r="B164" s="38">
        <v>45016</v>
      </c>
      <c r="C164" s="37" t="s">
        <v>811</v>
      </c>
      <c r="D164" s="37" t="s">
        <v>653</v>
      </c>
      <c r="E164" s="37" t="s">
        <v>640</v>
      </c>
      <c r="F164" s="37" t="s">
        <v>641</v>
      </c>
      <c r="G164" s="37" t="s">
        <v>1901</v>
      </c>
      <c r="H164" s="37" t="s">
        <v>650</v>
      </c>
      <c r="I164" s="37" t="s">
        <v>433</v>
      </c>
      <c r="J164" s="37" t="s">
        <v>656</v>
      </c>
      <c r="K164" s="37" t="s">
        <v>166</v>
      </c>
      <c r="L164" s="47">
        <v>18638.5</v>
      </c>
      <c r="M164" s="47">
        <v>17583.49</v>
      </c>
      <c r="N164" s="47">
        <v>1055.01</v>
      </c>
      <c r="O164" s="37" t="s">
        <v>2111</v>
      </c>
      <c r="P164" s="29"/>
      <c r="Q164" s="27"/>
      <c r="T164" s="29"/>
      <c r="U164" s="32"/>
      <c r="V164" s="91"/>
      <c r="X164" s="29"/>
      <c r="Y164" s="27"/>
      <c r="Z164" s="30"/>
      <c r="AD164" s="29"/>
    </row>
    <row r="165" hidden="1" customHeight="1" spans="1:30">
      <c r="A165" s="37" t="s">
        <v>637</v>
      </c>
      <c r="B165" s="38">
        <v>45016</v>
      </c>
      <c r="C165" s="37" t="s">
        <v>811</v>
      </c>
      <c r="D165" s="37" t="s">
        <v>653</v>
      </c>
      <c r="E165" s="37" t="s">
        <v>640</v>
      </c>
      <c r="F165" s="37" t="s">
        <v>641</v>
      </c>
      <c r="G165" s="37" t="s">
        <v>1899</v>
      </c>
      <c r="H165" s="37" t="s">
        <v>650</v>
      </c>
      <c r="I165" s="37" t="s">
        <v>433</v>
      </c>
      <c r="J165" s="37" t="s">
        <v>656</v>
      </c>
      <c r="K165" s="37" t="s">
        <v>166</v>
      </c>
      <c r="L165" s="47">
        <v>35778.6</v>
      </c>
      <c r="M165" s="47">
        <v>33753.4</v>
      </c>
      <c r="N165" s="47">
        <v>2025.2</v>
      </c>
      <c r="O165" s="37" t="s">
        <v>2112</v>
      </c>
      <c r="P165" s="29"/>
      <c r="Q165" s="27"/>
      <c r="T165" s="29"/>
      <c r="U165" s="32"/>
      <c r="V165" s="91"/>
      <c r="X165" s="29"/>
      <c r="Y165" s="27"/>
      <c r="Z165" s="30"/>
      <c r="AD165" s="29"/>
    </row>
    <row r="166" hidden="1" customHeight="1" spans="1:30">
      <c r="A166" s="37" t="s">
        <v>637</v>
      </c>
      <c r="B166" s="38">
        <v>45016</v>
      </c>
      <c r="C166" s="37" t="s">
        <v>748</v>
      </c>
      <c r="D166" s="37" t="s">
        <v>726</v>
      </c>
      <c r="E166" s="37" t="s">
        <v>640</v>
      </c>
      <c r="F166" s="37" t="s">
        <v>641</v>
      </c>
      <c r="G166" s="37" t="s">
        <v>1899</v>
      </c>
      <c r="H166" s="37" t="s">
        <v>643</v>
      </c>
      <c r="I166" s="37" t="s">
        <v>1984</v>
      </c>
      <c r="J166" s="37" t="s">
        <v>644</v>
      </c>
      <c r="K166" s="37" t="s">
        <v>14</v>
      </c>
      <c r="L166" s="47">
        <v>19770</v>
      </c>
      <c r="M166" s="47">
        <v>18650.94</v>
      </c>
      <c r="N166" s="47">
        <v>1119.06</v>
      </c>
      <c r="O166" s="37" t="s">
        <v>2113</v>
      </c>
      <c r="P166" s="29"/>
      <c r="Q166" s="27"/>
      <c r="T166" s="29"/>
      <c r="U166" s="32"/>
      <c r="V166" s="91"/>
      <c r="X166" s="29"/>
      <c r="Y166" s="27"/>
      <c r="Z166" s="30"/>
      <c r="AD166" s="29"/>
    </row>
    <row r="167" hidden="1" customHeight="1" spans="1:30">
      <c r="A167" s="37" t="s">
        <v>637</v>
      </c>
      <c r="B167" s="38">
        <v>45016</v>
      </c>
      <c r="C167" s="37" t="s">
        <v>748</v>
      </c>
      <c r="D167" s="37" t="s">
        <v>1902</v>
      </c>
      <c r="E167" s="37" t="s">
        <v>640</v>
      </c>
      <c r="F167" s="37" t="s">
        <v>641</v>
      </c>
      <c r="G167" s="37" t="s">
        <v>1899</v>
      </c>
      <c r="H167" s="37" t="s">
        <v>650</v>
      </c>
      <c r="I167" s="37" t="s">
        <v>779</v>
      </c>
      <c r="J167" s="37" t="s">
        <v>644</v>
      </c>
      <c r="K167" s="37" t="s">
        <v>14</v>
      </c>
      <c r="L167" s="47">
        <v>29378.35</v>
      </c>
      <c r="M167" s="47">
        <v>27715.42</v>
      </c>
      <c r="N167" s="47">
        <v>1662.93</v>
      </c>
      <c r="O167" s="37" t="s">
        <v>2114</v>
      </c>
      <c r="P167" s="29"/>
      <c r="Q167" s="27"/>
      <c r="T167" s="29"/>
      <c r="U167" s="32"/>
      <c r="V167" s="91"/>
      <c r="X167" s="29"/>
      <c r="Y167" s="27"/>
      <c r="Z167" s="30"/>
      <c r="AD167" s="29"/>
    </row>
    <row r="168" hidden="1" customHeight="1" spans="1:30">
      <c r="A168" s="37" t="s">
        <v>637</v>
      </c>
      <c r="B168" s="38">
        <v>45016</v>
      </c>
      <c r="C168" s="37" t="s">
        <v>748</v>
      </c>
      <c r="D168" s="37" t="s">
        <v>726</v>
      </c>
      <c r="E168" s="37" t="s">
        <v>640</v>
      </c>
      <c r="F168" s="37" t="s">
        <v>641</v>
      </c>
      <c r="G168" s="37" t="s">
        <v>1901</v>
      </c>
      <c r="H168" s="37" t="s">
        <v>643</v>
      </c>
      <c r="I168" s="37" t="s">
        <v>444</v>
      </c>
      <c r="J168" s="37" t="s">
        <v>656</v>
      </c>
      <c r="K168" s="37" t="s">
        <v>14</v>
      </c>
      <c r="L168" s="47">
        <v>17789.46</v>
      </c>
      <c r="M168" s="47">
        <v>16782.51</v>
      </c>
      <c r="N168" s="47">
        <v>1006.95</v>
      </c>
      <c r="O168" s="37" t="s">
        <v>2115</v>
      </c>
      <c r="P168" s="29"/>
      <c r="Q168" s="27"/>
      <c r="T168" s="29"/>
      <c r="U168" s="32"/>
      <c r="V168" s="91"/>
      <c r="X168" s="29"/>
      <c r="Y168" s="27"/>
      <c r="Z168" s="30"/>
      <c r="AD168" s="29"/>
    </row>
    <row r="169" hidden="1" customHeight="1" spans="1:30">
      <c r="A169" s="37" t="s">
        <v>637</v>
      </c>
      <c r="B169" s="38">
        <v>45016</v>
      </c>
      <c r="C169" s="37" t="s">
        <v>748</v>
      </c>
      <c r="D169" s="37" t="s">
        <v>653</v>
      </c>
      <c r="E169" s="37" t="s">
        <v>640</v>
      </c>
      <c r="F169" s="37" t="s">
        <v>641</v>
      </c>
      <c r="G169" s="37" t="s">
        <v>1901</v>
      </c>
      <c r="H169" s="37" t="s">
        <v>650</v>
      </c>
      <c r="I169" s="37" t="s">
        <v>463</v>
      </c>
      <c r="J169" s="37" t="s">
        <v>656</v>
      </c>
      <c r="K169" s="37" t="s">
        <v>166</v>
      </c>
      <c r="L169" s="47">
        <v>32001.5</v>
      </c>
      <c r="M169" s="47">
        <v>30190.09</v>
      </c>
      <c r="N169" s="47">
        <v>1811.41</v>
      </c>
      <c r="O169" s="37" t="s">
        <v>2116</v>
      </c>
      <c r="P169" s="29"/>
      <c r="Q169" s="27"/>
      <c r="T169" s="29"/>
      <c r="U169" s="32"/>
      <c r="V169" s="91"/>
      <c r="X169" s="29"/>
      <c r="Y169" s="27"/>
      <c r="Z169" s="30"/>
      <c r="AD169" s="29"/>
    </row>
    <row r="170" hidden="1" customHeight="1" spans="1:30">
      <c r="A170" s="37" t="s">
        <v>637</v>
      </c>
      <c r="B170" s="38">
        <v>45016</v>
      </c>
      <c r="C170" s="37" t="s">
        <v>748</v>
      </c>
      <c r="D170" s="37" t="s">
        <v>1902</v>
      </c>
      <c r="E170" s="37" t="s">
        <v>640</v>
      </c>
      <c r="F170" s="37" t="s">
        <v>641</v>
      </c>
      <c r="G170" s="37" t="s">
        <v>1901</v>
      </c>
      <c r="H170" s="37" t="s">
        <v>643</v>
      </c>
      <c r="I170" s="37" t="s">
        <v>444</v>
      </c>
      <c r="J170" s="37" t="s">
        <v>656</v>
      </c>
      <c r="K170" s="37" t="s">
        <v>14</v>
      </c>
      <c r="L170" s="47">
        <v>494.58</v>
      </c>
      <c r="M170" s="47">
        <v>466.58</v>
      </c>
      <c r="N170" s="47">
        <v>28</v>
      </c>
      <c r="O170" s="37" t="s">
        <v>2117</v>
      </c>
      <c r="P170" s="29"/>
      <c r="Q170" s="27"/>
      <c r="T170" s="29"/>
      <c r="U170" s="32"/>
      <c r="V170" s="91"/>
      <c r="X170" s="29"/>
      <c r="Y170" s="27"/>
      <c r="Z170" s="30"/>
      <c r="AD170" s="29"/>
    </row>
    <row r="171" hidden="1" customHeight="1" spans="1:30">
      <c r="A171" s="37" t="s">
        <v>637</v>
      </c>
      <c r="B171" s="38">
        <v>45016</v>
      </c>
      <c r="C171" s="37" t="s">
        <v>748</v>
      </c>
      <c r="D171" s="37" t="s">
        <v>1284</v>
      </c>
      <c r="E171" s="37" t="s">
        <v>640</v>
      </c>
      <c r="F171" s="37" t="s">
        <v>641</v>
      </c>
      <c r="G171" s="37" t="s">
        <v>1901</v>
      </c>
      <c r="H171" s="37" t="s">
        <v>643</v>
      </c>
      <c r="I171" s="37" t="s">
        <v>444</v>
      </c>
      <c r="J171" s="37" t="s">
        <v>656</v>
      </c>
      <c r="K171" s="37" t="s">
        <v>14</v>
      </c>
      <c r="L171" s="47">
        <v>785.54</v>
      </c>
      <c r="M171" s="47">
        <v>741.08</v>
      </c>
      <c r="N171" s="47">
        <v>44.46</v>
      </c>
      <c r="O171" s="37" t="s">
        <v>2118</v>
      </c>
      <c r="P171" s="29"/>
      <c r="Q171" s="27"/>
      <c r="T171" s="29"/>
      <c r="U171" s="32"/>
      <c r="V171" s="91"/>
      <c r="X171" s="29"/>
      <c r="Y171" s="27"/>
      <c r="Z171" s="30"/>
      <c r="AD171" s="29"/>
    </row>
    <row r="172" hidden="1" customHeight="1" spans="1:30">
      <c r="A172" s="37" t="s">
        <v>637</v>
      </c>
      <c r="B172" s="38">
        <v>45016</v>
      </c>
      <c r="C172" s="37" t="s">
        <v>748</v>
      </c>
      <c r="D172" s="37" t="s">
        <v>726</v>
      </c>
      <c r="E172" s="37" t="s">
        <v>1898</v>
      </c>
      <c r="F172" s="37" t="s">
        <v>641</v>
      </c>
      <c r="G172" s="37" t="s">
        <v>1899</v>
      </c>
      <c r="H172" s="37" t="s">
        <v>643</v>
      </c>
      <c r="I172" s="37" t="s">
        <v>444</v>
      </c>
      <c r="J172" s="37" t="s">
        <v>656</v>
      </c>
      <c r="K172" s="37" t="s">
        <v>14</v>
      </c>
      <c r="L172" s="47">
        <v>48593.24</v>
      </c>
      <c r="M172" s="47">
        <v>45842.68</v>
      </c>
      <c r="N172" s="47">
        <v>2750.56</v>
      </c>
      <c r="O172" s="37" t="s">
        <v>2119</v>
      </c>
      <c r="P172" s="29"/>
      <c r="Q172" s="27"/>
      <c r="T172" s="29"/>
      <c r="U172" s="32"/>
      <c r="V172" s="91"/>
      <c r="X172" s="29"/>
      <c r="Y172" s="27"/>
      <c r="Z172" s="30"/>
      <c r="AD172" s="29"/>
    </row>
    <row r="173" hidden="1" customHeight="1" spans="1:30">
      <c r="A173" s="37" t="s">
        <v>637</v>
      </c>
      <c r="B173" s="38">
        <v>45016</v>
      </c>
      <c r="C173" s="37" t="s">
        <v>748</v>
      </c>
      <c r="D173" s="37" t="s">
        <v>1902</v>
      </c>
      <c r="E173" s="37" t="s">
        <v>1898</v>
      </c>
      <c r="F173" s="37" t="s">
        <v>641</v>
      </c>
      <c r="G173" s="37" t="s">
        <v>1899</v>
      </c>
      <c r="H173" s="37" t="s">
        <v>643</v>
      </c>
      <c r="I173" s="37" t="s">
        <v>444</v>
      </c>
      <c r="J173" s="37" t="s">
        <v>656</v>
      </c>
      <c r="K173" s="37" t="s">
        <v>14</v>
      </c>
      <c r="L173" s="47">
        <v>3242.07</v>
      </c>
      <c r="M173" s="47">
        <v>3058.56</v>
      </c>
      <c r="N173" s="47">
        <v>183.51</v>
      </c>
      <c r="O173" s="37" t="s">
        <v>2120</v>
      </c>
      <c r="P173" s="29"/>
      <c r="Q173" s="27"/>
      <c r="T173" s="29"/>
      <c r="U173" s="32"/>
      <c r="V173" s="91"/>
      <c r="X173" s="29"/>
      <c r="Y173" s="27"/>
      <c r="Z173" s="30"/>
      <c r="AD173" s="29"/>
    </row>
    <row r="174" hidden="1" customHeight="1" spans="1:30">
      <c r="A174" s="37" t="s">
        <v>637</v>
      </c>
      <c r="B174" s="38">
        <v>45016</v>
      </c>
      <c r="C174" s="37" t="s">
        <v>748</v>
      </c>
      <c r="D174" s="37" t="s">
        <v>1284</v>
      </c>
      <c r="E174" s="37" t="s">
        <v>1898</v>
      </c>
      <c r="F174" s="37" t="s">
        <v>641</v>
      </c>
      <c r="G174" s="37" t="s">
        <v>1899</v>
      </c>
      <c r="H174" s="37" t="s">
        <v>643</v>
      </c>
      <c r="I174" s="37" t="s">
        <v>444</v>
      </c>
      <c r="J174" s="37" t="s">
        <v>656</v>
      </c>
      <c r="K174" s="37" t="s">
        <v>14</v>
      </c>
      <c r="L174" s="47">
        <v>2005.78</v>
      </c>
      <c r="M174" s="47">
        <v>1892.25</v>
      </c>
      <c r="N174" s="47">
        <v>113.53</v>
      </c>
      <c r="O174" s="37" t="s">
        <v>2121</v>
      </c>
      <c r="P174" s="29"/>
      <c r="Q174" s="27"/>
      <c r="T174" s="29"/>
      <c r="U174" s="32"/>
      <c r="V174" s="91"/>
      <c r="X174" s="29"/>
      <c r="Y174" s="27"/>
      <c r="Z174" s="30"/>
      <c r="AD174" s="29"/>
    </row>
    <row r="175" hidden="1" customHeight="1" spans="1:30">
      <c r="A175" s="37" t="s">
        <v>637</v>
      </c>
      <c r="B175" s="38">
        <v>45016</v>
      </c>
      <c r="C175" s="37" t="s">
        <v>748</v>
      </c>
      <c r="D175" s="37" t="s">
        <v>1284</v>
      </c>
      <c r="E175" s="37" t="s">
        <v>1898</v>
      </c>
      <c r="F175" s="37" t="s">
        <v>641</v>
      </c>
      <c r="G175" s="37" t="s">
        <v>1899</v>
      </c>
      <c r="H175" s="37" t="s">
        <v>643</v>
      </c>
      <c r="I175" s="37" t="s">
        <v>779</v>
      </c>
      <c r="J175" s="37" t="s">
        <v>644</v>
      </c>
      <c r="K175" s="37" t="s">
        <v>14</v>
      </c>
      <c r="L175" s="47">
        <v>29378.35</v>
      </c>
      <c r="M175" s="47">
        <v>27715.42</v>
      </c>
      <c r="N175" s="47">
        <v>1662.93</v>
      </c>
      <c r="O175" s="37" t="s">
        <v>2122</v>
      </c>
      <c r="P175" s="29"/>
      <c r="Q175" s="27"/>
      <c r="T175" s="29"/>
      <c r="U175" s="32"/>
      <c r="V175" s="91"/>
      <c r="X175" s="29"/>
      <c r="Y175" s="27"/>
      <c r="Z175" s="30"/>
      <c r="AD175" s="29"/>
    </row>
    <row r="176" hidden="1" customHeight="1" spans="1:30">
      <c r="A176" s="37" t="s">
        <v>637</v>
      </c>
      <c r="B176" s="38">
        <v>45016</v>
      </c>
      <c r="C176" s="37" t="s">
        <v>748</v>
      </c>
      <c r="D176" s="37" t="s">
        <v>726</v>
      </c>
      <c r="E176" s="37" t="s">
        <v>1898</v>
      </c>
      <c r="F176" s="37" t="s">
        <v>641</v>
      </c>
      <c r="G176" s="37" t="s">
        <v>1899</v>
      </c>
      <c r="H176" s="37" t="s">
        <v>643</v>
      </c>
      <c r="I176" s="37" t="s">
        <v>1910</v>
      </c>
      <c r="J176" s="37" t="s">
        <v>644</v>
      </c>
      <c r="K176" s="37" t="s">
        <v>350</v>
      </c>
      <c r="L176" s="47">
        <v>12799.33</v>
      </c>
      <c r="M176" s="47">
        <v>12074.84</v>
      </c>
      <c r="N176" s="47">
        <v>724.49</v>
      </c>
      <c r="O176" s="37" t="s">
        <v>2123</v>
      </c>
      <c r="P176" s="29"/>
      <c r="Q176" s="27"/>
      <c r="T176" s="29"/>
      <c r="U176" s="32"/>
      <c r="V176" s="91"/>
      <c r="X176" s="29"/>
      <c r="Y176" s="27"/>
      <c r="Z176" s="30"/>
      <c r="AD176" s="29"/>
    </row>
    <row r="177" hidden="1" customHeight="1" spans="1:30">
      <c r="A177" s="37" t="s">
        <v>637</v>
      </c>
      <c r="B177" s="38">
        <v>45016</v>
      </c>
      <c r="C177" s="37" t="s">
        <v>638</v>
      </c>
      <c r="D177" s="37" t="s">
        <v>1915</v>
      </c>
      <c r="E177" s="37" t="s">
        <v>640</v>
      </c>
      <c r="F177" s="37" t="s">
        <v>641</v>
      </c>
      <c r="G177" s="37" t="s">
        <v>1899</v>
      </c>
      <c r="H177" s="37" t="s">
        <v>643</v>
      </c>
      <c r="I177" s="37" t="s">
        <v>430</v>
      </c>
      <c r="J177" s="37" t="s">
        <v>656</v>
      </c>
      <c r="K177" s="37" t="s">
        <v>14</v>
      </c>
      <c r="L177" s="47">
        <v>165657.25</v>
      </c>
      <c r="M177" s="47">
        <v>156280.42</v>
      </c>
      <c r="N177" s="47">
        <v>9376.83</v>
      </c>
      <c r="O177" s="37" t="s">
        <v>2124</v>
      </c>
      <c r="P177" s="29"/>
      <c r="Q177" s="27"/>
      <c r="T177" s="29"/>
      <c r="U177" s="32"/>
      <c r="V177" s="91"/>
      <c r="X177" s="29"/>
      <c r="Y177" s="27"/>
      <c r="Z177" s="30"/>
      <c r="AD177" s="29"/>
    </row>
    <row r="178" hidden="1" customHeight="1" spans="1:30">
      <c r="A178" s="37" t="s">
        <v>637</v>
      </c>
      <c r="B178" s="38">
        <v>45016</v>
      </c>
      <c r="C178" s="37" t="s">
        <v>1273</v>
      </c>
      <c r="D178" s="37" t="s">
        <v>653</v>
      </c>
      <c r="E178" s="37" t="s">
        <v>640</v>
      </c>
      <c r="F178" s="37" t="s">
        <v>641</v>
      </c>
      <c r="G178" s="37" t="s">
        <v>1901</v>
      </c>
      <c r="H178" s="37" t="s">
        <v>650</v>
      </c>
      <c r="I178" s="37" t="s">
        <v>1923</v>
      </c>
      <c r="J178" s="37" t="s">
        <v>656</v>
      </c>
      <c r="K178" s="37" t="s">
        <v>166</v>
      </c>
      <c r="L178" s="47">
        <v>97675.31</v>
      </c>
      <c r="M178" s="47">
        <v>92146.52</v>
      </c>
      <c r="N178" s="47">
        <v>5528.79</v>
      </c>
      <c r="O178" s="37" t="s">
        <v>2125</v>
      </c>
      <c r="P178" s="29"/>
      <c r="Q178" s="27"/>
      <c r="T178" s="29"/>
      <c r="U178" s="32"/>
      <c r="V178" s="91"/>
      <c r="X178" s="29"/>
      <c r="Y178" s="27"/>
      <c r="Z178" s="30"/>
      <c r="AD178" s="29"/>
    </row>
    <row r="179" hidden="1" customHeight="1" spans="1:30">
      <c r="A179" s="37" t="s">
        <v>637</v>
      </c>
      <c r="B179" s="38">
        <v>45016</v>
      </c>
      <c r="C179" s="37" t="s">
        <v>646</v>
      </c>
      <c r="D179" s="37" t="s">
        <v>740</v>
      </c>
      <c r="E179" s="37" t="s">
        <v>640</v>
      </c>
      <c r="F179" s="37" t="s">
        <v>641</v>
      </c>
      <c r="G179" s="37" t="s">
        <v>1899</v>
      </c>
      <c r="H179" s="37" t="s">
        <v>650</v>
      </c>
      <c r="I179" s="37" t="s">
        <v>1934</v>
      </c>
      <c r="J179" s="37" t="s">
        <v>656</v>
      </c>
      <c r="K179" s="37" t="s">
        <v>13</v>
      </c>
      <c r="L179" s="47">
        <v>19504</v>
      </c>
      <c r="M179" s="47">
        <v>18400</v>
      </c>
      <c r="N179" s="47">
        <v>1104</v>
      </c>
      <c r="O179" s="37" t="s">
        <v>2126</v>
      </c>
      <c r="P179" s="29"/>
      <c r="Q179" s="27"/>
      <c r="T179" s="29"/>
      <c r="U179" s="32"/>
      <c r="V179" s="91"/>
      <c r="X179" s="29"/>
      <c r="Y179" s="27"/>
      <c r="Z179" s="30"/>
      <c r="AD179" s="29"/>
    </row>
    <row r="180" hidden="1" customHeight="1" spans="1:30">
      <c r="A180" s="37" t="s">
        <v>637</v>
      </c>
      <c r="B180" s="38">
        <v>45016</v>
      </c>
      <c r="C180" s="37" t="s">
        <v>646</v>
      </c>
      <c r="D180" s="37" t="s">
        <v>740</v>
      </c>
      <c r="E180" s="37" t="s">
        <v>640</v>
      </c>
      <c r="F180" s="37" t="s">
        <v>641</v>
      </c>
      <c r="G180" s="37" t="s">
        <v>1899</v>
      </c>
      <c r="H180" s="37" t="s">
        <v>650</v>
      </c>
      <c r="I180" s="37" t="s">
        <v>1936</v>
      </c>
      <c r="J180" s="37" t="s">
        <v>656</v>
      </c>
      <c r="K180" s="37" t="s">
        <v>13</v>
      </c>
      <c r="L180" s="47">
        <v>58500</v>
      </c>
      <c r="M180" s="47">
        <v>55188.68</v>
      </c>
      <c r="N180" s="47">
        <v>3311.32</v>
      </c>
      <c r="O180" s="37" t="s">
        <v>2127</v>
      </c>
      <c r="P180" s="29"/>
      <c r="Q180" s="27"/>
      <c r="T180" s="29"/>
      <c r="U180" s="32"/>
      <c r="V180" s="91"/>
      <c r="X180" s="29"/>
      <c r="Y180" s="27"/>
      <c r="Z180" s="30"/>
      <c r="AD180" s="29"/>
    </row>
    <row r="181" hidden="1" customHeight="1" spans="1:30">
      <c r="A181" s="37" t="s">
        <v>637</v>
      </c>
      <c r="B181" s="38">
        <v>45016</v>
      </c>
      <c r="C181" s="37" t="s">
        <v>646</v>
      </c>
      <c r="D181" s="37" t="s">
        <v>740</v>
      </c>
      <c r="E181" s="37" t="s">
        <v>640</v>
      </c>
      <c r="F181" s="37" t="s">
        <v>641</v>
      </c>
      <c r="G181" s="37" t="s">
        <v>1899</v>
      </c>
      <c r="H181" s="37" t="s">
        <v>643</v>
      </c>
      <c r="I181" s="37" t="s">
        <v>1982</v>
      </c>
      <c r="J181" s="37" t="s">
        <v>644</v>
      </c>
      <c r="K181" s="37" t="s">
        <v>14</v>
      </c>
      <c r="L181" s="47">
        <v>234815.78</v>
      </c>
      <c r="M181" s="47">
        <v>221524.32</v>
      </c>
      <c r="N181" s="47">
        <v>13291.46</v>
      </c>
      <c r="O181" s="37" t="s">
        <v>2128</v>
      </c>
      <c r="P181" s="29"/>
      <c r="Q181" s="27"/>
      <c r="T181" s="29"/>
      <c r="U181" s="32"/>
      <c r="V181" s="91"/>
      <c r="X181" s="29"/>
      <c r="Y181" s="27"/>
      <c r="Z181" s="30"/>
      <c r="AD181" s="29"/>
    </row>
    <row r="182" hidden="1" customHeight="1" spans="1:30">
      <c r="A182" s="37" t="s">
        <v>637</v>
      </c>
      <c r="B182" s="38">
        <v>45016</v>
      </c>
      <c r="C182" s="37" t="s">
        <v>646</v>
      </c>
      <c r="D182" s="37" t="s">
        <v>733</v>
      </c>
      <c r="E182" s="37" t="s">
        <v>640</v>
      </c>
      <c r="F182" s="37" t="s">
        <v>641</v>
      </c>
      <c r="G182" s="37" t="s">
        <v>1899</v>
      </c>
      <c r="H182" s="37" t="s">
        <v>643</v>
      </c>
      <c r="I182" s="37" t="s">
        <v>1906</v>
      </c>
      <c r="J182" s="37" t="s">
        <v>656</v>
      </c>
      <c r="K182" s="37" t="s">
        <v>14</v>
      </c>
      <c r="L182" s="47">
        <v>4705</v>
      </c>
      <c r="M182" s="47">
        <v>4438.68</v>
      </c>
      <c r="N182" s="47">
        <v>266.32</v>
      </c>
      <c r="O182" s="37" t="s">
        <v>2129</v>
      </c>
      <c r="P182" s="29"/>
      <c r="Q182" s="27"/>
      <c r="T182" s="29"/>
      <c r="U182" s="32"/>
      <c r="V182" s="91"/>
      <c r="X182" s="29"/>
      <c r="Y182" s="27"/>
      <c r="Z182" s="30"/>
      <c r="AD182" s="29"/>
    </row>
    <row r="183" hidden="1" customHeight="1" spans="1:30">
      <c r="A183" s="37" t="s">
        <v>637</v>
      </c>
      <c r="B183" s="38">
        <v>45016</v>
      </c>
      <c r="C183" s="37" t="s">
        <v>646</v>
      </c>
      <c r="D183" s="37" t="s">
        <v>733</v>
      </c>
      <c r="E183" s="37" t="s">
        <v>640</v>
      </c>
      <c r="F183" s="37" t="s">
        <v>641</v>
      </c>
      <c r="G183" s="37" t="s">
        <v>1899</v>
      </c>
      <c r="H183" s="37" t="s">
        <v>650</v>
      </c>
      <c r="I183" s="37" t="s">
        <v>1917</v>
      </c>
      <c r="J183" s="37" t="s">
        <v>656</v>
      </c>
      <c r="K183" s="37" t="s">
        <v>14</v>
      </c>
      <c r="L183" s="47">
        <v>229.97</v>
      </c>
      <c r="M183" s="47">
        <v>216.95</v>
      </c>
      <c r="N183" s="47">
        <v>13.02</v>
      </c>
      <c r="O183" s="37" t="s">
        <v>2130</v>
      </c>
      <c r="P183" s="29"/>
      <c r="Q183" s="27"/>
      <c r="T183" s="29"/>
      <c r="U183" s="32"/>
      <c r="V183" s="91"/>
      <c r="X183" s="29"/>
      <c r="Y183" s="27"/>
      <c r="Z183" s="30"/>
      <c r="AD183" s="29"/>
    </row>
    <row r="184" hidden="1" customHeight="1" spans="1:30">
      <c r="A184" s="37" t="s">
        <v>637</v>
      </c>
      <c r="B184" s="38">
        <v>45016</v>
      </c>
      <c r="C184" s="37" t="s">
        <v>646</v>
      </c>
      <c r="D184" s="37" t="s">
        <v>733</v>
      </c>
      <c r="E184" s="37" t="s">
        <v>640</v>
      </c>
      <c r="F184" s="37" t="s">
        <v>641</v>
      </c>
      <c r="G184" s="37" t="s">
        <v>1899</v>
      </c>
      <c r="H184" s="37" t="s">
        <v>643</v>
      </c>
      <c r="I184" s="37" t="s">
        <v>466</v>
      </c>
      <c r="J184" s="37" t="s">
        <v>656</v>
      </c>
      <c r="K184" s="37" t="s">
        <v>14</v>
      </c>
      <c r="L184" s="47">
        <v>53869.33</v>
      </c>
      <c r="M184" s="47">
        <v>50820.12</v>
      </c>
      <c r="N184" s="47">
        <v>3049.21</v>
      </c>
      <c r="O184" s="37" t="s">
        <v>2131</v>
      </c>
      <c r="P184" s="29"/>
      <c r="Q184" s="27"/>
      <c r="T184" s="29"/>
      <c r="U184" s="32"/>
      <c r="V184" s="91"/>
      <c r="X184" s="29"/>
      <c r="Y184" s="27"/>
      <c r="Z184" s="30"/>
      <c r="AD184" s="29"/>
    </row>
    <row r="185" hidden="1" customHeight="1" spans="1:30">
      <c r="A185" s="39" t="s">
        <v>1980</v>
      </c>
      <c r="B185" s="40">
        <v>45016</v>
      </c>
      <c r="C185" s="41" t="s">
        <v>811</v>
      </c>
      <c r="D185" s="41" t="s">
        <v>177</v>
      </c>
      <c r="E185" s="41" t="s">
        <v>1981</v>
      </c>
      <c r="F185" s="42" t="s">
        <v>641</v>
      </c>
      <c r="G185" s="42" t="s">
        <v>1899</v>
      </c>
      <c r="H185" s="42" t="s">
        <v>643</v>
      </c>
      <c r="I185" s="41" t="s">
        <v>433</v>
      </c>
      <c r="J185" s="41" t="s">
        <v>656</v>
      </c>
      <c r="K185" s="49" t="s">
        <v>166</v>
      </c>
      <c r="L185" s="50">
        <v>-13219.37</v>
      </c>
      <c r="M185" s="50">
        <v>-12471.13</v>
      </c>
      <c r="N185" s="51">
        <f t="shared" ref="N185:N193" si="4">L185-M185</f>
        <v>-748.240000000002</v>
      </c>
      <c r="P185" s="29"/>
      <c r="Q185" s="27"/>
      <c r="T185" s="29"/>
      <c r="U185" s="32"/>
      <c r="V185" s="91"/>
      <c r="X185" s="29"/>
      <c r="Y185" s="27"/>
      <c r="Z185" s="30"/>
      <c r="AD185" s="29"/>
    </row>
    <row r="186" hidden="1" customHeight="1" spans="1:30">
      <c r="A186" s="39" t="s">
        <v>1980</v>
      </c>
      <c r="B186" s="40">
        <v>45016</v>
      </c>
      <c r="C186" s="41" t="s">
        <v>811</v>
      </c>
      <c r="D186" s="41" t="s">
        <v>177</v>
      </c>
      <c r="E186" s="41" t="s">
        <v>1981</v>
      </c>
      <c r="F186" s="42" t="s">
        <v>641</v>
      </c>
      <c r="G186" s="42" t="s">
        <v>1899</v>
      </c>
      <c r="H186" s="42" t="s">
        <v>643</v>
      </c>
      <c r="I186" s="41" t="s">
        <v>435</v>
      </c>
      <c r="J186" s="41" t="s">
        <v>656</v>
      </c>
      <c r="K186" s="49" t="s">
        <v>166</v>
      </c>
      <c r="L186" s="50">
        <v>58918.75</v>
      </c>
      <c r="M186" s="50">
        <v>55583.69</v>
      </c>
      <c r="N186" s="51">
        <f t="shared" si="4"/>
        <v>3335.06</v>
      </c>
      <c r="P186" s="29"/>
      <c r="Q186" s="27"/>
      <c r="T186" s="29"/>
      <c r="U186" s="32"/>
      <c r="V186" s="91"/>
      <c r="X186" s="29"/>
      <c r="Y186" s="27"/>
      <c r="Z186" s="30"/>
      <c r="AD186" s="29"/>
    </row>
    <row r="187" hidden="1" customHeight="1" spans="1:30">
      <c r="A187" s="39" t="s">
        <v>1980</v>
      </c>
      <c r="B187" s="40">
        <v>45016</v>
      </c>
      <c r="C187" s="41" t="s">
        <v>811</v>
      </c>
      <c r="D187" s="41" t="s">
        <v>177</v>
      </c>
      <c r="E187" s="41" t="s">
        <v>1981</v>
      </c>
      <c r="F187" s="42" t="s">
        <v>641</v>
      </c>
      <c r="G187" s="42" t="s">
        <v>1901</v>
      </c>
      <c r="H187" s="42" t="s">
        <v>643</v>
      </c>
      <c r="I187" s="88" t="s">
        <v>433</v>
      </c>
      <c r="J187" s="41" t="s">
        <v>656</v>
      </c>
      <c r="K187" s="41" t="s">
        <v>166</v>
      </c>
      <c r="L187" s="50">
        <v>68916.01</v>
      </c>
      <c r="M187" s="50">
        <v>65015.13</v>
      </c>
      <c r="N187" s="51">
        <f t="shared" si="4"/>
        <v>3900.88</v>
      </c>
      <c r="P187" s="29"/>
      <c r="Q187" s="27"/>
      <c r="T187" s="29"/>
      <c r="U187" s="32"/>
      <c r="V187" s="91"/>
      <c r="X187" s="29"/>
      <c r="Y187" s="27"/>
      <c r="Z187" s="30"/>
      <c r="AD187" s="29"/>
    </row>
    <row r="188" hidden="1" customHeight="1" spans="1:30">
      <c r="A188" s="39" t="s">
        <v>1980</v>
      </c>
      <c r="B188" s="40">
        <v>45016</v>
      </c>
      <c r="C188" s="41" t="s">
        <v>811</v>
      </c>
      <c r="D188" s="41" t="s">
        <v>177</v>
      </c>
      <c r="E188" s="41" t="s">
        <v>1981</v>
      </c>
      <c r="F188" s="42" t="s">
        <v>641</v>
      </c>
      <c r="G188" s="42" t="s">
        <v>1901</v>
      </c>
      <c r="H188" s="42" t="s">
        <v>643</v>
      </c>
      <c r="I188" s="88" t="s">
        <v>435</v>
      </c>
      <c r="J188" s="41" t="s">
        <v>656</v>
      </c>
      <c r="K188" s="41" t="s">
        <v>166</v>
      </c>
      <c r="L188" s="50">
        <v>52662.47</v>
      </c>
      <c r="M188" s="50">
        <v>49681.6</v>
      </c>
      <c r="N188" s="51">
        <f t="shared" si="4"/>
        <v>2980.87</v>
      </c>
      <c r="P188" s="29"/>
      <c r="Q188" s="27"/>
      <c r="T188" s="29"/>
      <c r="U188" s="32"/>
      <c r="V188" s="91"/>
      <c r="X188" s="29"/>
      <c r="Y188" s="27"/>
      <c r="Z188" s="30"/>
      <c r="AD188" s="29"/>
    </row>
    <row r="189" hidden="1" customHeight="1" spans="1:30">
      <c r="A189" s="39" t="s">
        <v>1085</v>
      </c>
      <c r="B189" s="93">
        <v>45016</v>
      </c>
      <c r="C189" s="39" t="s">
        <v>2132</v>
      </c>
      <c r="D189" s="39"/>
      <c r="E189" s="39" t="s">
        <v>1085</v>
      </c>
      <c r="F189" s="94" t="s">
        <v>641</v>
      </c>
      <c r="G189" s="39" t="s">
        <v>1899</v>
      </c>
      <c r="H189" s="94" t="s">
        <v>650</v>
      </c>
      <c r="I189" s="39" t="s">
        <v>2033</v>
      </c>
      <c r="J189" s="94" t="s">
        <v>656</v>
      </c>
      <c r="K189" s="39" t="s">
        <v>20</v>
      </c>
      <c r="L189" s="90">
        <v>105000</v>
      </c>
      <c r="M189" s="90">
        <v>99056.61</v>
      </c>
      <c r="N189" s="95">
        <f t="shared" si="4"/>
        <v>5943.39</v>
      </c>
      <c r="O189" s="33"/>
      <c r="P189" s="33"/>
      <c r="Q189" s="33"/>
      <c r="R189" s="33"/>
      <c r="T189" s="29"/>
      <c r="U189" s="32"/>
      <c r="V189" s="91"/>
      <c r="X189" s="29"/>
      <c r="Y189" s="27"/>
      <c r="Z189" s="30"/>
      <c r="AD189" s="29"/>
    </row>
    <row r="190" hidden="1" customHeight="1" spans="1:30">
      <c r="A190" s="39" t="s">
        <v>1085</v>
      </c>
      <c r="B190" s="93">
        <v>45016</v>
      </c>
      <c r="C190" s="39" t="s">
        <v>715</v>
      </c>
      <c r="D190" s="39"/>
      <c r="E190" s="39" t="s">
        <v>1085</v>
      </c>
      <c r="F190" s="94" t="s">
        <v>641</v>
      </c>
      <c r="G190" s="39" t="s">
        <v>1899</v>
      </c>
      <c r="H190" s="94" t="s">
        <v>650</v>
      </c>
      <c r="I190" s="39" t="s">
        <v>1929</v>
      </c>
      <c r="J190" s="94" t="s">
        <v>656</v>
      </c>
      <c r="K190" s="39" t="s">
        <v>14</v>
      </c>
      <c r="L190" s="90">
        <v>-257388.3</v>
      </c>
      <c r="M190" s="90">
        <v>-242819.15</v>
      </c>
      <c r="N190" s="95">
        <f t="shared" si="4"/>
        <v>-14569.15</v>
      </c>
      <c r="O190" s="33"/>
      <c r="P190" s="33"/>
      <c r="Q190" s="33"/>
      <c r="R190" s="33"/>
      <c r="T190" s="29"/>
      <c r="U190" s="32"/>
      <c r="V190" s="91"/>
      <c r="X190" s="29"/>
      <c r="Y190" s="27"/>
      <c r="Z190" s="30"/>
      <c r="AD190" s="29"/>
    </row>
    <row r="191" hidden="1" customHeight="1" spans="1:30">
      <c r="A191" s="39" t="s">
        <v>1085</v>
      </c>
      <c r="B191" s="93">
        <v>45016</v>
      </c>
      <c r="C191" s="39" t="s">
        <v>730</v>
      </c>
      <c r="D191" s="39"/>
      <c r="E191" s="39" t="s">
        <v>1085</v>
      </c>
      <c r="F191" s="94" t="s">
        <v>641</v>
      </c>
      <c r="G191" s="39" t="s">
        <v>1899</v>
      </c>
      <c r="H191" s="94" t="s">
        <v>650</v>
      </c>
      <c r="I191" s="39" t="s">
        <v>473</v>
      </c>
      <c r="J191" s="94" t="s">
        <v>656</v>
      </c>
      <c r="K191" s="39" t="s">
        <v>14</v>
      </c>
      <c r="L191" s="90">
        <v>79374.91</v>
      </c>
      <c r="M191" s="90">
        <v>74881.99</v>
      </c>
      <c r="N191" s="95">
        <f t="shared" si="4"/>
        <v>4492.92</v>
      </c>
      <c r="O191" s="33"/>
      <c r="P191" s="33"/>
      <c r="Q191" s="33"/>
      <c r="R191" s="33"/>
      <c r="T191" s="29"/>
      <c r="U191" s="32"/>
      <c r="V191" s="91"/>
      <c r="X191" s="29"/>
      <c r="Y191" s="27"/>
      <c r="Z191" s="30"/>
      <c r="AD191" s="29"/>
    </row>
    <row r="192" customHeight="1" spans="1:30">
      <c r="A192" s="39" t="s">
        <v>1085</v>
      </c>
      <c r="B192" s="93">
        <v>45016</v>
      </c>
      <c r="C192" s="39" t="s">
        <v>811</v>
      </c>
      <c r="D192" s="39"/>
      <c r="E192" s="39" t="s">
        <v>1085</v>
      </c>
      <c r="F192" s="94" t="s">
        <v>641</v>
      </c>
      <c r="G192" s="39" t="s">
        <v>1899</v>
      </c>
      <c r="H192" s="94" t="s">
        <v>650</v>
      </c>
      <c r="I192" s="39" t="s">
        <v>435</v>
      </c>
      <c r="J192" s="94" t="s">
        <v>656</v>
      </c>
      <c r="K192" s="39" t="s">
        <v>14</v>
      </c>
      <c r="L192" s="90">
        <v>123365.28</v>
      </c>
      <c r="M192" s="90">
        <v>116382.34</v>
      </c>
      <c r="N192" s="95">
        <f t="shared" si="4"/>
        <v>6982.94</v>
      </c>
      <c r="P192" s="33"/>
      <c r="Q192" s="33"/>
      <c r="R192" s="33"/>
      <c r="T192" s="29"/>
      <c r="U192" s="32"/>
      <c r="V192" s="91"/>
      <c r="X192" s="29"/>
      <c r="Y192" s="27"/>
      <c r="Z192" s="30"/>
      <c r="AD192" s="29"/>
    </row>
    <row r="193" hidden="1" customHeight="1" spans="1:30">
      <c r="A193" s="39" t="s">
        <v>1085</v>
      </c>
      <c r="B193" s="93">
        <v>45016</v>
      </c>
      <c r="C193" s="39" t="s">
        <v>811</v>
      </c>
      <c r="D193" s="39"/>
      <c r="E193" s="39" t="s">
        <v>1085</v>
      </c>
      <c r="F193" s="94" t="s">
        <v>641</v>
      </c>
      <c r="G193" s="39" t="s">
        <v>1901</v>
      </c>
      <c r="H193" s="94" t="s">
        <v>650</v>
      </c>
      <c r="I193" s="39" t="s">
        <v>435</v>
      </c>
      <c r="J193" s="94" t="s">
        <v>656</v>
      </c>
      <c r="K193" s="39" t="s">
        <v>14</v>
      </c>
      <c r="L193" s="90">
        <v>65155.78</v>
      </c>
      <c r="M193" s="90">
        <v>61467.72</v>
      </c>
      <c r="N193" s="95">
        <f t="shared" si="4"/>
        <v>3688.06</v>
      </c>
      <c r="P193" s="29"/>
      <c r="Q193" s="27"/>
      <c r="T193" s="29"/>
      <c r="U193" s="32"/>
      <c r="V193" s="91"/>
      <c r="X193" s="29"/>
      <c r="Y193" s="27"/>
      <c r="Z193" s="30"/>
      <c r="AD193" s="29"/>
    </row>
    <row r="194" hidden="1" customHeight="1" spans="1:30">
      <c r="A194" s="37" t="s">
        <v>637</v>
      </c>
      <c r="B194" s="38">
        <v>45046</v>
      </c>
      <c r="C194" s="37" t="s">
        <v>700</v>
      </c>
      <c r="D194" s="37" t="s">
        <v>1902</v>
      </c>
      <c r="E194" s="37" t="s">
        <v>1898</v>
      </c>
      <c r="F194" s="37" t="s">
        <v>641</v>
      </c>
      <c r="G194" s="37" t="s">
        <v>1899</v>
      </c>
      <c r="H194" s="37" t="s">
        <v>643</v>
      </c>
      <c r="I194" s="37" t="s">
        <v>442</v>
      </c>
      <c r="J194" s="37" t="s">
        <v>656</v>
      </c>
      <c r="K194" s="37" t="s">
        <v>14</v>
      </c>
      <c r="L194" s="47">
        <v>46156.65</v>
      </c>
      <c r="M194" s="47">
        <v>43544.01</v>
      </c>
      <c r="N194" s="47">
        <v>2612.64</v>
      </c>
      <c r="O194" s="37" t="s">
        <v>2133</v>
      </c>
      <c r="P194" s="29"/>
      <c r="Q194" s="27"/>
      <c r="T194" s="29"/>
      <c r="U194" s="32"/>
      <c r="V194" s="91"/>
      <c r="X194" s="29"/>
      <c r="Y194" s="27"/>
      <c r="Z194" s="30"/>
      <c r="AD194" s="29"/>
    </row>
    <row r="195" hidden="1" customHeight="1" spans="1:30">
      <c r="A195" s="37" t="s">
        <v>637</v>
      </c>
      <c r="B195" s="38">
        <v>45046</v>
      </c>
      <c r="C195" s="37" t="s">
        <v>700</v>
      </c>
      <c r="D195" s="37" t="s">
        <v>2134</v>
      </c>
      <c r="E195" s="37" t="s">
        <v>640</v>
      </c>
      <c r="F195" s="37" t="s">
        <v>641</v>
      </c>
      <c r="G195" s="37" t="s">
        <v>1899</v>
      </c>
      <c r="H195" s="37" t="s">
        <v>643</v>
      </c>
      <c r="I195" s="37" t="s">
        <v>442</v>
      </c>
      <c r="J195" s="37" t="s">
        <v>656</v>
      </c>
      <c r="K195" s="37" t="s">
        <v>14</v>
      </c>
      <c r="L195" s="47">
        <v>10293.57</v>
      </c>
      <c r="M195" s="47">
        <v>9710.92</v>
      </c>
      <c r="N195" s="47">
        <v>582.65</v>
      </c>
      <c r="O195" s="37" t="s">
        <v>2135</v>
      </c>
      <c r="P195" s="29"/>
      <c r="Q195" s="27"/>
      <c r="T195" s="29"/>
      <c r="U195" s="32"/>
      <c r="V195" s="91"/>
      <c r="X195" s="29"/>
      <c r="Y195" s="27"/>
      <c r="Z195" s="30"/>
      <c r="AD195" s="29"/>
    </row>
    <row r="196" hidden="1" customHeight="1" spans="1:30">
      <c r="A196" s="37" t="s">
        <v>637</v>
      </c>
      <c r="B196" s="38">
        <v>45046</v>
      </c>
      <c r="C196" s="37" t="s">
        <v>646</v>
      </c>
      <c r="D196" s="37" t="s">
        <v>1284</v>
      </c>
      <c r="E196" s="37" t="s">
        <v>1898</v>
      </c>
      <c r="F196" s="37" t="s">
        <v>641</v>
      </c>
      <c r="G196" s="37" t="s">
        <v>1899</v>
      </c>
      <c r="H196" s="37" t="s">
        <v>643</v>
      </c>
      <c r="I196" s="37" t="s">
        <v>466</v>
      </c>
      <c r="J196" s="37" t="s">
        <v>656</v>
      </c>
      <c r="K196" s="37" t="s">
        <v>14</v>
      </c>
      <c r="L196" s="47">
        <v>67873.1</v>
      </c>
      <c r="M196" s="47">
        <v>64031.23</v>
      </c>
      <c r="N196" s="47">
        <v>3841.87</v>
      </c>
      <c r="O196" s="37" t="s">
        <v>2136</v>
      </c>
      <c r="P196" s="29"/>
      <c r="Q196" s="27"/>
      <c r="T196" s="29"/>
      <c r="U196" s="32"/>
      <c r="V196" s="91"/>
      <c r="X196" s="29"/>
      <c r="Y196" s="27"/>
      <c r="Z196" s="30"/>
      <c r="AD196" s="29"/>
    </row>
    <row r="197" hidden="1" customHeight="1" spans="1:30">
      <c r="A197" s="37" t="s">
        <v>637</v>
      </c>
      <c r="B197" s="38">
        <v>45046</v>
      </c>
      <c r="C197" s="37" t="s">
        <v>700</v>
      </c>
      <c r="D197" s="37" t="s">
        <v>1902</v>
      </c>
      <c r="E197" s="37" t="s">
        <v>640</v>
      </c>
      <c r="F197" s="37" t="s">
        <v>641</v>
      </c>
      <c r="G197" s="37" t="s">
        <v>1901</v>
      </c>
      <c r="H197" s="37" t="s">
        <v>650</v>
      </c>
      <c r="I197" s="37" t="s">
        <v>442</v>
      </c>
      <c r="J197" s="37" t="s">
        <v>656</v>
      </c>
      <c r="K197" s="37" t="s">
        <v>14</v>
      </c>
      <c r="L197" s="47">
        <v>14249.24</v>
      </c>
      <c r="M197" s="47">
        <v>13442.68</v>
      </c>
      <c r="N197" s="47">
        <v>806.56</v>
      </c>
      <c r="O197" s="37" t="s">
        <v>2137</v>
      </c>
      <c r="P197" s="29"/>
      <c r="Q197" s="27"/>
      <c r="T197" s="29"/>
      <c r="U197" s="32"/>
      <c r="V197" s="91"/>
      <c r="X197" s="29"/>
      <c r="Y197" s="27"/>
      <c r="Z197" s="30"/>
      <c r="AD197" s="29"/>
    </row>
    <row r="198" hidden="1" customHeight="1" spans="1:30">
      <c r="A198" s="37" t="s">
        <v>637</v>
      </c>
      <c r="B198" s="38">
        <v>45046</v>
      </c>
      <c r="C198" s="37" t="s">
        <v>638</v>
      </c>
      <c r="D198" s="37" t="s">
        <v>1915</v>
      </c>
      <c r="E198" s="37" t="s">
        <v>640</v>
      </c>
      <c r="F198" s="37" t="s">
        <v>641</v>
      </c>
      <c r="G198" s="37" t="s">
        <v>1899</v>
      </c>
      <c r="H198" s="37" t="s">
        <v>643</v>
      </c>
      <c r="I198" s="37" t="s">
        <v>430</v>
      </c>
      <c r="J198" s="37" t="s">
        <v>656</v>
      </c>
      <c r="K198" s="37" t="s">
        <v>14</v>
      </c>
      <c r="L198" s="47">
        <v>140038.94</v>
      </c>
      <c r="M198" s="47">
        <v>132112.21</v>
      </c>
      <c r="N198" s="47">
        <v>7926.73</v>
      </c>
      <c r="O198" s="37" t="s">
        <v>2138</v>
      </c>
      <c r="P198" s="29"/>
      <c r="Q198" s="27"/>
      <c r="T198" s="29"/>
      <c r="U198" s="32"/>
      <c r="V198" s="91"/>
      <c r="X198" s="29"/>
      <c r="Y198" s="27"/>
      <c r="Z198" s="30"/>
      <c r="AD198" s="29"/>
    </row>
    <row r="199" hidden="1" customHeight="1" spans="1:30">
      <c r="A199" s="37" t="s">
        <v>637</v>
      </c>
      <c r="B199" s="38">
        <v>45046</v>
      </c>
      <c r="C199" s="37" t="s">
        <v>1273</v>
      </c>
      <c r="D199" s="37" t="s">
        <v>653</v>
      </c>
      <c r="E199" s="37" t="s">
        <v>640</v>
      </c>
      <c r="F199" s="37" t="s">
        <v>641</v>
      </c>
      <c r="G199" s="37" t="s">
        <v>1899</v>
      </c>
      <c r="H199" s="37" t="s">
        <v>650</v>
      </c>
      <c r="I199" s="37" t="s">
        <v>737</v>
      </c>
      <c r="J199" s="37" t="s">
        <v>656</v>
      </c>
      <c r="K199" s="37" t="s">
        <v>166</v>
      </c>
      <c r="L199" s="47">
        <v>365515.94</v>
      </c>
      <c r="M199" s="47">
        <v>344826.36</v>
      </c>
      <c r="N199" s="47">
        <v>20689.58</v>
      </c>
      <c r="O199" s="37" t="s">
        <v>2139</v>
      </c>
      <c r="P199" s="29"/>
      <c r="Q199" s="27"/>
      <c r="T199" s="29"/>
      <c r="U199" s="32"/>
      <c r="V199" s="91"/>
      <c r="X199" s="29"/>
      <c r="Y199" s="27"/>
      <c r="Z199" s="30"/>
      <c r="AD199" s="29"/>
    </row>
    <row r="200" hidden="1" customHeight="1" spans="1:30">
      <c r="A200" s="37" t="s">
        <v>637</v>
      </c>
      <c r="B200" s="38">
        <v>45046</v>
      </c>
      <c r="C200" s="37" t="s">
        <v>1273</v>
      </c>
      <c r="D200" s="37" t="s">
        <v>653</v>
      </c>
      <c r="E200" s="37" t="s">
        <v>640</v>
      </c>
      <c r="F200" s="37" t="s">
        <v>641</v>
      </c>
      <c r="G200" s="37" t="s">
        <v>1901</v>
      </c>
      <c r="H200" s="37" t="s">
        <v>650</v>
      </c>
      <c r="I200" s="37" t="s">
        <v>1923</v>
      </c>
      <c r="J200" s="37" t="s">
        <v>656</v>
      </c>
      <c r="K200" s="37" t="s">
        <v>166</v>
      </c>
      <c r="L200" s="47">
        <v>6873.47</v>
      </c>
      <c r="M200" s="47">
        <v>6484.41</v>
      </c>
      <c r="N200" s="47">
        <v>389.06</v>
      </c>
      <c r="O200" s="37" t="s">
        <v>2140</v>
      </c>
      <c r="P200" s="29"/>
      <c r="Q200" s="27"/>
      <c r="T200" s="29"/>
      <c r="U200" s="32"/>
      <c r="V200" s="91"/>
      <c r="X200" s="29"/>
      <c r="Y200" s="27"/>
      <c r="Z200" s="30"/>
      <c r="AD200" s="29"/>
    </row>
    <row r="201" hidden="1" customHeight="1" spans="1:30">
      <c r="A201" s="37" t="s">
        <v>637</v>
      </c>
      <c r="B201" s="38">
        <v>45046</v>
      </c>
      <c r="C201" s="37" t="s">
        <v>1273</v>
      </c>
      <c r="D201" s="37" t="s">
        <v>653</v>
      </c>
      <c r="E201" s="37" t="s">
        <v>640</v>
      </c>
      <c r="F201" s="37" t="s">
        <v>641</v>
      </c>
      <c r="G201" s="37" t="s">
        <v>1899</v>
      </c>
      <c r="H201" s="37" t="s">
        <v>650</v>
      </c>
      <c r="I201" s="37" t="s">
        <v>737</v>
      </c>
      <c r="J201" s="37" t="s">
        <v>656</v>
      </c>
      <c r="K201" s="37" t="s">
        <v>166</v>
      </c>
      <c r="L201" s="47">
        <v>387402</v>
      </c>
      <c r="M201" s="47">
        <v>365473.58</v>
      </c>
      <c r="N201" s="47">
        <v>21928.42</v>
      </c>
      <c r="O201" s="37" t="s">
        <v>2141</v>
      </c>
      <c r="P201" s="29"/>
      <c r="Q201" s="27"/>
      <c r="T201" s="29"/>
      <c r="U201" s="32"/>
      <c r="V201" s="91"/>
      <c r="X201" s="29"/>
      <c r="Y201" s="27"/>
      <c r="Z201" s="30"/>
      <c r="AD201" s="29"/>
    </row>
    <row r="202" hidden="1" customHeight="1" spans="1:30">
      <c r="A202" s="37" t="s">
        <v>637</v>
      </c>
      <c r="B202" s="38">
        <v>45046</v>
      </c>
      <c r="C202" s="37" t="s">
        <v>646</v>
      </c>
      <c r="D202" s="37" t="s">
        <v>726</v>
      </c>
      <c r="E202" s="37" t="s">
        <v>640</v>
      </c>
      <c r="F202" s="37" t="s">
        <v>641</v>
      </c>
      <c r="G202" s="37" t="s">
        <v>1899</v>
      </c>
      <c r="H202" s="37" t="s">
        <v>643</v>
      </c>
      <c r="I202" s="37" t="s">
        <v>1906</v>
      </c>
      <c r="J202" s="37" t="s">
        <v>644</v>
      </c>
      <c r="K202" s="37" t="s">
        <v>14</v>
      </c>
      <c r="L202" s="47">
        <v>-608.58</v>
      </c>
      <c r="M202" s="47">
        <v>-574.13</v>
      </c>
      <c r="N202" s="47">
        <v>-34.45</v>
      </c>
      <c r="O202" s="37" t="s">
        <v>2142</v>
      </c>
      <c r="P202" s="29"/>
      <c r="Q202" s="27"/>
      <c r="T202" s="29"/>
      <c r="U202" s="32"/>
      <c r="V202" s="91"/>
      <c r="X202" s="29"/>
      <c r="Y202" s="27"/>
      <c r="Z202" s="30"/>
      <c r="AD202" s="29"/>
    </row>
    <row r="203" hidden="1" customHeight="1" spans="1:30">
      <c r="A203" s="37" t="s">
        <v>637</v>
      </c>
      <c r="B203" s="38">
        <v>45046</v>
      </c>
      <c r="C203" s="37" t="s">
        <v>646</v>
      </c>
      <c r="D203" s="37" t="s">
        <v>726</v>
      </c>
      <c r="E203" s="37" t="s">
        <v>640</v>
      </c>
      <c r="F203" s="37" t="s">
        <v>641</v>
      </c>
      <c r="G203" s="37" t="s">
        <v>1899</v>
      </c>
      <c r="H203" s="37" t="s">
        <v>643</v>
      </c>
      <c r="I203" s="37" t="s">
        <v>1987</v>
      </c>
      <c r="J203" s="37" t="s">
        <v>644</v>
      </c>
      <c r="K203" s="37" t="s">
        <v>14</v>
      </c>
      <c r="L203" s="47">
        <v>42258.87</v>
      </c>
      <c r="M203" s="47">
        <v>39866.86</v>
      </c>
      <c r="N203" s="47">
        <v>2392.01</v>
      </c>
      <c r="O203" s="37" t="s">
        <v>2143</v>
      </c>
      <c r="P203" s="29"/>
      <c r="Q203" s="27"/>
      <c r="T203" s="29"/>
      <c r="U203" s="32"/>
      <c r="V203" s="91"/>
      <c r="X203" s="29"/>
      <c r="Y203" s="27"/>
      <c r="Z203" s="30"/>
      <c r="AD203" s="29"/>
    </row>
    <row r="204" hidden="1" customHeight="1" spans="1:30">
      <c r="A204" s="37" t="s">
        <v>637</v>
      </c>
      <c r="B204" s="38">
        <v>45046</v>
      </c>
      <c r="C204" s="37" t="s">
        <v>646</v>
      </c>
      <c r="D204" s="37" t="s">
        <v>1902</v>
      </c>
      <c r="E204" s="37" t="s">
        <v>640</v>
      </c>
      <c r="F204" s="37" t="s">
        <v>641</v>
      </c>
      <c r="G204" s="37" t="s">
        <v>1899</v>
      </c>
      <c r="H204" s="37" t="s">
        <v>643</v>
      </c>
      <c r="I204" s="37" t="s">
        <v>466</v>
      </c>
      <c r="J204" s="37" t="s">
        <v>656</v>
      </c>
      <c r="K204" s="37" t="s">
        <v>14</v>
      </c>
      <c r="L204" s="47">
        <v>39627.19</v>
      </c>
      <c r="M204" s="47">
        <v>37384.14</v>
      </c>
      <c r="N204" s="47">
        <v>2243.05</v>
      </c>
      <c r="O204" s="37" t="s">
        <v>2144</v>
      </c>
      <c r="P204" s="29"/>
      <c r="Q204" s="27"/>
      <c r="T204" s="29"/>
      <c r="U204" s="32"/>
      <c r="V204" s="91"/>
      <c r="X204" s="29"/>
      <c r="Y204" s="27"/>
      <c r="Z204" s="30"/>
      <c r="AD204" s="29"/>
    </row>
    <row r="205" hidden="1" customHeight="1" spans="1:30">
      <c r="A205" s="37" t="s">
        <v>637</v>
      </c>
      <c r="B205" s="38">
        <v>45046</v>
      </c>
      <c r="C205" s="37" t="s">
        <v>646</v>
      </c>
      <c r="D205" s="37" t="s">
        <v>740</v>
      </c>
      <c r="E205" s="37" t="s">
        <v>640</v>
      </c>
      <c r="F205" s="37" t="s">
        <v>641</v>
      </c>
      <c r="G205" s="37" t="s">
        <v>1899</v>
      </c>
      <c r="H205" s="37" t="s">
        <v>650</v>
      </c>
      <c r="I205" s="37" t="s">
        <v>1936</v>
      </c>
      <c r="J205" s="37" t="s">
        <v>656</v>
      </c>
      <c r="K205" s="37" t="s">
        <v>13</v>
      </c>
      <c r="L205" s="47">
        <v>60000</v>
      </c>
      <c r="M205" s="47">
        <v>56603.77</v>
      </c>
      <c r="N205" s="47">
        <v>3396.23</v>
      </c>
      <c r="O205" s="37" t="s">
        <v>2145</v>
      </c>
      <c r="P205" s="29"/>
      <c r="Q205" s="27"/>
      <c r="T205" s="29"/>
      <c r="U205" s="32"/>
      <c r="V205" s="91"/>
      <c r="X205" s="29"/>
      <c r="Y205" s="27"/>
      <c r="Z205" s="30"/>
      <c r="AD205" s="29"/>
    </row>
    <row r="206" hidden="1" customHeight="1" spans="1:30">
      <c r="A206" s="37" t="s">
        <v>637</v>
      </c>
      <c r="B206" s="38">
        <v>45046</v>
      </c>
      <c r="C206" s="37" t="s">
        <v>646</v>
      </c>
      <c r="D206" s="37" t="s">
        <v>740</v>
      </c>
      <c r="E206" s="37" t="s">
        <v>640</v>
      </c>
      <c r="F206" s="37" t="s">
        <v>641</v>
      </c>
      <c r="G206" s="37" t="s">
        <v>1899</v>
      </c>
      <c r="H206" s="37" t="s">
        <v>650</v>
      </c>
      <c r="I206" s="37" t="s">
        <v>1934</v>
      </c>
      <c r="J206" s="37" t="s">
        <v>656</v>
      </c>
      <c r="K206" s="37" t="s">
        <v>13</v>
      </c>
      <c r="L206" s="47">
        <v>31800</v>
      </c>
      <c r="M206" s="47">
        <v>30000</v>
      </c>
      <c r="N206" s="47">
        <v>1800</v>
      </c>
      <c r="O206" s="37" t="s">
        <v>2146</v>
      </c>
      <c r="P206" s="29"/>
      <c r="Q206" s="27"/>
      <c r="T206" s="29"/>
      <c r="U206" s="32"/>
      <c r="V206" s="91"/>
      <c r="X206" s="29"/>
      <c r="Y206" s="27"/>
      <c r="Z206" s="30"/>
      <c r="AD206" s="29"/>
    </row>
    <row r="207" hidden="1" customHeight="1" spans="1:30">
      <c r="A207" s="37" t="s">
        <v>637</v>
      </c>
      <c r="B207" s="38">
        <v>45046</v>
      </c>
      <c r="C207" s="37" t="s">
        <v>646</v>
      </c>
      <c r="D207" s="37" t="s">
        <v>726</v>
      </c>
      <c r="E207" s="37" t="s">
        <v>640</v>
      </c>
      <c r="F207" s="37" t="s">
        <v>641</v>
      </c>
      <c r="G207" s="37" t="s">
        <v>1899</v>
      </c>
      <c r="H207" s="37" t="s">
        <v>650</v>
      </c>
      <c r="I207" s="37" t="s">
        <v>779</v>
      </c>
      <c r="J207" s="37" t="s">
        <v>644</v>
      </c>
      <c r="K207" s="37" t="s">
        <v>14</v>
      </c>
      <c r="L207" s="47">
        <v>157000</v>
      </c>
      <c r="M207" s="47">
        <v>148113.21</v>
      </c>
      <c r="N207" s="47">
        <v>8886.79</v>
      </c>
      <c r="O207" s="37" t="s">
        <v>2147</v>
      </c>
      <c r="P207" s="29"/>
      <c r="Q207" s="27"/>
      <c r="T207" s="29"/>
      <c r="U207" s="32"/>
      <c r="V207" s="91"/>
      <c r="X207" s="29"/>
      <c r="Y207" s="27"/>
      <c r="Z207" s="30"/>
      <c r="AD207" s="29"/>
    </row>
    <row r="208" hidden="1" customHeight="1" spans="1:30">
      <c r="A208" s="37" t="s">
        <v>637</v>
      </c>
      <c r="B208" s="38">
        <v>45046</v>
      </c>
      <c r="C208" s="37" t="s">
        <v>646</v>
      </c>
      <c r="D208" s="37" t="s">
        <v>740</v>
      </c>
      <c r="E208" s="37" t="s">
        <v>640</v>
      </c>
      <c r="F208" s="37" t="s">
        <v>641</v>
      </c>
      <c r="G208" s="37" t="s">
        <v>1899</v>
      </c>
      <c r="H208" s="37" t="s">
        <v>650</v>
      </c>
      <c r="I208" s="37" t="s">
        <v>461</v>
      </c>
      <c r="J208" s="37" t="s">
        <v>644</v>
      </c>
      <c r="K208" s="37" t="s">
        <v>14</v>
      </c>
      <c r="L208" s="47">
        <v>43684.45</v>
      </c>
      <c r="M208" s="47">
        <v>41211.75</v>
      </c>
      <c r="N208" s="47">
        <v>2472.7</v>
      </c>
      <c r="O208" s="37" t="s">
        <v>2148</v>
      </c>
      <c r="P208" s="29"/>
      <c r="Q208" s="27"/>
      <c r="T208" s="29"/>
      <c r="U208" s="32"/>
      <c r="V208" s="91"/>
      <c r="X208" s="29"/>
      <c r="Y208" s="27"/>
      <c r="Z208" s="30"/>
      <c r="AD208" s="29"/>
    </row>
    <row r="209" hidden="1" customHeight="1" spans="1:30">
      <c r="A209" s="37" t="s">
        <v>637</v>
      </c>
      <c r="B209" s="38">
        <v>45046</v>
      </c>
      <c r="C209" s="37" t="s">
        <v>646</v>
      </c>
      <c r="D209" s="37" t="s">
        <v>2134</v>
      </c>
      <c r="E209" s="37" t="s">
        <v>640</v>
      </c>
      <c r="F209" s="37" t="s">
        <v>641</v>
      </c>
      <c r="G209" s="37" t="s">
        <v>1899</v>
      </c>
      <c r="H209" s="37" t="s">
        <v>643</v>
      </c>
      <c r="I209" s="37" t="s">
        <v>466</v>
      </c>
      <c r="J209" s="37" t="s">
        <v>656</v>
      </c>
      <c r="K209" s="37" t="s">
        <v>14</v>
      </c>
      <c r="L209" s="47">
        <v>44941.64</v>
      </c>
      <c r="M209" s="47">
        <v>42397.77</v>
      </c>
      <c r="N209" s="47">
        <v>2543.87</v>
      </c>
      <c r="O209" s="37" t="s">
        <v>2149</v>
      </c>
      <c r="P209" s="29"/>
      <c r="Q209" s="27"/>
      <c r="T209" s="29"/>
      <c r="U209" s="32"/>
      <c r="V209" s="91"/>
      <c r="X209" s="29"/>
      <c r="Y209" s="27"/>
      <c r="Z209" s="30"/>
      <c r="AD209" s="29"/>
    </row>
    <row r="210" hidden="1" customHeight="1" spans="1:30">
      <c r="A210" s="37" t="s">
        <v>637</v>
      </c>
      <c r="B210" s="38">
        <v>45046</v>
      </c>
      <c r="C210" s="37" t="s">
        <v>646</v>
      </c>
      <c r="D210" s="37" t="s">
        <v>1902</v>
      </c>
      <c r="E210" s="37" t="s">
        <v>640</v>
      </c>
      <c r="F210" s="37" t="s">
        <v>641</v>
      </c>
      <c r="G210" s="37" t="s">
        <v>1899</v>
      </c>
      <c r="H210" s="37" t="s">
        <v>650</v>
      </c>
      <c r="I210" s="37" t="s">
        <v>436</v>
      </c>
      <c r="J210" s="37" t="s">
        <v>644</v>
      </c>
      <c r="K210" s="37" t="s">
        <v>350</v>
      </c>
      <c r="L210" s="47">
        <v>44994.76</v>
      </c>
      <c r="M210" s="47">
        <v>42447.89</v>
      </c>
      <c r="N210" s="47">
        <v>2546.87</v>
      </c>
      <c r="O210" s="37" t="s">
        <v>2150</v>
      </c>
      <c r="P210" s="29"/>
      <c r="Q210" s="27"/>
      <c r="T210" s="29"/>
      <c r="U210" s="32"/>
      <c r="V210" s="91"/>
      <c r="X210" s="29"/>
      <c r="Y210" s="27"/>
      <c r="Z210" s="30"/>
      <c r="AD210" s="29"/>
    </row>
    <row r="211" hidden="1" customHeight="1" spans="1:30">
      <c r="A211" s="37" t="s">
        <v>637</v>
      </c>
      <c r="B211" s="38">
        <v>45046</v>
      </c>
      <c r="C211" s="37" t="s">
        <v>646</v>
      </c>
      <c r="D211" s="37" t="s">
        <v>726</v>
      </c>
      <c r="E211" s="37" t="s">
        <v>640</v>
      </c>
      <c r="F211" s="37" t="s">
        <v>641</v>
      </c>
      <c r="G211" s="37" t="s">
        <v>1899</v>
      </c>
      <c r="H211" s="37" t="s">
        <v>650</v>
      </c>
      <c r="I211" s="37" t="s">
        <v>1938</v>
      </c>
      <c r="J211" s="37" t="s">
        <v>656</v>
      </c>
      <c r="K211" s="37" t="s">
        <v>14</v>
      </c>
      <c r="L211" s="47">
        <v>47366.02</v>
      </c>
      <c r="M211" s="47">
        <v>44684.92</v>
      </c>
      <c r="N211" s="47">
        <v>2681.1</v>
      </c>
      <c r="O211" s="37" t="s">
        <v>2151</v>
      </c>
      <c r="P211" s="29"/>
      <c r="Q211" s="27"/>
      <c r="T211" s="29"/>
      <c r="U211" s="32"/>
      <c r="V211" s="91"/>
      <c r="X211" s="29"/>
      <c r="Y211" s="27"/>
      <c r="Z211" s="30"/>
      <c r="AD211" s="29"/>
    </row>
    <row r="212" hidden="1" customHeight="1" spans="1:30">
      <c r="A212" s="37" t="s">
        <v>637</v>
      </c>
      <c r="B212" s="38">
        <v>45046</v>
      </c>
      <c r="C212" s="37" t="s">
        <v>646</v>
      </c>
      <c r="D212" s="37" t="s">
        <v>1915</v>
      </c>
      <c r="E212" s="37" t="s">
        <v>640</v>
      </c>
      <c r="F212" s="37" t="s">
        <v>641</v>
      </c>
      <c r="G212" s="37" t="s">
        <v>1899</v>
      </c>
      <c r="H212" s="37" t="s">
        <v>643</v>
      </c>
      <c r="I212" s="37" t="s">
        <v>441</v>
      </c>
      <c r="J212" s="37" t="s">
        <v>656</v>
      </c>
      <c r="K212" s="37" t="s">
        <v>14</v>
      </c>
      <c r="L212" s="47">
        <v>1172250</v>
      </c>
      <c r="M212" s="47">
        <v>1105896.23</v>
      </c>
      <c r="N212" s="47">
        <v>66353.77</v>
      </c>
      <c r="O212" s="37" t="s">
        <v>2152</v>
      </c>
      <c r="P212" s="29"/>
      <c r="Q212" s="27"/>
      <c r="T212" s="29"/>
      <c r="U212" s="32"/>
      <c r="V212" s="91"/>
      <c r="X212" s="29"/>
      <c r="Y212" s="27"/>
      <c r="Z212" s="30"/>
      <c r="AD212" s="29"/>
    </row>
    <row r="213" hidden="1" customHeight="1" spans="1:30">
      <c r="A213" s="37" t="s">
        <v>637</v>
      </c>
      <c r="B213" s="38">
        <v>45046</v>
      </c>
      <c r="C213" s="37" t="s">
        <v>646</v>
      </c>
      <c r="D213" s="37" t="s">
        <v>653</v>
      </c>
      <c r="E213" s="37" t="s">
        <v>640</v>
      </c>
      <c r="F213" s="37" t="s">
        <v>641</v>
      </c>
      <c r="G213" s="37" t="s">
        <v>1899</v>
      </c>
      <c r="H213" s="37" t="s">
        <v>650</v>
      </c>
      <c r="I213" s="37" t="s">
        <v>1933</v>
      </c>
      <c r="J213" s="37" t="s">
        <v>644</v>
      </c>
      <c r="K213" s="37" t="s">
        <v>166</v>
      </c>
      <c r="L213" s="47">
        <v>49800</v>
      </c>
      <c r="M213" s="47">
        <v>46981.13</v>
      </c>
      <c r="N213" s="47">
        <v>2818.87</v>
      </c>
      <c r="O213" s="37" t="s">
        <v>2153</v>
      </c>
      <c r="P213" s="29"/>
      <c r="Q213" s="27"/>
      <c r="T213" s="29"/>
      <c r="U213" s="32"/>
      <c r="V213" s="91"/>
      <c r="X213" s="29"/>
      <c r="Y213" s="27"/>
      <c r="Z213" s="30"/>
      <c r="AD213" s="29"/>
    </row>
    <row r="214" hidden="1" customHeight="1" spans="1:30">
      <c r="A214" s="37" t="s">
        <v>637</v>
      </c>
      <c r="B214" s="38">
        <v>45046</v>
      </c>
      <c r="C214" s="37" t="s">
        <v>646</v>
      </c>
      <c r="D214" s="37" t="s">
        <v>2134</v>
      </c>
      <c r="E214" s="37" t="s">
        <v>640</v>
      </c>
      <c r="F214" s="37" t="s">
        <v>641</v>
      </c>
      <c r="G214" s="37" t="s">
        <v>1899</v>
      </c>
      <c r="H214" s="37" t="s">
        <v>643</v>
      </c>
      <c r="I214" s="37" t="s">
        <v>1906</v>
      </c>
      <c r="J214" s="37" t="s">
        <v>656</v>
      </c>
      <c r="K214" s="37" t="s">
        <v>14</v>
      </c>
      <c r="L214" s="47">
        <v>5152.8</v>
      </c>
      <c r="M214" s="47">
        <v>4861.13</v>
      </c>
      <c r="N214" s="47">
        <v>291.67</v>
      </c>
      <c r="O214" s="37" t="s">
        <v>2154</v>
      </c>
      <c r="P214" s="29"/>
      <c r="Q214" s="27"/>
      <c r="T214" s="29"/>
      <c r="U214" s="32"/>
      <c r="V214" s="91"/>
      <c r="X214" s="29"/>
      <c r="Y214" s="27"/>
      <c r="Z214" s="30"/>
      <c r="AD214" s="29"/>
    </row>
    <row r="215" hidden="1" customHeight="1" spans="1:30">
      <c r="A215" s="37" t="s">
        <v>637</v>
      </c>
      <c r="B215" s="38">
        <v>45046</v>
      </c>
      <c r="C215" s="37" t="s">
        <v>646</v>
      </c>
      <c r="D215" s="37" t="s">
        <v>740</v>
      </c>
      <c r="E215" s="37" t="s">
        <v>640</v>
      </c>
      <c r="F215" s="37" t="s">
        <v>641</v>
      </c>
      <c r="G215" s="37" t="s">
        <v>1899</v>
      </c>
      <c r="H215" s="37" t="s">
        <v>643</v>
      </c>
      <c r="I215" s="37" t="s">
        <v>1982</v>
      </c>
      <c r="J215" s="37" t="s">
        <v>644</v>
      </c>
      <c r="K215" s="37" t="s">
        <v>14</v>
      </c>
      <c r="L215" s="47">
        <v>140910.29</v>
      </c>
      <c r="M215" s="47">
        <v>132934.24</v>
      </c>
      <c r="N215" s="47">
        <v>7976.05</v>
      </c>
      <c r="O215" s="37" t="s">
        <v>2155</v>
      </c>
      <c r="P215" s="29"/>
      <c r="Q215" s="27"/>
      <c r="T215" s="29"/>
      <c r="U215" s="32"/>
      <c r="V215" s="91"/>
      <c r="X215" s="29"/>
      <c r="Y215" s="27"/>
      <c r="Z215" s="30"/>
      <c r="AD215" s="29"/>
    </row>
    <row r="216" hidden="1" customHeight="1" spans="1:30">
      <c r="A216" s="37" t="s">
        <v>637</v>
      </c>
      <c r="B216" s="38">
        <v>45046</v>
      </c>
      <c r="C216" s="37" t="s">
        <v>646</v>
      </c>
      <c r="D216" s="37" t="s">
        <v>1915</v>
      </c>
      <c r="E216" s="37" t="s">
        <v>640</v>
      </c>
      <c r="F216" s="37" t="s">
        <v>641</v>
      </c>
      <c r="G216" s="37" t="s">
        <v>1899</v>
      </c>
      <c r="H216" s="37" t="s">
        <v>643</v>
      </c>
      <c r="I216" s="37" t="s">
        <v>441</v>
      </c>
      <c r="J216" s="37" t="s">
        <v>656</v>
      </c>
      <c r="K216" s="37" t="s">
        <v>14</v>
      </c>
      <c r="L216" s="47">
        <v>32552.19</v>
      </c>
      <c r="M216" s="47">
        <v>30709.61</v>
      </c>
      <c r="N216" s="47">
        <v>1842.58</v>
      </c>
      <c r="O216" s="37" t="s">
        <v>2156</v>
      </c>
      <c r="P216" s="29"/>
      <c r="Q216" s="27"/>
      <c r="T216" s="29"/>
      <c r="U216" s="32"/>
      <c r="V216" s="91"/>
      <c r="X216" s="29"/>
      <c r="Y216" s="27"/>
      <c r="Z216" s="30"/>
      <c r="AD216" s="29"/>
    </row>
    <row r="217" hidden="1" customHeight="1" spans="1:30">
      <c r="A217" s="37" t="s">
        <v>637</v>
      </c>
      <c r="B217" s="38">
        <v>45046</v>
      </c>
      <c r="C217" s="37" t="s">
        <v>646</v>
      </c>
      <c r="D217" s="37" t="s">
        <v>2134</v>
      </c>
      <c r="E217" s="37" t="s">
        <v>640</v>
      </c>
      <c r="F217" s="37" t="s">
        <v>641</v>
      </c>
      <c r="G217" s="37" t="s">
        <v>1899</v>
      </c>
      <c r="H217" s="37" t="s">
        <v>650</v>
      </c>
      <c r="I217" s="37" t="s">
        <v>1917</v>
      </c>
      <c r="J217" s="37" t="s">
        <v>656</v>
      </c>
      <c r="K217" s="37" t="s">
        <v>14</v>
      </c>
      <c r="L217" s="47">
        <v>183.6</v>
      </c>
      <c r="M217" s="47">
        <v>173.21</v>
      </c>
      <c r="N217" s="47">
        <v>10.39</v>
      </c>
      <c r="O217" s="37" t="s">
        <v>2157</v>
      </c>
      <c r="P217" s="29"/>
      <c r="Q217" s="27"/>
      <c r="T217" s="29"/>
      <c r="U217" s="32"/>
      <c r="V217" s="91"/>
      <c r="X217" s="29"/>
      <c r="Y217" s="27"/>
      <c r="Z217" s="30"/>
      <c r="AD217" s="29"/>
    </row>
    <row r="218" hidden="1" customHeight="1" spans="1:30">
      <c r="A218" s="37" t="s">
        <v>637</v>
      </c>
      <c r="B218" s="38">
        <v>45046</v>
      </c>
      <c r="C218" s="37" t="s">
        <v>646</v>
      </c>
      <c r="D218" s="37" t="s">
        <v>1915</v>
      </c>
      <c r="E218" s="37" t="s">
        <v>640</v>
      </c>
      <c r="F218" s="37" t="s">
        <v>641</v>
      </c>
      <c r="G218" s="37" t="s">
        <v>1901</v>
      </c>
      <c r="H218" s="37" t="s">
        <v>643</v>
      </c>
      <c r="I218" s="37" t="s">
        <v>441</v>
      </c>
      <c r="J218" s="37" t="s">
        <v>656</v>
      </c>
      <c r="K218" s="37" t="s">
        <v>14</v>
      </c>
      <c r="L218" s="47">
        <v>1172250</v>
      </c>
      <c r="M218" s="47">
        <v>1105896.23</v>
      </c>
      <c r="N218" s="47">
        <v>66353.77</v>
      </c>
      <c r="O218" s="37" t="s">
        <v>2158</v>
      </c>
      <c r="P218" s="29"/>
      <c r="Q218" s="27"/>
      <c r="T218" s="29"/>
      <c r="U218" s="32"/>
      <c r="V218" s="91"/>
      <c r="X218" s="29"/>
      <c r="Y218" s="27"/>
      <c r="Z218" s="30"/>
      <c r="AD218" s="29"/>
    </row>
    <row r="219" hidden="1" customHeight="1" spans="1:30">
      <c r="A219" s="37" t="s">
        <v>637</v>
      </c>
      <c r="B219" s="38">
        <v>45046</v>
      </c>
      <c r="C219" s="37" t="s">
        <v>646</v>
      </c>
      <c r="D219" s="37" t="s">
        <v>726</v>
      </c>
      <c r="E219" s="37" t="s">
        <v>640</v>
      </c>
      <c r="F219" s="37" t="s">
        <v>641</v>
      </c>
      <c r="G219" s="37" t="s">
        <v>1899</v>
      </c>
      <c r="H219" s="37" t="s">
        <v>643</v>
      </c>
      <c r="I219" s="37" t="s">
        <v>466</v>
      </c>
      <c r="J219" s="37" t="s">
        <v>656</v>
      </c>
      <c r="K219" s="37" t="s">
        <v>14</v>
      </c>
      <c r="L219" s="47">
        <v>-752</v>
      </c>
      <c r="M219" s="47">
        <v>-709.43</v>
      </c>
      <c r="N219" s="47">
        <v>-42.57</v>
      </c>
      <c r="O219" s="37" t="s">
        <v>2159</v>
      </c>
      <c r="P219" s="29"/>
      <c r="Q219" s="27"/>
      <c r="T219" s="29"/>
      <c r="U219" s="32"/>
      <c r="V219" s="91"/>
      <c r="X219" s="29"/>
      <c r="Y219" s="27"/>
      <c r="Z219" s="30"/>
      <c r="AD219" s="29"/>
    </row>
    <row r="220" hidden="1" customHeight="1" spans="1:30">
      <c r="A220" s="37" t="s">
        <v>637</v>
      </c>
      <c r="B220" s="38">
        <v>45046</v>
      </c>
      <c r="C220" s="37" t="s">
        <v>646</v>
      </c>
      <c r="D220" s="37" t="s">
        <v>726</v>
      </c>
      <c r="E220" s="37" t="s">
        <v>1898</v>
      </c>
      <c r="F220" s="37" t="s">
        <v>641</v>
      </c>
      <c r="G220" s="37" t="s">
        <v>1899</v>
      </c>
      <c r="H220" s="37" t="s">
        <v>643</v>
      </c>
      <c r="I220" s="37" t="s">
        <v>466</v>
      </c>
      <c r="J220" s="37" t="s">
        <v>656</v>
      </c>
      <c r="K220" s="37" t="s">
        <v>14</v>
      </c>
      <c r="L220" s="47">
        <v>429525.04</v>
      </c>
      <c r="M220" s="47">
        <v>405212.3</v>
      </c>
      <c r="N220" s="47">
        <v>24312.74</v>
      </c>
      <c r="O220" s="37" t="s">
        <v>2160</v>
      </c>
      <c r="P220" s="29"/>
      <c r="Q220" s="27"/>
      <c r="T220" s="29"/>
      <c r="U220" s="32"/>
      <c r="V220" s="91"/>
      <c r="X220" s="29"/>
      <c r="Y220" s="27"/>
      <c r="Z220" s="30"/>
      <c r="AD220" s="29"/>
    </row>
    <row r="221" hidden="1" customHeight="1" spans="1:30">
      <c r="A221" s="37" t="s">
        <v>637</v>
      </c>
      <c r="B221" s="38">
        <v>45046</v>
      </c>
      <c r="C221" s="37" t="s">
        <v>646</v>
      </c>
      <c r="D221" s="37" t="s">
        <v>1902</v>
      </c>
      <c r="E221" s="37" t="s">
        <v>1898</v>
      </c>
      <c r="F221" s="37" t="s">
        <v>641</v>
      </c>
      <c r="G221" s="37" t="s">
        <v>1899</v>
      </c>
      <c r="H221" s="37" t="s">
        <v>643</v>
      </c>
      <c r="I221" s="37" t="s">
        <v>466</v>
      </c>
      <c r="J221" s="37" t="s">
        <v>656</v>
      </c>
      <c r="K221" s="37" t="s">
        <v>14</v>
      </c>
      <c r="L221" s="47">
        <v>43179.11</v>
      </c>
      <c r="M221" s="47">
        <v>40735.01</v>
      </c>
      <c r="N221" s="47">
        <v>2444.1</v>
      </c>
      <c r="O221" s="37" t="s">
        <v>2161</v>
      </c>
      <c r="P221" s="29"/>
      <c r="Q221" s="27"/>
      <c r="T221" s="29"/>
      <c r="U221" s="32"/>
      <c r="V221" s="91"/>
      <c r="X221" s="29"/>
      <c r="Y221" s="27"/>
      <c r="Z221" s="30"/>
      <c r="AD221" s="29"/>
    </row>
    <row r="222" hidden="1" customHeight="1" spans="1:30">
      <c r="A222" s="37" t="s">
        <v>637</v>
      </c>
      <c r="B222" s="38">
        <v>45046</v>
      </c>
      <c r="C222" s="37" t="s">
        <v>646</v>
      </c>
      <c r="D222" s="37" t="s">
        <v>726</v>
      </c>
      <c r="E222" s="37" t="s">
        <v>1898</v>
      </c>
      <c r="F222" s="37" t="s">
        <v>641</v>
      </c>
      <c r="G222" s="37" t="s">
        <v>1899</v>
      </c>
      <c r="H222" s="37" t="s">
        <v>697</v>
      </c>
      <c r="I222" s="37" t="s">
        <v>1908</v>
      </c>
      <c r="J222" s="37" t="s">
        <v>656</v>
      </c>
      <c r="K222" s="37" t="s">
        <v>350</v>
      </c>
      <c r="L222" s="47">
        <v>12459.85</v>
      </c>
      <c r="M222" s="47">
        <v>11754.58</v>
      </c>
      <c r="N222" s="47">
        <v>705.27</v>
      </c>
      <c r="O222" s="37" t="s">
        <v>2162</v>
      </c>
      <c r="P222" s="29"/>
      <c r="Q222" s="27"/>
      <c r="T222" s="29"/>
      <c r="U222" s="32"/>
      <c r="V222" s="91"/>
      <c r="X222" s="29"/>
      <c r="Y222" s="27"/>
      <c r="Z222" s="30"/>
      <c r="AD222" s="29"/>
    </row>
    <row r="223" hidden="1" customHeight="1" spans="1:30">
      <c r="A223" s="37" t="s">
        <v>637</v>
      </c>
      <c r="B223" s="38">
        <v>45046</v>
      </c>
      <c r="C223" s="37" t="s">
        <v>646</v>
      </c>
      <c r="D223" s="37" t="s">
        <v>726</v>
      </c>
      <c r="E223" s="37" t="s">
        <v>1898</v>
      </c>
      <c r="F223" s="37" t="s">
        <v>641</v>
      </c>
      <c r="G223" s="37" t="s">
        <v>1899</v>
      </c>
      <c r="H223" s="37" t="s">
        <v>643</v>
      </c>
      <c r="I223" s="37" t="s">
        <v>1906</v>
      </c>
      <c r="J223" s="37" t="s">
        <v>644</v>
      </c>
      <c r="K223" s="37" t="s">
        <v>14</v>
      </c>
      <c r="L223" s="47">
        <v>85195.52</v>
      </c>
      <c r="M223" s="47">
        <v>80373.13</v>
      </c>
      <c r="N223" s="47">
        <v>4822.39</v>
      </c>
      <c r="O223" s="37" t="s">
        <v>2163</v>
      </c>
      <c r="P223" s="29"/>
      <c r="Q223" s="27"/>
      <c r="T223" s="29"/>
      <c r="U223" s="32"/>
      <c r="V223" s="91"/>
      <c r="X223" s="29"/>
      <c r="Y223" s="27"/>
      <c r="Z223" s="30"/>
      <c r="AD223" s="29"/>
    </row>
    <row r="224" hidden="1" customHeight="1" spans="1:30">
      <c r="A224" s="37" t="s">
        <v>637</v>
      </c>
      <c r="B224" s="38">
        <v>45046</v>
      </c>
      <c r="C224" s="37" t="s">
        <v>646</v>
      </c>
      <c r="D224" s="37" t="s">
        <v>1902</v>
      </c>
      <c r="E224" s="37" t="s">
        <v>1898</v>
      </c>
      <c r="F224" s="37" t="s">
        <v>641</v>
      </c>
      <c r="G224" s="37" t="s">
        <v>1899</v>
      </c>
      <c r="H224" s="37" t="s">
        <v>643</v>
      </c>
      <c r="I224" s="37" t="s">
        <v>466</v>
      </c>
      <c r="J224" s="37" t="s">
        <v>656</v>
      </c>
      <c r="K224" s="37" t="s">
        <v>14</v>
      </c>
      <c r="L224" s="47">
        <v>2143.3</v>
      </c>
      <c r="M224" s="47">
        <v>2021.98</v>
      </c>
      <c r="N224" s="47">
        <v>121.32</v>
      </c>
      <c r="O224" s="37" t="s">
        <v>2164</v>
      </c>
      <c r="P224" s="29"/>
      <c r="Q224" s="27"/>
      <c r="T224" s="29"/>
      <c r="U224" s="32"/>
      <c r="V224" s="91"/>
      <c r="X224" s="29"/>
      <c r="Y224" s="27"/>
      <c r="Z224" s="30"/>
      <c r="AD224" s="29"/>
    </row>
    <row r="225" hidden="1" customHeight="1" spans="1:30">
      <c r="A225" s="37" t="s">
        <v>637</v>
      </c>
      <c r="B225" s="38">
        <v>45046</v>
      </c>
      <c r="C225" s="37" t="s">
        <v>646</v>
      </c>
      <c r="D225" s="37" t="s">
        <v>740</v>
      </c>
      <c r="E225" s="37" t="s">
        <v>1898</v>
      </c>
      <c r="F225" s="37" t="s">
        <v>641</v>
      </c>
      <c r="G225" s="37" t="s">
        <v>1899</v>
      </c>
      <c r="H225" s="37" t="s">
        <v>643</v>
      </c>
      <c r="I225" s="37" t="s">
        <v>466</v>
      </c>
      <c r="J225" s="37" t="s">
        <v>656</v>
      </c>
      <c r="K225" s="37" t="s">
        <v>14</v>
      </c>
      <c r="L225" s="47">
        <v>769274.04</v>
      </c>
      <c r="M225" s="47">
        <v>725730.23</v>
      </c>
      <c r="N225" s="47">
        <v>43543.81</v>
      </c>
      <c r="O225" s="37" t="s">
        <v>2165</v>
      </c>
      <c r="P225" s="29"/>
      <c r="Q225" s="27"/>
      <c r="T225" s="29"/>
      <c r="U225" s="32"/>
      <c r="V225" s="91"/>
      <c r="X225" s="29"/>
      <c r="Y225" s="27"/>
      <c r="Z225" s="30"/>
      <c r="AD225" s="29"/>
    </row>
    <row r="226" hidden="1" customHeight="1" spans="1:30">
      <c r="A226" s="37" t="s">
        <v>637</v>
      </c>
      <c r="B226" s="38">
        <v>45046</v>
      </c>
      <c r="C226" s="37" t="s">
        <v>646</v>
      </c>
      <c r="D226" s="37" t="s">
        <v>726</v>
      </c>
      <c r="E226" s="37" t="s">
        <v>1898</v>
      </c>
      <c r="F226" s="37" t="s">
        <v>641</v>
      </c>
      <c r="G226" s="37" t="s">
        <v>1899</v>
      </c>
      <c r="H226" s="37" t="s">
        <v>650</v>
      </c>
      <c r="I226" s="37" t="s">
        <v>461</v>
      </c>
      <c r="J226" s="37" t="s">
        <v>656</v>
      </c>
      <c r="K226" s="37" t="s">
        <v>14</v>
      </c>
      <c r="L226" s="47">
        <v>30768.42</v>
      </c>
      <c r="M226" s="47">
        <v>29026.81</v>
      </c>
      <c r="N226" s="47">
        <v>1741.61</v>
      </c>
      <c r="O226" s="37" t="s">
        <v>2166</v>
      </c>
      <c r="P226" s="29"/>
      <c r="Q226" s="27"/>
      <c r="T226" s="29"/>
      <c r="U226" s="32"/>
      <c r="V226" s="91"/>
      <c r="X226" s="29"/>
      <c r="Y226" s="27"/>
      <c r="Z226" s="30"/>
      <c r="AD226" s="29"/>
    </row>
    <row r="227" hidden="1" customHeight="1" spans="1:30">
      <c r="A227" s="37" t="s">
        <v>637</v>
      </c>
      <c r="B227" s="38">
        <v>45046</v>
      </c>
      <c r="C227" s="37" t="s">
        <v>811</v>
      </c>
      <c r="D227" s="37" t="s">
        <v>653</v>
      </c>
      <c r="E227" s="37" t="s">
        <v>640</v>
      </c>
      <c r="F227" s="37" t="s">
        <v>641</v>
      </c>
      <c r="G227" s="37" t="s">
        <v>1899</v>
      </c>
      <c r="H227" s="37" t="s">
        <v>650</v>
      </c>
      <c r="I227" s="37" t="s">
        <v>433</v>
      </c>
      <c r="J227" s="37" t="s">
        <v>656</v>
      </c>
      <c r="K227" s="37" t="s">
        <v>166</v>
      </c>
      <c r="L227" s="47">
        <v>-1718013.2</v>
      </c>
      <c r="M227" s="47">
        <v>-1620767.17</v>
      </c>
      <c r="N227" s="47">
        <v>-97246.03</v>
      </c>
      <c r="O227" s="37" t="s">
        <v>2167</v>
      </c>
      <c r="P227" s="29"/>
      <c r="Q227" s="27"/>
      <c r="T227" s="29"/>
      <c r="U227" s="32"/>
      <c r="V227" s="91"/>
      <c r="X227" s="29"/>
      <c r="Y227" s="27"/>
      <c r="Z227" s="30"/>
      <c r="AD227" s="29"/>
    </row>
    <row r="228" hidden="1" customHeight="1" spans="1:30">
      <c r="A228" s="37" t="s">
        <v>637</v>
      </c>
      <c r="B228" s="38">
        <v>45046</v>
      </c>
      <c r="C228" s="37" t="s">
        <v>811</v>
      </c>
      <c r="D228" s="37" t="s">
        <v>653</v>
      </c>
      <c r="E228" s="37" t="s">
        <v>640</v>
      </c>
      <c r="F228" s="37" t="s">
        <v>641</v>
      </c>
      <c r="G228" s="37" t="s">
        <v>1899</v>
      </c>
      <c r="H228" s="37" t="s">
        <v>650</v>
      </c>
      <c r="I228" s="37" t="s">
        <v>435</v>
      </c>
      <c r="J228" s="37" t="s">
        <v>656</v>
      </c>
      <c r="K228" s="37" t="s">
        <v>166</v>
      </c>
      <c r="L228" s="47">
        <v>-53431.26</v>
      </c>
      <c r="M228" s="47">
        <v>-50406.85</v>
      </c>
      <c r="N228" s="47">
        <v>-3024.41</v>
      </c>
      <c r="O228" s="37" t="s">
        <v>2168</v>
      </c>
      <c r="P228" s="29"/>
      <c r="Q228" s="27"/>
      <c r="T228" s="29"/>
      <c r="U228" s="32"/>
      <c r="V228" s="91"/>
      <c r="X228" s="29"/>
      <c r="Y228" s="27"/>
      <c r="Z228" s="30"/>
      <c r="AD228" s="29"/>
    </row>
    <row r="229" hidden="1" customHeight="1" spans="1:30">
      <c r="A229" s="37" t="s">
        <v>637</v>
      </c>
      <c r="B229" s="38">
        <v>45046</v>
      </c>
      <c r="C229" s="37" t="s">
        <v>811</v>
      </c>
      <c r="D229" s="37" t="s">
        <v>653</v>
      </c>
      <c r="E229" s="37" t="s">
        <v>1898</v>
      </c>
      <c r="F229" s="37" t="s">
        <v>641</v>
      </c>
      <c r="G229" s="37" t="s">
        <v>1899</v>
      </c>
      <c r="H229" s="37" t="s">
        <v>650</v>
      </c>
      <c r="I229" s="37" t="s">
        <v>433</v>
      </c>
      <c r="J229" s="37" t="s">
        <v>656</v>
      </c>
      <c r="K229" s="37" t="s">
        <v>166</v>
      </c>
      <c r="L229" s="47">
        <v>170711.03</v>
      </c>
      <c r="M229" s="47">
        <v>161048.14</v>
      </c>
      <c r="N229" s="47">
        <v>9662.89</v>
      </c>
      <c r="O229" s="37" t="s">
        <v>2169</v>
      </c>
      <c r="P229" s="29"/>
      <c r="Q229" s="27"/>
      <c r="T229" s="29"/>
      <c r="U229" s="32"/>
      <c r="V229" s="91"/>
      <c r="X229" s="29"/>
      <c r="Y229" s="27"/>
      <c r="Z229" s="30"/>
      <c r="AD229" s="29"/>
    </row>
    <row r="230" hidden="1" customHeight="1" spans="1:30">
      <c r="A230" s="37" t="s">
        <v>637</v>
      </c>
      <c r="B230" s="38">
        <v>45046</v>
      </c>
      <c r="C230" s="37" t="s">
        <v>811</v>
      </c>
      <c r="D230" s="37" t="s">
        <v>653</v>
      </c>
      <c r="E230" s="37" t="s">
        <v>640</v>
      </c>
      <c r="F230" s="37" t="s">
        <v>641</v>
      </c>
      <c r="G230" s="37" t="s">
        <v>1899</v>
      </c>
      <c r="H230" s="37" t="s">
        <v>650</v>
      </c>
      <c r="I230" s="37" t="s">
        <v>433</v>
      </c>
      <c r="J230" s="37" t="s">
        <v>656</v>
      </c>
      <c r="K230" s="37" t="s">
        <v>166</v>
      </c>
      <c r="L230" s="47">
        <v>1600000</v>
      </c>
      <c r="M230" s="47">
        <v>1509433.96</v>
      </c>
      <c r="N230" s="47">
        <v>90566.04</v>
      </c>
      <c r="O230" s="37" t="s">
        <v>2170</v>
      </c>
      <c r="P230" s="29"/>
      <c r="Q230" s="27"/>
      <c r="T230" s="29"/>
      <c r="U230" s="32"/>
      <c r="V230" s="91"/>
      <c r="X230" s="29"/>
      <c r="Y230" s="27"/>
      <c r="Z230" s="30"/>
      <c r="AD230" s="29"/>
    </row>
    <row r="231" hidden="1" customHeight="1" spans="1:30">
      <c r="A231" s="37" t="s">
        <v>637</v>
      </c>
      <c r="B231" s="38">
        <v>45046</v>
      </c>
      <c r="C231" s="37" t="s">
        <v>811</v>
      </c>
      <c r="D231" s="37" t="s">
        <v>653</v>
      </c>
      <c r="E231" s="37" t="s">
        <v>640</v>
      </c>
      <c r="F231" s="37" t="s">
        <v>641</v>
      </c>
      <c r="G231" s="37" t="s">
        <v>1901</v>
      </c>
      <c r="H231" s="37" t="s">
        <v>650</v>
      </c>
      <c r="I231" s="37" t="s">
        <v>435</v>
      </c>
      <c r="J231" s="37" t="s">
        <v>656</v>
      </c>
      <c r="K231" s="37" t="s">
        <v>166</v>
      </c>
      <c r="L231" s="47">
        <v>74187.42</v>
      </c>
      <c r="M231" s="47">
        <v>69988.13</v>
      </c>
      <c r="N231" s="47">
        <v>4199.29</v>
      </c>
      <c r="O231" s="37" t="s">
        <v>2171</v>
      </c>
      <c r="P231" s="29"/>
      <c r="Q231" s="27"/>
      <c r="T231" s="29"/>
      <c r="U231" s="32"/>
      <c r="V231" s="91"/>
      <c r="X231" s="29"/>
      <c r="Y231" s="27"/>
      <c r="Z231" s="30"/>
      <c r="AD231" s="29"/>
    </row>
    <row r="232" hidden="1" customHeight="1" spans="1:30">
      <c r="A232" s="37" t="s">
        <v>637</v>
      </c>
      <c r="B232" s="38">
        <v>45046</v>
      </c>
      <c r="C232" s="37" t="s">
        <v>725</v>
      </c>
      <c r="D232" s="37" t="s">
        <v>653</v>
      </c>
      <c r="E232" s="37" t="s">
        <v>640</v>
      </c>
      <c r="F232" s="37" t="s">
        <v>641</v>
      </c>
      <c r="G232" s="37" t="s">
        <v>1899</v>
      </c>
      <c r="H232" s="37" t="s">
        <v>697</v>
      </c>
      <c r="I232" s="37" t="s">
        <v>508</v>
      </c>
      <c r="J232" s="37" t="s">
        <v>656</v>
      </c>
      <c r="K232" s="37" t="s">
        <v>166</v>
      </c>
      <c r="L232" s="47">
        <v>15388.89</v>
      </c>
      <c r="M232" s="47">
        <v>14517.82</v>
      </c>
      <c r="N232" s="47">
        <v>871.07</v>
      </c>
      <c r="O232" s="37" t="s">
        <v>2172</v>
      </c>
      <c r="P232" s="29"/>
      <c r="Q232" s="27"/>
      <c r="T232" s="29"/>
      <c r="U232" s="32"/>
      <c r="V232" s="91"/>
      <c r="X232" s="29"/>
      <c r="Y232" s="27"/>
      <c r="Z232" s="30"/>
      <c r="AD232" s="29"/>
    </row>
    <row r="233" hidden="1" customHeight="1" spans="1:30">
      <c r="A233" s="37" t="s">
        <v>637</v>
      </c>
      <c r="B233" s="38">
        <v>45046</v>
      </c>
      <c r="C233" s="37" t="s">
        <v>811</v>
      </c>
      <c r="D233" s="37" t="s">
        <v>653</v>
      </c>
      <c r="E233" s="37" t="s">
        <v>640</v>
      </c>
      <c r="F233" s="37" t="s">
        <v>641</v>
      </c>
      <c r="G233" s="37" t="s">
        <v>1901</v>
      </c>
      <c r="H233" s="37" t="s">
        <v>650</v>
      </c>
      <c r="I233" s="37" t="s">
        <v>433</v>
      </c>
      <c r="J233" s="37" t="s">
        <v>656</v>
      </c>
      <c r="K233" s="37" t="s">
        <v>166</v>
      </c>
      <c r="L233" s="47">
        <v>250699.43</v>
      </c>
      <c r="M233" s="47">
        <v>236508.9</v>
      </c>
      <c r="N233" s="47">
        <v>14190.53</v>
      </c>
      <c r="O233" s="37" t="s">
        <v>2173</v>
      </c>
      <c r="P233" s="29"/>
      <c r="Q233" s="27"/>
      <c r="T233" s="29"/>
      <c r="U233" s="32"/>
      <c r="V233" s="91"/>
      <c r="X233" s="29"/>
      <c r="Y233" s="27"/>
      <c r="Z233" s="30"/>
      <c r="AD233" s="29"/>
    </row>
    <row r="234" hidden="1" customHeight="1" spans="1:30">
      <c r="A234" s="37" t="s">
        <v>637</v>
      </c>
      <c r="B234" s="38">
        <v>45046</v>
      </c>
      <c r="C234" s="37" t="s">
        <v>811</v>
      </c>
      <c r="D234" s="37" t="s">
        <v>653</v>
      </c>
      <c r="E234" s="37" t="s">
        <v>640</v>
      </c>
      <c r="F234" s="37" t="s">
        <v>641</v>
      </c>
      <c r="G234" s="37" t="s">
        <v>1899</v>
      </c>
      <c r="H234" s="37" t="s">
        <v>650</v>
      </c>
      <c r="I234" s="37" t="s">
        <v>433</v>
      </c>
      <c r="J234" s="37" t="s">
        <v>656</v>
      </c>
      <c r="K234" s="37" t="s">
        <v>166</v>
      </c>
      <c r="L234" s="47">
        <v>991033.44</v>
      </c>
      <c r="M234" s="47">
        <v>934937.21</v>
      </c>
      <c r="N234" s="47">
        <v>56096.23</v>
      </c>
      <c r="O234" s="37" t="s">
        <v>2174</v>
      </c>
      <c r="P234" s="29"/>
      <c r="Q234" s="27"/>
      <c r="T234" s="29"/>
      <c r="U234" s="32"/>
      <c r="V234" s="91"/>
      <c r="X234" s="29"/>
      <c r="Y234" s="27"/>
      <c r="Z234" s="30"/>
      <c r="AD234" s="29"/>
    </row>
    <row r="235" hidden="1" customHeight="1" spans="1:30">
      <c r="A235" s="37" t="s">
        <v>637</v>
      </c>
      <c r="B235" s="38">
        <v>45046</v>
      </c>
      <c r="C235" s="37" t="s">
        <v>748</v>
      </c>
      <c r="D235" s="37" t="s">
        <v>726</v>
      </c>
      <c r="E235" s="37" t="s">
        <v>640</v>
      </c>
      <c r="F235" s="37" t="s">
        <v>641</v>
      </c>
      <c r="G235" s="37" t="s">
        <v>1899</v>
      </c>
      <c r="H235" s="37" t="s">
        <v>643</v>
      </c>
      <c r="I235" s="37" t="s">
        <v>1984</v>
      </c>
      <c r="J235" s="37" t="s">
        <v>656</v>
      </c>
      <c r="K235" s="37" t="s">
        <v>14</v>
      </c>
      <c r="L235" s="47">
        <v>11595.15</v>
      </c>
      <c r="M235" s="47">
        <v>10938.82</v>
      </c>
      <c r="N235" s="47">
        <v>656.33</v>
      </c>
      <c r="O235" s="37" t="s">
        <v>2175</v>
      </c>
      <c r="P235" s="29"/>
      <c r="Q235" s="27"/>
      <c r="T235" s="29"/>
      <c r="U235" s="32"/>
      <c r="V235" s="91"/>
      <c r="X235" s="29"/>
      <c r="Y235" s="27"/>
      <c r="Z235" s="30"/>
      <c r="AD235" s="29"/>
    </row>
    <row r="236" hidden="1" customHeight="1" spans="1:30">
      <c r="A236" s="37" t="s">
        <v>637</v>
      </c>
      <c r="B236" s="38">
        <v>45046</v>
      </c>
      <c r="C236" s="37" t="s">
        <v>748</v>
      </c>
      <c r="D236" s="37" t="s">
        <v>1902</v>
      </c>
      <c r="E236" s="37" t="s">
        <v>640</v>
      </c>
      <c r="F236" s="37" t="s">
        <v>641</v>
      </c>
      <c r="G236" s="37" t="s">
        <v>1901</v>
      </c>
      <c r="H236" s="37" t="s">
        <v>643</v>
      </c>
      <c r="I236" s="37" t="s">
        <v>444</v>
      </c>
      <c r="J236" s="37" t="s">
        <v>656</v>
      </c>
      <c r="K236" s="37" t="s">
        <v>14</v>
      </c>
      <c r="L236" s="47">
        <v>8316.42</v>
      </c>
      <c r="M236" s="47">
        <v>7845.68</v>
      </c>
      <c r="N236" s="47">
        <v>470.74</v>
      </c>
      <c r="O236" s="37" t="s">
        <v>2176</v>
      </c>
      <c r="P236" s="29"/>
      <c r="Q236" s="27"/>
      <c r="T236" s="29"/>
      <c r="U236" s="32"/>
      <c r="V236" s="91"/>
      <c r="X236" s="29"/>
      <c r="Y236" s="27"/>
      <c r="Z236" s="30"/>
      <c r="AD236" s="29"/>
    </row>
    <row r="237" hidden="1" customHeight="1" spans="1:30">
      <c r="A237" s="37" t="s">
        <v>637</v>
      </c>
      <c r="B237" s="38">
        <v>45046</v>
      </c>
      <c r="C237" s="37" t="s">
        <v>748</v>
      </c>
      <c r="D237" s="37" t="s">
        <v>726</v>
      </c>
      <c r="E237" s="37" t="s">
        <v>640</v>
      </c>
      <c r="F237" s="37" t="s">
        <v>641</v>
      </c>
      <c r="G237" s="37" t="s">
        <v>1901</v>
      </c>
      <c r="H237" s="37" t="s">
        <v>643</v>
      </c>
      <c r="I237" s="37" t="s">
        <v>444</v>
      </c>
      <c r="J237" s="37" t="s">
        <v>656</v>
      </c>
      <c r="K237" s="37" t="s">
        <v>14</v>
      </c>
      <c r="L237" s="47">
        <v>15042.87</v>
      </c>
      <c r="M237" s="47">
        <v>14191.39</v>
      </c>
      <c r="N237" s="47">
        <v>851.48</v>
      </c>
      <c r="O237" s="37" t="s">
        <v>2177</v>
      </c>
      <c r="P237" s="29"/>
      <c r="Q237" s="27"/>
      <c r="T237" s="29"/>
      <c r="U237" s="32"/>
      <c r="V237" s="91"/>
      <c r="X237" s="29"/>
      <c r="Y237" s="27"/>
      <c r="Z237" s="30"/>
      <c r="AD237" s="29"/>
    </row>
    <row r="238" hidden="1" customHeight="1" spans="1:30">
      <c r="A238" s="37" t="s">
        <v>637</v>
      </c>
      <c r="B238" s="38">
        <v>45046</v>
      </c>
      <c r="C238" s="37" t="s">
        <v>748</v>
      </c>
      <c r="D238" s="37" t="s">
        <v>653</v>
      </c>
      <c r="E238" s="37" t="s">
        <v>640</v>
      </c>
      <c r="F238" s="37" t="s">
        <v>641</v>
      </c>
      <c r="G238" s="37" t="s">
        <v>1901</v>
      </c>
      <c r="H238" s="37" t="s">
        <v>650</v>
      </c>
      <c r="I238" s="37" t="s">
        <v>463</v>
      </c>
      <c r="J238" s="37" t="s">
        <v>656</v>
      </c>
      <c r="K238" s="37" t="s">
        <v>166</v>
      </c>
      <c r="L238" s="47">
        <v>123772.58</v>
      </c>
      <c r="M238" s="47">
        <v>116766.58</v>
      </c>
      <c r="N238" s="47">
        <v>7006</v>
      </c>
      <c r="O238" s="37" t="s">
        <v>2178</v>
      </c>
      <c r="P238" s="29"/>
      <c r="Q238" s="27"/>
      <c r="T238" s="29"/>
      <c r="U238" s="32"/>
      <c r="V238" s="91"/>
      <c r="X238" s="29"/>
      <c r="Y238" s="27"/>
      <c r="Z238" s="30"/>
      <c r="AD238" s="29"/>
    </row>
    <row r="239" hidden="1" customHeight="1" spans="1:30">
      <c r="A239" s="37" t="s">
        <v>637</v>
      </c>
      <c r="B239" s="38">
        <v>45046</v>
      </c>
      <c r="C239" s="37" t="s">
        <v>748</v>
      </c>
      <c r="D239" s="37" t="s">
        <v>1284</v>
      </c>
      <c r="E239" s="37" t="s">
        <v>640</v>
      </c>
      <c r="F239" s="37" t="s">
        <v>641</v>
      </c>
      <c r="G239" s="37" t="s">
        <v>1901</v>
      </c>
      <c r="H239" s="37" t="s">
        <v>643</v>
      </c>
      <c r="I239" s="37" t="s">
        <v>444</v>
      </c>
      <c r="J239" s="37" t="s">
        <v>656</v>
      </c>
      <c r="K239" s="37" t="s">
        <v>14</v>
      </c>
      <c r="L239" s="47">
        <v>6135.82</v>
      </c>
      <c r="M239" s="47">
        <v>5788.51</v>
      </c>
      <c r="N239" s="47">
        <v>347.31</v>
      </c>
      <c r="O239" s="37" t="s">
        <v>2179</v>
      </c>
      <c r="P239" s="29"/>
      <c r="Q239" s="27"/>
      <c r="T239" s="29"/>
      <c r="U239" s="32"/>
      <c r="V239" s="91"/>
      <c r="X239" s="29"/>
      <c r="Y239" s="27"/>
      <c r="Z239" s="30"/>
      <c r="AD239" s="29"/>
    </row>
    <row r="240" hidden="1" customHeight="1" spans="1:30">
      <c r="A240" s="37" t="s">
        <v>637</v>
      </c>
      <c r="B240" s="38">
        <v>45046</v>
      </c>
      <c r="C240" s="37" t="s">
        <v>748</v>
      </c>
      <c r="D240" s="37" t="s">
        <v>740</v>
      </c>
      <c r="E240" s="37" t="s">
        <v>640</v>
      </c>
      <c r="F240" s="37" t="s">
        <v>641</v>
      </c>
      <c r="G240" s="37" t="s">
        <v>1899</v>
      </c>
      <c r="H240" s="37" t="s">
        <v>650</v>
      </c>
      <c r="I240" s="37" t="s">
        <v>1988</v>
      </c>
      <c r="J240" s="37" t="s">
        <v>644</v>
      </c>
      <c r="K240" s="37" t="s">
        <v>14</v>
      </c>
      <c r="L240" s="47">
        <v>153914.6</v>
      </c>
      <c r="M240" s="47">
        <v>145202.45</v>
      </c>
      <c r="N240" s="47">
        <v>8712.15</v>
      </c>
      <c r="O240" s="37" t="s">
        <v>2180</v>
      </c>
      <c r="P240" s="29"/>
      <c r="Q240" s="27"/>
      <c r="T240" s="29"/>
      <c r="U240" s="32"/>
      <c r="V240" s="91"/>
      <c r="X240" s="29"/>
      <c r="Y240" s="27"/>
      <c r="Z240" s="30"/>
      <c r="AD240" s="29"/>
    </row>
    <row r="241" hidden="1" customHeight="1" spans="1:30">
      <c r="A241" s="37" t="s">
        <v>637</v>
      </c>
      <c r="B241" s="38">
        <v>45046</v>
      </c>
      <c r="C241" s="37" t="s">
        <v>748</v>
      </c>
      <c r="D241" s="37" t="s">
        <v>726</v>
      </c>
      <c r="E241" s="37" t="s">
        <v>1898</v>
      </c>
      <c r="F241" s="37" t="s">
        <v>641</v>
      </c>
      <c r="G241" s="37" t="s">
        <v>1899</v>
      </c>
      <c r="H241" s="37" t="s">
        <v>643</v>
      </c>
      <c r="I241" s="37" t="s">
        <v>1910</v>
      </c>
      <c r="J241" s="37" t="s">
        <v>644</v>
      </c>
      <c r="K241" s="37" t="s">
        <v>350</v>
      </c>
      <c r="L241" s="47">
        <v>1940.42</v>
      </c>
      <c r="M241" s="47">
        <v>1830.58</v>
      </c>
      <c r="N241" s="47">
        <v>109.84</v>
      </c>
      <c r="O241" s="37" t="s">
        <v>2181</v>
      </c>
      <c r="P241" s="29"/>
      <c r="Q241" s="27"/>
      <c r="T241" s="29"/>
      <c r="U241" s="32"/>
      <c r="V241" s="91"/>
      <c r="X241" s="29"/>
      <c r="Y241" s="27"/>
      <c r="Z241" s="30"/>
      <c r="AD241" s="29"/>
    </row>
    <row r="242" hidden="1" customHeight="1" spans="1:30">
      <c r="A242" s="37" t="s">
        <v>637</v>
      </c>
      <c r="B242" s="38">
        <v>45046</v>
      </c>
      <c r="C242" s="37" t="s">
        <v>748</v>
      </c>
      <c r="D242" s="37" t="s">
        <v>1902</v>
      </c>
      <c r="E242" s="37" t="s">
        <v>1898</v>
      </c>
      <c r="F242" s="37" t="s">
        <v>641</v>
      </c>
      <c r="G242" s="37" t="s">
        <v>1899</v>
      </c>
      <c r="H242" s="37" t="s">
        <v>643</v>
      </c>
      <c r="I242" s="37" t="s">
        <v>444</v>
      </c>
      <c r="J242" s="37" t="s">
        <v>656</v>
      </c>
      <c r="K242" s="37" t="s">
        <v>14</v>
      </c>
      <c r="L242" s="47">
        <v>18271.69</v>
      </c>
      <c r="M242" s="47">
        <v>17237.44</v>
      </c>
      <c r="N242" s="47">
        <v>1034.25</v>
      </c>
      <c r="O242" s="37" t="s">
        <v>2182</v>
      </c>
      <c r="P242" s="29"/>
      <c r="Q242" s="27"/>
      <c r="T242" s="29"/>
      <c r="U242" s="32"/>
      <c r="V242" s="91"/>
      <c r="X242" s="29"/>
      <c r="Y242" s="27"/>
      <c r="Z242" s="30"/>
      <c r="AD242" s="29"/>
    </row>
    <row r="243" hidden="1" customHeight="1" spans="1:30">
      <c r="A243" s="37" t="s">
        <v>637</v>
      </c>
      <c r="B243" s="38">
        <v>45046</v>
      </c>
      <c r="C243" s="37" t="s">
        <v>748</v>
      </c>
      <c r="D243" s="37" t="s">
        <v>1284</v>
      </c>
      <c r="E243" s="37" t="s">
        <v>1898</v>
      </c>
      <c r="F243" s="37" t="s">
        <v>641</v>
      </c>
      <c r="G243" s="37" t="s">
        <v>1899</v>
      </c>
      <c r="H243" s="37" t="s">
        <v>643</v>
      </c>
      <c r="I243" s="37" t="s">
        <v>444</v>
      </c>
      <c r="J243" s="37" t="s">
        <v>656</v>
      </c>
      <c r="K243" s="37" t="s">
        <v>14</v>
      </c>
      <c r="L243" s="47">
        <v>4945.94</v>
      </c>
      <c r="M243" s="47">
        <v>4665.98</v>
      </c>
      <c r="N243" s="47">
        <v>279.96</v>
      </c>
      <c r="O243" s="37" t="s">
        <v>2183</v>
      </c>
      <c r="P243" s="29"/>
      <c r="Q243" s="27"/>
      <c r="T243" s="29"/>
      <c r="U243" s="32"/>
      <c r="V243" s="91"/>
      <c r="X243" s="29"/>
      <c r="Y243" s="27"/>
      <c r="Z243" s="30"/>
      <c r="AD243" s="29"/>
    </row>
    <row r="244" hidden="1" customHeight="1" spans="1:30">
      <c r="A244" s="37" t="s">
        <v>637</v>
      </c>
      <c r="B244" s="38">
        <v>45046</v>
      </c>
      <c r="C244" s="37" t="s">
        <v>748</v>
      </c>
      <c r="D244" s="37" t="s">
        <v>726</v>
      </c>
      <c r="E244" s="37" t="s">
        <v>1898</v>
      </c>
      <c r="F244" s="37" t="s">
        <v>641</v>
      </c>
      <c r="G244" s="37" t="s">
        <v>1899</v>
      </c>
      <c r="H244" s="37" t="s">
        <v>643</v>
      </c>
      <c r="I244" s="37" t="s">
        <v>444</v>
      </c>
      <c r="J244" s="37" t="s">
        <v>656</v>
      </c>
      <c r="K244" s="37" t="s">
        <v>14</v>
      </c>
      <c r="L244" s="47">
        <v>78674.49</v>
      </c>
      <c r="M244" s="47">
        <v>74221.22</v>
      </c>
      <c r="N244" s="47">
        <v>4453.27</v>
      </c>
      <c r="O244" s="37" t="s">
        <v>2184</v>
      </c>
      <c r="P244" s="29"/>
      <c r="Q244" s="27"/>
      <c r="T244" s="29"/>
      <c r="U244" s="32"/>
      <c r="V244" s="91"/>
      <c r="X244" s="29"/>
      <c r="Y244" s="27"/>
      <c r="Z244" s="30"/>
      <c r="AD244" s="29"/>
    </row>
    <row r="245" hidden="1" customHeight="1" spans="1:30">
      <c r="A245" s="37" t="s">
        <v>637</v>
      </c>
      <c r="B245" s="38">
        <v>45046</v>
      </c>
      <c r="C245" s="37" t="s">
        <v>715</v>
      </c>
      <c r="D245" s="37" t="s">
        <v>2185</v>
      </c>
      <c r="E245" s="37" t="s">
        <v>640</v>
      </c>
      <c r="F245" s="37" t="s">
        <v>641</v>
      </c>
      <c r="G245" s="37" t="s">
        <v>1899</v>
      </c>
      <c r="H245" s="37" t="s">
        <v>643</v>
      </c>
      <c r="I245" s="37" t="s">
        <v>1929</v>
      </c>
      <c r="J245" s="37" t="s">
        <v>656</v>
      </c>
      <c r="K245" s="37" t="s">
        <v>14</v>
      </c>
      <c r="L245" s="47">
        <v>337304.59</v>
      </c>
      <c r="M245" s="47">
        <v>318211.88</v>
      </c>
      <c r="N245" s="47">
        <v>19092.71</v>
      </c>
      <c r="O245" s="37" t="s">
        <v>2186</v>
      </c>
      <c r="P245" s="29"/>
      <c r="Q245" s="27"/>
      <c r="T245" s="29"/>
      <c r="U245" s="32"/>
      <c r="V245" s="91"/>
      <c r="X245" s="29"/>
      <c r="Y245" s="27"/>
      <c r="Z245" s="30"/>
      <c r="AD245" s="29"/>
    </row>
    <row r="246" hidden="1" customHeight="1" spans="1:30">
      <c r="A246" s="37" t="s">
        <v>637</v>
      </c>
      <c r="B246" s="38">
        <v>45046</v>
      </c>
      <c r="C246" s="37" t="s">
        <v>811</v>
      </c>
      <c r="D246" s="37" t="s">
        <v>653</v>
      </c>
      <c r="E246" s="37" t="s">
        <v>640</v>
      </c>
      <c r="F246" s="37" t="s">
        <v>641</v>
      </c>
      <c r="G246" s="37" t="s">
        <v>1899</v>
      </c>
      <c r="H246" s="37" t="s">
        <v>650</v>
      </c>
      <c r="I246" s="37" t="s">
        <v>435</v>
      </c>
      <c r="J246" s="37" t="s">
        <v>656</v>
      </c>
      <c r="K246" s="37" t="s">
        <v>166</v>
      </c>
      <c r="L246" s="47">
        <v>194591.99</v>
      </c>
      <c r="M246" s="47">
        <v>183577.35</v>
      </c>
      <c r="N246" s="47">
        <v>11014.64</v>
      </c>
      <c r="O246" s="37" t="s">
        <v>2187</v>
      </c>
      <c r="P246" s="29"/>
      <c r="Q246" s="27"/>
      <c r="T246" s="29"/>
      <c r="U246" s="32"/>
      <c r="V246" s="91"/>
      <c r="X246" s="29"/>
      <c r="Y246" s="27"/>
      <c r="Z246" s="30"/>
      <c r="AD246" s="29"/>
    </row>
    <row r="247" hidden="1" customHeight="1" spans="1:30">
      <c r="A247" s="39" t="s">
        <v>1980</v>
      </c>
      <c r="B247" s="38">
        <v>45046</v>
      </c>
      <c r="C247" s="27" t="s">
        <v>811</v>
      </c>
      <c r="E247" s="37" t="s">
        <v>1980</v>
      </c>
      <c r="F247" s="37" t="s">
        <v>641</v>
      </c>
      <c r="G247" s="38" t="s">
        <v>1899</v>
      </c>
      <c r="H247" s="37" t="s">
        <v>643</v>
      </c>
      <c r="I247" s="29" t="s">
        <v>433</v>
      </c>
      <c r="J247" s="37" t="s">
        <v>656</v>
      </c>
      <c r="K247" s="27" t="s">
        <v>166</v>
      </c>
      <c r="L247" s="47">
        <v>-9347.56</v>
      </c>
      <c r="M247" s="47">
        <f t="shared" ref="M247:M261" si="5">ROUND(L247/1.06,2)</f>
        <v>-8818.45</v>
      </c>
      <c r="N247" s="47">
        <f t="shared" ref="N247:N261" si="6">L247-M247</f>
        <v>-529.109999999999</v>
      </c>
      <c r="P247" s="29"/>
      <c r="Q247" s="27"/>
      <c r="T247" s="29"/>
      <c r="U247" s="32"/>
      <c r="V247" s="91"/>
      <c r="X247" s="29"/>
      <c r="Y247" s="27"/>
      <c r="Z247" s="30"/>
      <c r="AD247" s="29"/>
    </row>
    <row r="248" hidden="1" customHeight="1" spans="1:30">
      <c r="A248" s="39" t="s">
        <v>1980</v>
      </c>
      <c r="B248" s="38">
        <v>45046</v>
      </c>
      <c r="C248" s="27" t="s">
        <v>811</v>
      </c>
      <c r="E248" s="37" t="s">
        <v>1980</v>
      </c>
      <c r="F248" s="37" t="s">
        <v>641</v>
      </c>
      <c r="G248" s="38" t="s">
        <v>1899</v>
      </c>
      <c r="H248" s="37" t="s">
        <v>643</v>
      </c>
      <c r="I248" s="29" t="s">
        <v>435</v>
      </c>
      <c r="J248" s="37" t="s">
        <v>656</v>
      </c>
      <c r="K248" s="27" t="s">
        <v>166</v>
      </c>
      <c r="L248" s="47">
        <v>35069.48</v>
      </c>
      <c r="M248" s="47">
        <f t="shared" si="5"/>
        <v>33084.42</v>
      </c>
      <c r="N248" s="47">
        <f t="shared" si="6"/>
        <v>1985.06</v>
      </c>
      <c r="P248" s="29"/>
      <c r="Q248" s="27"/>
      <c r="T248" s="29"/>
      <c r="U248" s="32"/>
      <c r="V248" s="91"/>
      <c r="X248" s="29"/>
      <c r="Y248" s="27"/>
      <c r="Z248" s="30"/>
      <c r="AD248" s="29"/>
    </row>
    <row r="249" hidden="1" customHeight="1" spans="1:30">
      <c r="A249" s="39" t="s">
        <v>1980</v>
      </c>
      <c r="B249" s="38">
        <v>45046</v>
      </c>
      <c r="C249" s="27" t="s">
        <v>811</v>
      </c>
      <c r="E249" s="37" t="s">
        <v>1980</v>
      </c>
      <c r="F249" s="37" t="s">
        <v>641</v>
      </c>
      <c r="G249" s="38" t="s">
        <v>1901</v>
      </c>
      <c r="H249" s="37" t="s">
        <v>643</v>
      </c>
      <c r="I249" s="29" t="s">
        <v>433</v>
      </c>
      <c r="J249" s="37" t="s">
        <v>656</v>
      </c>
      <c r="K249" s="27" t="s">
        <v>166</v>
      </c>
      <c r="L249" s="47">
        <v>50468.53</v>
      </c>
      <c r="M249" s="47">
        <f t="shared" si="5"/>
        <v>47611.82</v>
      </c>
      <c r="N249" s="47">
        <f t="shared" si="6"/>
        <v>2856.71</v>
      </c>
      <c r="P249" s="29"/>
      <c r="Q249" s="27"/>
      <c r="T249" s="29"/>
      <c r="U249" s="32"/>
      <c r="V249" s="91"/>
      <c r="X249" s="29"/>
      <c r="Y249" s="27"/>
      <c r="Z249" s="30"/>
      <c r="AD249" s="29"/>
    </row>
    <row r="250" hidden="1" customHeight="1" spans="1:30">
      <c r="A250" s="39" t="s">
        <v>1980</v>
      </c>
      <c r="B250" s="38">
        <v>45046</v>
      </c>
      <c r="C250" s="27" t="s">
        <v>811</v>
      </c>
      <c r="E250" s="37" t="s">
        <v>1980</v>
      </c>
      <c r="F250" s="37" t="s">
        <v>641</v>
      </c>
      <c r="G250" s="38" t="s">
        <v>1901</v>
      </c>
      <c r="H250" s="37" t="s">
        <v>643</v>
      </c>
      <c r="I250" s="29" t="s">
        <v>435</v>
      </c>
      <c r="J250" s="37" t="s">
        <v>656</v>
      </c>
      <c r="K250" s="27" t="s">
        <v>166</v>
      </c>
      <c r="L250" s="47">
        <v>42581.99</v>
      </c>
      <c r="M250" s="47">
        <f t="shared" si="5"/>
        <v>40171.69</v>
      </c>
      <c r="N250" s="47">
        <f t="shared" si="6"/>
        <v>2410.3</v>
      </c>
      <c r="P250" s="29"/>
      <c r="Q250" s="27"/>
      <c r="T250" s="29"/>
      <c r="U250" s="32"/>
      <c r="V250" s="91"/>
      <c r="X250" s="29"/>
      <c r="Y250" s="27"/>
      <c r="Z250" s="30"/>
      <c r="AD250" s="29"/>
    </row>
    <row r="251" hidden="1" customHeight="1" spans="1:30">
      <c r="A251" s="39" t="s">
        <v>1085</v>
      </c>
      <c r="B251" s="38">
        <v>45046</v>
      </c>
      <c r="C251" s="27" t="s">
        <v>646</v>
      </c>
      <c r="E251" s="37" t="s">
        <v>640</v>
      </c>
      <c r="F251" s="37" t="s">
        <v>641</v>
      </c>
      <c r="G251" s="38" t="s">
        <v>1899</v>
      </c>
      <c r="H251" s="37" t="s">
        <v>643</v>
      </c>
      <c r="I251" s="29" t="s">
        <v>1933</v>
      </c>
      <c r="J251" s="37" t="s">
        <v>656</v>
      </c>
      <c r="K251" s="27" t="s">
        <v>166</v>
      </c>
      <c r="L251" s="47">
        <v>-49800</v>
      </c>
      <c r="M251" s="47">
        <f t="shared" si="5"/>
        <v>-46981.13</v>
      </c>
      <c r="N251" s="47">
        <f t="shared" si="6"/>
        <v>-2818.87</v>
      </c>
      <c r="P251" s="29"/>
      <c r="Q251" s="27"/>
      <c r="T251" s="29"/>
      <c r="U251" s="32"/>
      <c r="V251" s="91"/>
      <c r="X251" s="29"/>
      <c r="Y251" s="27"/>
      <c r="Z251" s="30"/>
      <c r="AD251" s="29"/>
    </row>
    <row r="252" hidden="1" customHeight="1" spans="1:30">
      <c r="A252" s="39" t="s">
        <v>1085</v>
      </c>
      <c r="B252" s="38">
        <v>45046</v>
      </c>
      <c r="C252" s="27" t="s">
        <v>646</v>
      </c>
      <c r="E252" s="37" t="s">
        <v>640</v>
      </c>
      <c r="F252" s="37" t="s">
        <v>641</v>
      </c>
      <c r="G252" s="38" t="s">
        <v>1899</v>
      </c>
      <c r="H252" s="37" t="s">
        <v>643</v>
      </c>
      <c r="I252" s="29" t="s">
        <v>448</v>
      </c>
      <c r="J252" s="37" t="s">
        <v>656</v>
      </c>
      <c r="K252" s="27" t="s">
        <v>350</v>
      </c>
      <c r="L252" s="47">
        <v>-47084.53</v>
      </c>
      <c r="M252" s="47">
        <f t="shared" si="5"/>
        <v>-44419.37</v>
      </c>
      <c r="N252" s="47">
        <f t="shared" si="6"/>
        <v>-2665.16</v>
      </c>
      <c r="P252" s="29"/>
      <c r="Q252" s="27"/>
      <c r="T252" s="29"/>
      <c r="U252" s="32"/>
      <c r="V252" s="91"/>
      <c r="X252" s="29"/>
      <c r="Y252" s="27"/>
      <c r="Z252" s="30"/>
      <c r="AD252" s="29"/>
    </row>
    <row r="253" hidden="1" customHeight="1" spans="1:30">
      <c r="A253" s="39" t="s">
        <v>1085</v>
      </c>
      <c r="B253" s="38">
        <v>45046</v>
      </c>
      <c r="C253" s="27" t="s">
        <v>730</v>
      </c>
      <c r="E253" s="37" t="s">
        <v>640</v>
      </c>
      <c r="F253" s="37" t="s">
        <v>641</v>
      </c>
      <c r="G253" s="38" t="s">
        <v>1899</v>
      </c>
      <c r="H253" s="37" t="s">
        <v>643</v>
      </c>
      <c r="I253" s="29" t="s">
        <v>473</v>
      </c>
      <c r="J253" s="37" t="s">
        <v>656</v>
      </c>
      <c r="K253" s="27" t="s">
        <v>14</v>
      </c>
      <c r="L253" s="47">
        <v>257011.76</v>
      </c>
      <c r="M253" s="47">
        <f t="shared" si="5"/>
        <v>242463.92</v>
      </c>
      <c r="N253" s="47">
        <f t="shared" si="6"/>
        <v>14547.84</v>
      </c>
      <c r="P253" s="29"/>
      <c r="Q253" s="27"/>
      <c r="T253" s="29"/>
      <c r="U253" s="32"/>
      <c r="V253" s="91"/>
      <c r="X253" s="29"/>
      <c r="Y253" s="27"/>
      <c r="Z253" s="30"/>
      <c r="AD253" s="29"/>
    </row>
    <row r="254" hidden="1" customHeight="1" spans="1:30">
      <c r="A254" s="39" t="s">
        <v>1085</v>
      </c>
      <c r="B254" s="38">
        <v>45046</v>
      </c>
      <c r="C254" s="27" t="s">
        <v>725</v>
      </c>
      <c r="E254" s="37" t="s">
        <v>640</v>
      </c>
      <c r="F254" s="37" t="s">
        <v>641</v>
      </c>
      <c r="G254" s="38" t="s">
        <v>1899</v>
      </c>
      <c r="H254" s="37" t="s">
        <v>643</v>
      </c>
      <c r="I254" s="29" t="s">
        <v>508</v>
      </c>
      <c r="J254" s="37" t="s">
        <v>656</v>
      </c>
      <c r="K254" s="27" t="s">
        <v>166</v>
      </c>
      <c r="L254" s="47">
        <v>18020.23</v>
      </c>
      <c r="M254" s="47">
        <f t="shared" si="5"/>
        <v>17000.22</v>
      </c>
      <c r="N254" s="47">
        <f t="shared" si="6"/>
        <v>1020.01</v>
      </c>
      <c r="P254" s="29"/>
      <c r="Q254" s="27"/>
      <c r="T254" s="29"/>
      <c r="U254" s="32"/>
      <c r="V254" s="91"/>
      <c r="X254" s="29"/>
      <c r="Y254" s="27"/>
      <c r="Z254" s="30"/>
      <c r="AD254" s="29"/>
    </row>
    <row r="255" customHeight="1" spans="1:30">
      <c r="A255" s="39" t="s">
        <v>1085</v>
      </c>
      <c r="B255" s="38">
        <v>45046</v>
      </c>
      <c r="C255" s="27" t="s">
        <v>811</v>
      </c>
      <c r="E255" s="37" t="s">
        <v>640</v>
      </c>
      <c r="F255" s="37" t="s">
        <v>641</v>
      </c>
      <c r="G255" s="38" t="s">
        <v>1899</v>
      </c>
      <c r="H255" s="37" t="s">
        <v>643</v>
      </c>
      <c r="I255" s="29" t="s">
        <v>435</v>
      </c>
      <c r="J255" s="37" t="s">
        <v>656</v>
      </c>
      <c r="K255" s="27" t="s">
        <v>166</v>
      </c>
      <c r="L255" s="47">
        <v>-16511.55</v>
      </c>
      <c r="M255" s="47">
        <f t="shared" si="5"/>
        <v>-15576.93</v>
      </c>
      <c r="N255" s="47">
        <f t="shared" si="6"/>
        <v>-934.619999999999</v>
      </c>
      <c r="P255" s="29"/>
      <c r="Q255" s="27"/>
      <c r="T255" s="29"/>
      <c r="U255" s="32"/>
      <c r="V255" s="91"/>
      <c r="X255" s="29"/>
      <c r="Y255" s="27"/>
      <c r="Z255" s="30"/>
      <c r="AD255" s="29"/>
    </row>
    <row r="256" customHeight="1" spans="1:30">
      <c r="A256" s="39" t="s">
        <v>1085</v>
      </c>
      <c r="B256" s="38">
        <v>45046</v>
      </c>
      <c r="C256" s="27" t="s">
        <v>811</v>
      </c>
      <c r="E256" s="37" t="s">
        <v>640</v>
      </c>
      <c r="F256" s="37" t="s">
        <v>641</v>
      </c>
      <c r="G256" s="38" t="s">
        <v>1899</v>
      </c>
      <c r="H256" s="37" t="s">
        <v>643</v>
      </c>
      <c r="I256" s="29" t="s">
        <v>435</v>
      </c>
      <c r="J256" s="37" t="s">
        <v>656</v>
      </c>
      <c r="K256" s="27" t="s">
        <v>14</v>
      </c>
      <c r="L256" s="47">
        <v>56754.3</v>
      </c>
      <c r="M256" s="47">
        <f t="shared" si="5"/>
        <v>53541.79</v>
      </c>
      <c r="N256" s="47">
        <f t="shared" si="6"/>
        <v>3212.51</v>
      </c>
      <c r="P256" s="29"/>
      <c r="Q256" s="27"/>
      <c r="T256" s="29"/>
      <c r="U256" s="32"/>
      <c r="V256" s="91"/>
      <c r="X256" s="29"/>
      <c r="Y256" s="27"/>
      <c r="Z256" s="30"/>
      <c r="AD256" s="29"/>
    </row>
    <row r="257" hidden="1" customHeight="1" spans="1:30">
      <c r="A257" s="39" t="s">
        <v>1085</v>
      </c>
      <c r="B257" s="38">
        <v>45046</v>
      </c>
      <c r="C257" s="27" t="s">
        <v>725</v>
      </c>
      <c r="E257" s="37" t="s">
        <v>640</v>
      </c>
      <c r="F257" s="37" t="s">
        <v>641</v>
      </c>
      <c r="G257" s="38" t="s">
        <v>1901</v>
      </c>
      <c r="H257" s="37" t="s">
        <v>643</v>
      </c>
      <c r="I257" s="29" t="s">
        <v>508</v>
      </c>
      <c r="J257" s="37" t="s">
        <v>656</v>
      </c>
      <c r="K257" s="27" t="s">
        <v>166</v>
      </c>
      <c r="L257" s="47">
        <v>18020.23</v>
      </c>
      <c r="M257" s="47">
        <f t="shared" si="5"/>
        <v>17000.22</v>
      </c>
      <c r="N257" s="47">
        <f t="shared" si="6"/>
        <v>1020.01</v>
      </c>
      <c r="P257" s="29"/>
      <c r="Q257" s="27"/>
      <c r="T257" s="29"/>
      <c r="U257" s="32"/>
      <c r="V257" s="91"/>
      <c r="X257" s="29"/>
      <c r="Y257" s="27"/>
      <c r="Z257" s="30"/>
      <c r="AD257" s="29"/>
    </row>
    <row r="258" hidden="1" customHeight="1" spans="1:30">
      <c r="A258" s="39" t="s">
        <v>1085</v>
      </c>
      <c r="B258" s="38">
        <v>45046</v>
      </c>
      <c r="C258" s="27" t="s">
        <v>811</v>
      </c>
      <c r="E258" s="37" t="s">
        <v>640</v>
      </c>
      <c r="F258" s="37" t="s">
        <v>641</v>
      </c>
      <c r="G258" s="38" t="s">
        <v>1901</v>
      </c>
      <c r="H258" s="37" t="s">
        <v>643</v>
      </c>
      <c r="I258" s="29" t="s">
        <v>435</v>
      </c>
      <c r="J258" s="37" t="s">
        <v>656</v>
      </c>
      <c r="K258" s="27" t="s">
        <v>14</v>
      </c>
      <c r="L258" s="47">
        <v>44536.18</v>
      </c>
      <c r="M258" s="47">
        <f t="shared" si="5"/>
        <v>42015.26</v>
      </c>
      <c r="N258" s="47">
        <f t="shared" si="6"/>
        <v>2520.92</v>
      </c>
      <c r="P258" s="29"/>
      <c r="Q258" s="27"/>
      <c r="T258" s="29"/>
      <c r="U258" s="32"/>
      <c r="V258" s="91"/>
      <c r="X258" s="29"/>
      <c r="Y258" s="27"/>
      <c r="Z258" s="30"/>
      <c r="AD258" s="29"/>
    </row>
    <row r="259" hidden="1" customHeight="1" spans="1:30">
      <c r="A259" s="39" t="s">
        <v>1085</v>
      </c>
      <c r="B259" s="38">
        <v>45046</v>
      </c>
      <c r="C259" s="27" t="s">
        <v>1273</v>
      </c>
      <c r="E259" s="37" t="s">
        <v>640</v>
      </c>
      <c r="F259" s="37" t="s">
        <v>641</v>
      </c>
      <c r="G259" s="38" t="s">
        <v>1901</v>
      </c>
      <c r="H259" s="37" t="s">
        <v>643</v>
      </c>
      <c r="I259" s="29" t="s">
        <v>748</v>
      </c>
      <c r="J259" s="37" t="s">
        <v>656</v>
      </c>
      <c r="K259" s="27" t="s">
        <v>166</v>
      </c>
      <c r="L259" s="47">
        <v>123772.57</v>
      </c>
      <c r="M259" s="47">
        <f t="shared" si="5"/>
        <v>116766.58</v>
      </c>
      <c r="N259" s="47">
        <f t="shared" si="6"/>
        <v>7005.99000000001</v>
      </c>
      <c r="P259" s="29"/>
      <c r="Q259" s="27"/>
      <c r="T259" s="29"/>
      <c r="U259" s="32"/>
      <c r="V259" s="91"/>
      <c r="X259" s="29"/>
      <c r="Y259" s="27"/>
      <c r="Z259" s="30"/>
      <c r="AD259" s="29"/>
    </row>
    <row r="260" hidden="1" customHeight="1" spans="1:30">
      <c r="A260" s="39" t="s">
        <v>1085</v>
      </c>
      <c r="B260" s="38">
        <v>45046</v>
      </c>
      <c r="C260" s="29" t="s">
        <v>646</v>
      </c>
      <c r="E260" s="37" t="s">
        <v>640</v>
      </c>
      <c r="F260" s="37" t="s">
        <v>641</v>
      </c>
      <c r="G260" s="28" t="s">
        <v>1901</v>
      </c>
      <c r="H260" s="37" t="s">
        <v>643</v>
      </c>
      <c r="I260" s="27" t="s">
        <v>2024</v>
      </c>
      <c r="J260" s="37" t="s">
        <v>656</v>
      </c>
      <c r="K260" s="29" t="s">
        <v>13</v>
      </c>
      <c r="L260" s="47">
        <v>17237.87</v>
      </c>
      <c r="M260" s="47">
        <f t="shared" si="5"/>
        <v>16262.14</v>
      </c>
      <c r="N260" s="47">
        <f t="shared" si="6"/>
        <v>975.73</v>
      </c>
      <c r="P260" s="29"/>
      <c r="Q260" s="27"/>
      <c r="T260" s="29"/>
      <c r="U260" s="32"/>
      <c r="V260" s="91"/>
      <c r="X260" s="29"/>
      <c r="Y260" s="27"/>
      <c r="Z260" s="30"/>
      <c r="AD260" s="29"/>
    </row>
    <row r="261" hidden="1" customHeight="1" spans="1:30">
      <c r="A261" s="39" t="s">
        <v>1085</v>
      </c>
      <c r="B261" s="38">
        <v>45046</v>
      </c>
      <c r="C261" s="27" t="s">
        <v>811</v>
      </c>
      <c r="E261" s="37" t="s">
        <v>640</v>
      </c>
      <c r="F261" s="37" t="s">
        <v>641</v>
      </c>
      <c r="G261" s="28" t="s">
        <v>1901</v>
      </c>
      <c r="H261" s="37" t="s">
        <v>643</v>
      </c>
      <c r="I261" s="29" t="s">
        <v>435</v>
      </c>
      <c r="J261" s="37" t="s">
        <v>656</v>
      </c>
      <c r="K261" s="27" t="s">
        <v>14</v>
      </c>
      <c r="L261" s="47">
        <v>333333.33</v>
      </c>
      <c r="M261" s="47">
        <f t="shared" si="5"/>
        <v>314465.41</v>
      </c>
      <c r="N261" s="47">
        <f t="shared" si="6"/>
        <v>18867.92</v>
      </c>
      <c r="P261" s="29"/>
      <c r="Q261" s="27"/>
      <c r="T261" s="29"/>
      <c r="U261" s="32"/>
      <c r="V261" s="91"/>
      <c r="X261" s="29"/>
      <c r="Y261" s="27"/>
      <c r="Z261" s="30"/>
      <c r="AD261" s="29"/>
    </row>
    <row r="262" hidden="1" customHeight="1" spans="1:30">
      <c r="A262" s="44" t="s">
        <v>637</v>
      </c>
      <c r="B262" s="86">
        <v>45077</v>
      </c>
      <c r="C262" s="44" t="s">
        <v>811</v>
      </c>
      <c r="D262" s="44" t="s">
        <v>653</v>
      </c>
      <c r="E262" s="44" t="s">
        <v>640</v>
      </c>
      <c r="F262" s="44" t="s">
        <v>641</v>
      </c>
      <c r="G262" s="44" t="s">
        <v>1901</v>
      </c>
      <c r="H262" s="44" t="s">
        <v>650</v>
      </c>
      <c r="I262" s="44" t="s">
        <v>433</v>
      </c>
      <c r="J262" s="44" t="s">
        <v>656</v>
      </c>
      <c r="K262" s="44" t="s">
        <v>166</v>
      </c>
      <c r="L262" s="48">
        <v>16745.35</v>
      </c>
      <c r="M262" s="48">
        <v>15797.5</v>
      </c>
      <c r="N262" s="48">
        <v>947.85</v>
      </c>
      <c r="O262" s="44" t="s">
        <v>2188</v>
      </c>
      <c r="P262" s="29"/>
      <c r="Q262" s="27"/>
      <c r="T262" s="29"/>
      <c r="U262" s="32"/>
      <c r="V262" s="91"/>
      <c r="X262" s="29"/>
      <c r="Y262" s="27"/>
      <c r="Z262" s="30"/>
      <c r="AD262" s="29"/>
    </row>
    <row r="263" hidden="1" customHeight="1" spans="1:30">
      <c r="A263" s="44" t="s">
        <v>637</v>
      </c>
      <c r="B263" s="86">
        <v>45077</v>
      </c>
      <c r="C263" s="44" t="s">
        <v>811</v>
      </c>
      <c r="D263" s="44" t="s">
        <v>653</v>
      </c>
      <c r="E263" s="44" t="s">
        <v>640</v>
      </c>
      <c r="F263" s="44" t="s">
        <v>641</v>
      </c>
      <c r="G263" s="44" t="s">
        <v>1899</v>
      </c>
      <c r="H263" s="44" t="s">
        <v>650</v>
      </c>
      <c r="I263" s="44" t="s">
        <v>433</v>
      </c>
      <c r="J263" s="44" t="s">
        <v>656</v>
      </c>
      <c r="K263" s="44" t="s">
        <v>166</v>
      </c>
      <c r="L263" s="48">
        <v>27675.36</v>
      </c>
      <c r="M263" s="48">
        <v>26108.83</v>
      </c>
      <c r="N263" s="48">
        <v>1566.53</v>
      </c>
      <c r="O263" s="44" t="s">
        <v>2189</v>
      </c>
      <c r="P263" s="29"/>
      <c r="Q263" s="27"/>
      <c r="T263" s="29"/>
      <c r="U263" s="32"/>
      <c r="V263" s="91"/>
      <c r="X263" s="29"/>
      <c r="Y263" s="27"/>
      <c r="Z263" s="30"/>
      <c r="AD263" s="29"/>
    </row>
    <row r="264" hidden="1" customHeight="1" spans="1:30">
      <c r="A264" s="44" t="s">
        <v>637</v>
      </c>
      <c r="B264" s="86">
        <v>45077</v>
      </c>
      <c r="C264" s="44" t="s">
        <v>811</v>
      </c>
      <c r="D264" s="44" t="s">
        <v>653</v>
      </c>
      <c r="E264" s="44" t="s">
        <v>640</v>
      </c>
      <c r="F264" s="44" t="s">
        <v>641</v>
      </c>
      <c r="G264" s="44" t="s">
        <v>1899</v>
      </c>
      <c r="H264" s="44" t="s">
        <v>650</v>
      </c>
      <c r="I264" s="44" t="s">
        <v>433</v>
      </c>
      <c r="J264" s="44" t="s">
        <v>656</v>
      </c>
      <c r="K264" s="44" t="s">
        <v>166</v>
      </c>
      <c r="L264" s="48">
        <v>-8390</v>
      </c>
      <c r="M264" s="48">
        <v>-7915.09</v>
      </c>
      <c r="N264" s="48">
        <v>-474.91</v>
      </c>
      <c r="O264" s="44" t="s">
        <v>2190</v>
      </c>
      <c r="P264" s="29"/>
      <c r="Q264" s="27"/>
      <c r="T264" s="29"/>
      <c r="U264" s="32"/>
      <c r="V264" s="91"/>
      <c r="X264" s="29"/>
      <c r="Y264" s="27"/>
      <c r="Z264" s="30"/>
      <c r="AD264" s="29"/>
    </row>
    <row r="265" hidden="1" customHeight="1" spans="1:30">
      <c r="A265" s="44" t="s">
        <v>637</v>
      </c>
      <c r="B265" s="86">
        <v>45077</v>
      </c>
      <c r="C265" s="44" t="s">
        <v>1273</v>
      </c>
      <c r="D265" s="44" t="s">
        <v>653</v>
      </c>
      <c r="E265" s="44" t="s">
        <v>640</v>
      </c>
      <c r="F265" s="44" t="s">
        <v>641</v>
      </c>
      <c r="G265" s="44" t="s">
        <v>1899</v>
      </c>
      <c r="H265" s="44" t="s">
        <v>650</v>
      </c>
      <c r="I265" s="44" t="s">
        <v>1923</v>
      </c>
      <c r="J265" s="44" t="s">
        <v>656</v>
      </c>
      <c r="K265" s="44" t="s">
        <v>166</v>
      </c>
      <c r="L265" s="48">
        <v>34099.43</v>
      </c>
      <c r="M265" s="48">
        <v>32169.27</v>
      </c>
      <c r="N265" s="48">
        <v>1930.16</v>
      </c>
      <c r="O265" s="44" t="s">
        <v>2191</v>
      </c>
      <c r="P265" s="29"/>
      <c r="Q265" s="27"/>
      <c r="T265" s="29"/>
      <c r="U265" s="32"/>
      <c r="V265" s="91"/>
      <c r="X265" s="29"/>
      <c r="Y265" s="27"/>
      <c r="Z265" s="30"/>
      <c r="AD265" s="29"/>
    </row>
    <row r="266" hidden="1" customHeight="1" spans="1:30">
      <c r="A266" s="44" t="s">
        <v>637</v>
      </c>
      <c r="B266" s="86">
        <v>45077</v>
      </c>
      <c r="C266" s="44" t="s">
        <v>2102</v>
      </c>
      <c r="D266" s="44" t="s">
        <v>740</v>
      </c>
      <c r="E266" s="44" t="s">
        <v>640</v>
      </c>
      <c r="F266" s="44" t="s">
        <v>641</v>
      </c>
      <c r="G266" s="44" t="s">
        <v>1899</v>
      </c>
      <c r="H266" s="44" t="s">
        <v>643</v>
      </c>
      <c r="I266" s="44" t="s">
        <v>486</v>
      </c>
      <c r="J266" s="44" t="s">
        <v>656</v>
      </c>
      <c r="K266" s="44" t="s">
        <v>14</v>
      </c>
      <c r="L266" s="48">
        <v>284778.17</v>
      </c>
      <c r="M266" s="48">
        <v>268658.65</v>
      </c>
      <c r="N266" s="48">
        <v>16119.52</v>
      </c>
      <c r="O266" s="44" t="s">
        <v>2192</v>
      </c>
      <c r="P266" s="29"/>
      <c r="Q266" s="27"/>
      <c r="T266" s="29"/>
      <c r="U266" s="32"/>
      <c r="V266" s="91"/>
      <c r="X266" s="29"/>
      <c r="Y266" s="27"/>
      <c r="Z266" s="30"/>
      <c r="AD266" s="29"/>
    </row>
    <row r="267" hidden="1" customHeight="1" spans="1:30">
      <c r="A267" s="44" t="s">
        <v>637</v>
      </c>
      <c r="B267" s="86">
        <v>45077</v>
      </c>
      <c r="C267" s="44" t="s">
        <v>646</v>
      </c>
      <c r="D267" s="44" t="s">
        <v>740</v>
      </c>
      <c r="E267" s="44" t="s">
        <v>640</v>
      </c>
      <c r="F267" s="44" t="s">
        <v>641</v>
      </c>
      <c r="G267" s="44" t="s">
        <v>1899</v>
      </c>
      <c r="H267" s="44" t="s">
        <v>643</v>
      </c>
      <c r="I267" s="44" t="s">
        <v>1982</v>
      </c>
      <c r="J267" s="44" t="s">
        <v>644</v>
      </c>
      <c r="K267" s="44" t="s">
        <v>14</v>
      </c>
      <c r="L267" s="48">
        <v>242004</v>
      </c>
      <c r="M267" s="48">
        <v>228305.66</v>
      </c>
      <c r="N267" s="48">
        <v>13698.34</v>
      </c>
      <c r="O267" s="44" t="s">
        <v>2193</v>
      </c>
      <c r="P267" s="29"/>
      <c r="Q267" s="27"/>
      <c r="T267" s="29"/>
      <c r="U267" s="32"/>
      <c r="V267" s="91"/>
      <c r="X267" s="29"/>
      <c r="Y267" s="27"/>
      <c r="Z267" s="30"/>
      <c r="AD267" s="29"/>
    </row>
    <row r="268" hidden="1" customHeight="1" spans="1:30">
      <c r="A268" s="44" t="s">
        <v>637</v>
      </c>
      <c r="B268" s="86">
        <v>45077</v>
      </c>
      <c r="C268" s="44" t="s">
        <v>748</v>
      </c>
      <c r="D268" s="44" t="s">
        <v>726</v>
      </c>
      <c r="E268" s="44" t="s">
        <v>1898</v>
      </c>
      <c r="F268" s="44" t="s">
        <v>641</v>
      </c>
      <c r="G268" s="44" t="s">
        <v>1899</v>
      </c>
      <c r="H268" s="44" t="s">
        <v>643</v>
      </c>
      <c r="I268" s="44" t="s">
        <v>1910</v>
      </c>
      <c r="J268" s="44" t="s">
        <v>644</v>
      </c>
      <c r="K268" s="44" t="s">
        <v>350</v>
      </c>
      <c r="L268" s="48">
        <v>814.26</v>
      </c>
      <c r="M268" s="48">
        <v>768.17</v>
      </c>
      <c r="N268" s="48">
        <v>46.09</v>
      </c>
      <c r="O268" s="44" t="s">
        <v>2194</v>
      </c>
      <c r="P268" s="29"/>
      <c r="Q268" s="27"/>
      <c r="T268" s="29"/>
      <c r="U268" s="32"/>
      <c r="V268" s="91"/>
      <c r="X268" s="29"/>
      <c r="Y268" s="27"/>
      <c r="Z268" s="30"/>
      <c r="AD268" s="29"/>
    </row>
    <row r="269" hidden="1" customHeight="1" spans="1:30">
      <c r="A269" s="44" t="s">
        <v>637</v>
      </c>
      <c r="B269" s="86">
        <v>45077</v>
      </c>
      <c r="C269" s="44" t="s">
        <v>748</v>
      </c>
      <c r="D269" s="44" t="s">
        <v>1902</v>
      </c>
      <c r="E269" s="44" t="s">
        <v>1898</v>
      </c>
      <c r="F269" s="44" t="s">
        <v>641</v>
      </c>
      <c r="G269" s="44" t="s">
        <v>1899</v>
      </c>
      <c r="H269" s="44" t="s">
        <v>643</v>
      </c>
      <c r="I269" s="44" t="s">
        <v>444</v>
      </c>
      <c r="J269" s="44" t="s">
        <v>656</v>
      </c>
      <c r="K269" s="44" t="s">
        <v>14</v>
      </c>
      <c r="L269" s="48">
        <v>22349.71</v>
      </c>
      <c r="M269" s="48">
        <v>21084.63</v>
      </c>
      <c r="N269" s="48">
        <v>1265.08</v>
      </c>
      <c r="O269" s="44" t="s">
        <v>2195</v>
      </c>
      <c r="P269" s="29"/>
      <c r="Q269" s="27"/>
      <c r="T269" s="29"/>
      <c r="U269" s="32"/>
      <c r="V269" s="91"/>
      <c r="X269" s="29"/>
      <c r="Y269" s="27"/>
      <c r="Z269" s="30"/>
      <c r="AD269" s="29"/>
    </row>
    <row r="270" hidden="1" customHeight="1" spans="1:30">
      <c r="A270" s="44" t="s">
        <v>637</v>
      </c>
      <c r="B270" s="86">
        <v>45077</v>
      </c>
      <c r="C270" s="44" t="s">
        <v>748</v>
      </c>
      <c r="D270" s="44" t="s">
        <v>1284</v>
      </c>
      <c r="E270" s="44" t="s">
        <v>1898</v>
      </c>
      <c r="F270" s="44" t="s">
        <v>641</v>
      </c>
      <c r="G270" s="44" t="s">
        <v>1899</v>
      </c>
      <c r="H270" s="44" t="s">
        <v>643</v>
      </c>
      <c r="I270" s="44" t="s">
        <v>444</v>
      </c>
      <c r="J270" s="44" t="s">
        <v>656</v>
      </c>
      <c r="K270" s="44" t="s">
        <v>14</v>
      </c>
      <c r="L270" s="48">
        <v>8061.43</v>
      </c>
      <c r="M270" s="48">
        <v>7605.12</v>
      </c>
      <c r="N270" s="48">
        <v>456.31</v>
      </c>
      <c r="O270" s="44" t="s">
        <v>2196</v>
      </c>
      <c r="P270" s="29"/>
      <c r="Q270" s="27"/>
      <c r="T270" s="29"/>
      <c r="U270" s="32"/>
      <c r="V270" s="91"/>
      <c r="X270" s="29"/>
      <c r="Y270" s="27"/>
      <c r="Z270" s="30"/>
      <c r="AD270" s="29"/>
    </row>
    <row r="271" hidden="1" customHeight="1" spans="1:30">
      <c r="A271" s="44" t="s">
        <v>637</v>
      </c>
      <c r="B271" s="86">
        <v>45077</v>
      </c>
      <c r="C271" s="44" t="s">
        <v>748</v>
      </c>
      <c r="D271" s="44" t="s">
        <v>726</v>
      </c>
      <c r="E271" s="44" t="s">
        <v>1898</v>
      </c>
      <c r="F271" s="44" t="s">
        <v>641</v>
      </c>
      <c r="G271" s="44" t="s">
        <v>1899</v>
      </c>
      <c r="H271" s="44" t="s">
        <v>643</v>
      </c>
      <c r="I271" s="44" t="s">
        <v>444</v>
      </c>
      <c r="J271" s="44" t="s">
        <v>656</v>
      </c>
      <c r="K271" s="44" t="s">
        <v>14</v>
      </c>
      <c r="L271" s="48">
        <v>66401.86</v>
      </c>
      <c r="M271" s="48">
        <v>62643.26</v>
      </c>
      <c r="N271" s="48">
        <v>3758.6</v>
      </c>
      <c r="O271" s="44" t="s">
        <v>2197</v>
      </c>
      <c r="P271" s="29"/>
      <c r="Q271" s="27"/>
      <c r="T271" s="29"/>
      <c r="U271" s="32"/>
      <c r="V271" s="91"/>
      <c r="X271" s="29"/>
      <c r="Y271" s="27"/>
      <c r="Z271" s="30"/>
      <c r="AD271" s="29"/>
    </row>
    <row r="272" hidden="1" customHeight="1" spans="1:30">
      <c r="A272" s="44" t="s">
        <v>637</v>
      </c>
      <c r="B272" s="86">
        <v>45077</v>
      </c>
      <c r="C272" s="44" t="s">
        <v>1273</v>
      </c>
      <c r="D272" s="44" t="s">
        <v>653</v>
      </c>
      <c r="E272" s="44" t="s">
        <v>640</v>
      </c>
      <c r="F272" s="44" t="s">
        <v>641</v>
      </c>
      <c r="G272" s="44" t="s">
        <v>1899</v>
      </c>
      <c r="H272" s="44" t="s">
        <v>650</v>
      </c>
      <c r="I272" s="44" t="s">
        <v>737</v>
      </c>
      <c r="J272" s="44" t="s">
        <v>656</v>
      </c>
      <c r="K272" s="44" t="s">
        <v>166</v>
      </c>
      <c r="L272" s="48">
        <v>250000</v>
      </c>
      <c r="M272" s="48">
        <v>235849.06</v>
      </c>
      <c r="N272" s="48">
        <v>14150.94</v>
      </c>
      <c r="O272" s="44" t="s">
        <v>2198</v>
      </c>
      <c r="P272" s="29"/>
      <c r="Q272" s="27"/>
      <c r="T272" s="29"/>
      <c r="U272" s="32"/>
      <c r="V272" s="91"/>
      <c r="X272" s="29"/>
      <c r="Y272" s="27"/>
      <c r="Z272" s="30"/>
      <c r="AD272" s="29"/>
    </row>
    <row r="273" hidden="1" customHeight="1" spans="1:30">
      <c r="A273" s="44" t="s">
        <v>637</v>
      </c>
      <c r="B273" s="86">
        <v>45077</v>
      </c>
      <c r="C273" s="44" t="s">
        <v>1273</v>
      </c>
      <c r="D273" s="44" t="s">
        <v>653</v>
      </c>
      <c r="E273" s="44" t="s">
        <v>640</v>
      </c>
      <c r="F273" s="44" t="s">
        <v>641</v>
      </c>
      <c r="G273" s="44" t="s">
        <v>1899</v>
      </c>
      <c r="H273" s="44" t="s">
        <v>650</v>
      </c>
      <c r="I273" s="44" t="s">
        <v>737</v>
      </c>
      <c r="J273" s="44" t="s">
        <v>656</v>
      </c>
      <c r="K273" s="44" t="s">
        <v>166</v>
      </c>
      <c r="L273" s="48">
        <v>-90071.16</v>
      </c>
      <c r="M273" s="48">
        <v>-84972.79</v>
      </c>
      <c r="N273" s="48">
        <v>-5098.37</v>
      </c>
      <c r="O273" s="44" t="s">
        <v>2199</v>
      </c>
      <c r="P273" s="29"/>
      <c r="Q273" s="27"/>
      <c r="T273" s="29"/>
      <c r="U273" s="32"/>
      <c r="V273" s="91"/>
      <c r="X273" s="29"/>
      <c r="Y273" s="27"/>
      <c r="Z273" s="30"/>
      <c r="AD273" s="29"/>
    </row>
    <row r="274" hidden="1" customHeight="1" spans="1:30">
      <c r="A274" s="44" t="s">
        <v>637</v>
      </c>
      <c r="B274" s="86">
        <v>45077</v>
      </c>
      <c r="C274" s="44" t="s">
        <v>638</v>
      </c>
      <c r="D274" s="44" t="s">
        <v>2134</v>
      </c>
      <c r="E274" s="44" t="s">
        <v>640</v>
      </c>
      <c r="F274" s="44" t="s">
        <v>641</v>
      </c>
      <c r="G274" s="44" t="s">
        <v>1899</v>
      </c>
      <c r="H274" s="44" t="s">
        <v>643</v>
      </c>
      <c r="I274" s="44" t="s">
        <v>430</v>
      </c>
      <c r="J274" s="44" t="s">
        <v>656</v>
      </c>
      <c r="K274" s="44" t="s">
        <v>14</v>
      </c>
      <c r="L274" s="48">
        <v>-54000</v>
      </c>
      <c r="M274" s="48">
        <v>-50943.4</v>
      </c>
      <c r="N274" s="48">
        <v>-3056.6</v>
      </c>
      <c r="O274" s="44" t="s">
        <v>2200</v>
      </c>
      <c r="P274" s="29"/>
      <c r="Q274" s="27"/>
      <c r="T274" s="29"/>
      <c r="U274" s="32"/>
      <c r="V274" s="91"/>
      <c r="X274" s="29"/>
      <c r="Y274" s="27"/>
      <c r="Z274" s="30"/>
      <c r="AD274" s="29"/>
    </row>
    <row r="275" hidden="1" customHeight="1" spans="1:30">
      <c r="A275" s="44" t="s">
        <v>637</v>
      </c>
      <c r="B275" s="86">
        <v>45077</v>
      </c>
      <c r="C275" s="44" t="s">
        <v>1273</v>
      </c>
      <c r="D275" s="44" t="s">
        <v>653</v>
      </c>
      <c r="E275" s="44" t="s">
        <v>640</v>
      </c>
      <c r="F275" s="44" t="s">
        <v>641</v>
      </c>
      <c r="G275" s="44" t="s">
        <v>1901</v>
      </c>
      <c r="H275" s="44" t="s">
        <v>650</v>
      </c>
      <c r="I275" s="44" t="s">
        <v>748</v>
      </c>
      <c r="J275" s="44" t="s">
        <v>656</v>
      </c>
      <c r="K275" s="44" t="s">
        <v>166</v>
      </c>
      <c r="L275" s="48">
        <v>80873.44</v>
      </c>
      <c r="M275" s="48">
        <v>76295.7</v>
      </c>
      <c r="N275" s="48">
        <v>4577.74</v>
      </c>
      <c r="O275" s="44" t="s">
        <v>2201</v>
      </c>
      <c r="P275" s="29"/>
      <c r="Q275" s="27"/>
      <c r="T275" s="29"/>
      <c r="U275" s="32"/>
      <c r="V275" s="91"/>
      <c r="X275" s="29"/>
      <c r="Y275" s="27"/>
      <c r="Z275" s="30"/>
      <c r="AD275" s="29"/>
    </row>
    <row r="276" hidden="1" customHeight="1" spans="1:30">
      <c r="A276" s="44" t="s">
        <v>637</v>
      </c>
      <c r="B276" s="86">
        <v>45077</v>
      </c>
      <c r="C276" s="44" t="s">
        <v>638</v>
      </c>
      <c r="D276" s="44" t="s">
        <v>1915</v>
      </c>
      <c r="E276" s="44" t="s">
        <v>640</v>
      </c>
      <c r="F276" s="44" t="s">
        <v>641</v>
      </c>
      <c r="G276" s="44" t="s">
        <v>1899</v>
      </c>
      <c r="H276" s="44" t="s">
        <v>643</v>
      </c>
      <c r="I276" s="44" t="s">
        <v>430</v>
      </c>
      <c r="J276" s="44" t="s">
        <v>656</v>
      </c>
      <c r="K276" s="44" t="s">
        <v>14</v>
      </c>
      <c r="L276" s="48">
        <v>149221.43</v>
      </c>
      <c r="M276" s="48">
        <v>140774.93</v>
      </c>
      <c r="N276" s="48">
        <v>8446.5</v>
      </c>
      <c r="O276" s="44" t="s">
        <v>2202</v>
      </c>
      <c r="P276" s="29"/>
      <c r="Q276" s="27"/>
      <c r="T276" s="29"/>
      <c r="U276" s="32"/>
      <c r="V276" s="91"/>
      <c r="X276" s="29"/>
      <c r="Y276" s="27"/>
      <c r="Z276" s="30"/>
      <c r="AD276" s="29"/>
    </row>
    <row r="277" hidden="1" customHeight="1" spans="1:30">
      <c r="A277" s="44" t="s">
        <v>637</v>
      </c>
      <c r="B277" s="86">
        <v>45077</v>
      </c>
      <c r="C277" s="44" t="s">
        <v>638</v>
      </c>
      <c r="D277" s="44" t="s">
        <v>1915</v>
      </c>
      <c r="E277" s="44" t="s">
        <v>640</v>
      </c>
      <c r="F277" s="44" t="s">
        <v>641</v>
      </c>
      <c r="G277" s="44" t="s">
        <v>1899</v>
      </c>
      <c r="H277" s="44" t="s">
        <v>643</v>
      </c>
      <c r="I277" s="44" t="s">
        <v>430</v>
      </c>
      <c r="J277" s="44" t="s">
        <v>656</v>
      </c>
      <c r="K277" s="44" t="s">
        <v>14</v>
      </c>
      <c r="L277" s="48">
        <v>-30307.34</v>
      </c>
      <c r="M277" s="48">
        <v>-28591.83</v>
      </c>
      <c r="N277" s="48">
        <v>-1715.51</v>
      </c>
      <c r="O277" s="44" t="s">
        <v>2203</v>
      </c>
      <c r="P277" s="29"/>
      <c r="Q277" s="27"/>
      <c r="T277" s="29"/>
      <c r="U277" s="32"/>
      <c r="V277" s="91"/>
      <c r="X277" s="29"/>
      <c r="Y277" s="27"/>
      <c r="Z277" s="30"/>
      <c r="AD277" s="29"/>
    </row>
    <row r="278" hidden="1" customHeight="1" spans="1:30">
      <c r="A278" s="44" t="s">
        <v>637</v>
      </c>
      <c r="B278" s="86">
        <v>45077</v>
      </c>
      <c r="C278" s="44" t="s">
        <v>646</v>
      </c>
      <c r="D278" s="44" t="s">
        <v>726</v>
      </c>
      <c r="E278" s="44" t="s">
        <v>640</v>
      </c>
      <c r="F278" s="44" t="s">
        <v>641</v>
      </c>
      <c r="G278" s="44" t="s">
        <v>1899</v>
      </c>
      <c r="H278" s="44" t="s">
        <v>643</v>
      </c>
      <c r="I278" s="44" t="s">
        <v>1987</v>
      </c>
      <c r="J278" s="44" t="s">
        <v>644</v>
      </c>
      <c r="K278" s="44" t="s">
        <v>14</v>
      </c>
      <c r="L278" s="48">
        <v>5.97</v>
      </c>
      <c r="M278" s="48">
        <v>5.63</v>
      </c>
      <c r="N278" s="48">
        <v>0.34</v>
      </c>
      <c r="O278" s="44" t="s">
        <v>2204</v>
      </c>
      <c r="P278" s="29"/>
      <c r="Q278" s="27"/>
      <c r="T278" s="29"/>
      <c r="U278" s="32"/>
      <c r="V278" s="91"/>
      <c r="X278" s="29"/>
      <c r="Y278" s="27"/>
      <c r="Z278" s="30"/>
      <c r="AD278" s="29"/>
    </row>
    <row r="279" hidden="1" customHeight="1" spans="1:30">
      <c r="A279" s="44" t="s">
        <v>637</v>
      </c>
      <c r="B279" s="86">
        <v>45077</v>
      </c>
      <c r="C279" s="44" t="s">
        <v>646</v>
      </c>
      <c r="D279" s="44" t="s">
        <v>726</v>
      </c>
      <c r="E279" s="44" t="s">
        <v>640</v>
      </c>
      <c r="F279" s="44" t="s">
        <v>641</v>
      </c>
      <c r="G279" s="44" t="s">
        <v>1899</v>
      </c>
      <c r="H279" s="44" t="s">
        <v>643</v>
      </c>
      <c r="I279" s="44" t="s">
        <v>1919</v>
      </c>
      <c r="J279" s="44" t="s">
        <v>656</v>
      </c>
      <c r="K279" s="44" t="s">
        <v>14</v>
      </c>
      <c r="L279" s="48">
        <v>2000</v>
      </c>
      <c r="M279" s="48">
        <v>1886.79</v>
      </c>
      <c r="N279" s="48">
        <v>113.21</v>
      </c>
      <c r="O279" s="44" t="s">
        <v>2205</v>
      </c>
      <c r="P279" s="29"/>
      <c r="Q279" s="27"/>
      <c r="T279" s="29"/>
      <c r="U279" s="32"/>
      <c r="V279" s="91"/>
      <c r="X279" s="29"/>
      <c r="Y279" s="27"/>
      <c r="Z279" s="30"/>
      <c r="AD279" s="29"/>
    </row>
    <row r="280" hidden="1" customHeight="1" spans="1:30">
      <c r="A280" s="44" t="s">
        <v>637</v>
      </c>
      <c r="B280" s="86">
        <v>45077</v>
      </c>
      <c r="C280" s="44" t="s">
        <v>646</v>
      </c>
      <c r="D280" s="44" t="s">
        <v>740</v>
      </c>
      <c r="E280" s="44" t="s">
        <v>640</v>
      </c>
      <c r="F280" s="44" t="s">
        <v>641</v>
      </c>
      <c r="G280" s="44" t="s">
        <v>1899</v>
      </c>
      <c r="H280" s="44" t="s">
        <v>650</v>
      </c>
      <c r="I280" s="44" t="s">
        <v>1936</v>
      </c>
      <c r="J280" s="44" t="s">
        <v>656</v>
      </c>
      <c r="K280" s="44" t="s">
        <v>13</v>
      </c>
      <c r="L280" s="48">
        <v>3600</v>
      </c>
      <c r="M280" s="48">
        <v>3396.23</v>
      </c>
      <c r="N280" s="48">
        <v>203.77</v>
      </c>
      <c r="O280" s="44" t="s">
        <v>2206</v>
      </c>
      <c r="P280" s="29"/>
      <c r="Q280" s="27"/>
      <c r="T280" s="29"/>
      <c r="U280" s="32"/>
      <c r="V280" s="91"/>
      <c r="X280" s="29"/>
      <c r="Y280" s="27"/>
      <c r="Z280" s="30"/>
      <c r="AD280" s="29"/>
    </row>
    <row r="281" hidden="1" customHeight="1" spans="1:30">
      <c r="A281" s="44" t="s">
        <v>637</v>
      </c>
      <c r="B281" s="86">
        <v>45077</v>
      </c>
      <c r="C281" s="44" t="s">
        <v>646</v>
      </c>
      <c r="D281" s="44" t="s">
        <v>740</v>
      </c>
      <c r="E281" s="44" t="s">
        <v>640</v>
      </c>
      <c r="F281" s="44" t="s">
        <v>641</v>
      </c>
      <c r="G281" s="44" t="s">
        <v>1899</v>
      </c>
      <c r="H281" s="44" t="s">
        <v>650</v>
      </c>
      <c r="I281" s="44" t="s">
        <v>1936</v>
      </c>
      <c r="J281" s="44" t="s">
        <v>656</v>
      </c>
      <c r="K281" s="44" t="s">
        <v>13</v>
      </c>
      <c r="L281" s="48">
        <v>63600</v>
      </c>
      <c r="M281" s="48">
        <v>60000</v>
      </c>
      <c r="N281" s="48">
        <v>3600</v>
      </c>
      <c r="O281" s="44" t="s">
        <v>2207</v>
      </c>
      <c r="P281" s="29"/>
      <c r="Q281" s="27"/>
      <c r="T281" s="29"/>
      <c r="U281" s="32"/>
      <c r="V281" s="91"/>
      <c r="X281" s="29"/>
      <c r="Y281" s="27"/>
      <c r="Z281" s="30"/>
      <c r="AD281" s="29"/>
    </row>
    <row r="282" hidden="1" customHeight="1" spans="1:30">
      <c r="A282" s="44" t="s">
        <v>637</v>
      </c>
      <c r="B282" s="86">
        <v>45077</v>
      </c>
      <c r="C282" s="44" t="s">
        <v>646</v>
      </c>
      <c r="D282" s="44" t="s">
        <v>740</v>
      </c>
      <c r="E282" s="44" t="s">
        <v>640</v>
      </c>
      <c r="F282" s="44" t="s">
        <v>641</v>
      </c>
      <c r="G282" s="44" t="s">
        <v>1899</v>
      </c>
      <c r="H282" s="44" t="s">
        <v>650</v>
      </c>
      <c r="I282" s="44" t="s">
        <v>1934</v>
      </c>
      <c r="J282" s="44" t="s">
        <v>656</v>
      </c>
      <c r="K282" s="44" t="s">
        <v>13</v>
      </c>
      <c r="L282" s="48">
        <v>31800</v>
      </c>
      <c r="M282" s="48">
        <v>30000</v>
      </c>
      <c r="N282" s="48">
        <v>1800</v>
      </c>
      <c r="O282" s="44" t="s">
        <v>2208</v>
      </c>
      <c r="P282" s="29"/>
      <c r="Q282" s="27"/>
      <c r="T282" s="29"/>
      <c r="U282" s="32"/>
      <c r="V282" s="91"/>
      <c r="X282" s="29"/>
      <c r="Y282" s="27"/>
      <c r="Z282" s="30"/>
      <c r="AD282" s="29"/>
    </row>
    <row r="283" hidden="1" customHeight="1" spans="1:30">
      <c r="A283" s="44" t="s">
        <v>637</v>
      </c>
      <c r="B283" s="86">
        <v>45077</v>
      </c>
      <c r="C283" s="44" t="s">
        <v>646</v>
      </c>
      <c r="D283" s="44" t="s">
        <v>1915</v>
      </c>
      <c r="E283" s="44" t="s">
        <v>640</v>
      </c>
      <c r="F283" s="44" t="s">
        <v>641</v>
      </c>
      <c r="G283" s="44" t="s">
        <v>1899</v>
      </c>
      <c r="H283" s="44" t="s">
        <v>643</v>
      </c>
      <c r="I283" s="44" t="s">
        <v>441</v>
      </c>
      <c r="J283" s="44" t="s">
        <v>644</v>
      </c>
      <c r="K283" s="44" t="s">
        <v>14</v>
      </c>
      <c r="L283" s="48">
        <v>-8748.84</v>
      </c>
      <c r="M283" s="48">
        <v>-8253.62</v>
      </c>
      <c r="N283" s="48">
        <v>-495.22</v>
      </c>
      <c r="O283" s="44" t="s">
        <v>2209</v>
      </c>
      <c r="P283" s="29"/>
      <c r="Q283" s="27"/>
      <c r="T283" s="29"/>
      <c r="U283" s="32"/>
      <c r="V283" s="91"/>
      <c r="X283" s="29"/>
      <c r="Y283" s="27"/>
      <c r="Z283" s="30"/>
      <c r="AD283" s="29"/>
    </row>
    <row r="284" hidden="1" customHeight="1" spans="1:30">
      <c r="A284" s="44" t="s">
        <v>637</v>
      </c>
      <c r="B284" s="86">
        <v>45077</v>
      </c>
      <c r="C284" s="44" t="s">
        <v>646</v>
      </c>
      <c r="D284" s="44" t="s">
        <v>740</v>
      </c>
      <c r="E284" s="44" t="s">
        <v>640</v>
      </c>
      <c r="F284" s="44" t="s">
        <v>641</v>
      </c>
      <c r="G284" s="44" t="s">
        <v>1899</v>
      </c>
      <c r="H284" s="44" t="s">
        <v>643</v>
      </c>
      <c r="I284" s="44" t="s">
        <v>1982</v>
      </c>
      <c r="J284" s="44" t="s">
        <v>644</v>
      </c>
      <c r="K284" s="44" t="s">
        <v>14</v>
      </c>
      <c r="L284" s="48">
        <v>216773.31</v>
      </c>
      <c r="M284" s="48">
        <v>204503.12</v>
      </c>
      <c r="N284" s="48">
        <v>12270.19</v>
      </c>
      <c r="O284" s="44" t="s">
        <v>2210</v>
      </c>
      <c r="P284" s="29"/>
      <c r="Q284" s="27"/>
      <c r="T284" s="29"/>
      <c r="U284" s="32"/>
      <c r="V284" s="91"/>
      <c r="X284" s="29"/>
      <c r="Y284" s="27"/>
      <c r="Z284" s="30"/>
      <c r="AD284" s="29"/>
    </row>
    <row r="285" hidden="1" customHeight="1" spans="1:30">
      <c r="A285" s="44" t="s">
        <v>637</v>
      </c>
      <c r="B285" s="86">
        <v>45077</v>
      </c>
      <c r="C285" s="44" t="s">
        <v>646</v>
      </c>
      <c r="D285" s="44" t="s">
        <v>740</v>
      </c>
      <c r="E285" s="44" t="s">
        <v>640</v>
      </c>
      <c r="F285" s="44" t="s">
        <v>641</v>
      </c>
      <c r="G285" s="44" t="s">
        <v>1899</v>
      </c>
      <c r="H285" s="44" t="s">
        <v>650</v>
      </c>
      <c r="I285" s="44" t="s">
        <v>461</v>
      </c>
      <c r="J285" s="44" t="s">
        <v>644</v>
      </c>
      <c r="K285" s="44" t="s">
        <v>14</v>
      </c>
      <c r="L285" s="48">
        <v>8070.69</v>
      </c>
      <c r="M285" s="48">
        <v>7613.86</v>
      </c>
      <c r="N285" s="48">
        <v>456.83</v>
      </c>
      <c r="O285" s="44" t="s">
        <v>2211</v>
      </c>
      <c r="P285" s="29"/>
      <c r="Q285" s="27"/>
      <c r="T285" s="29"/>
      <c r="U285" s="32"/>
      <c r="V285" s="91"/>
      <c r="X285" s="29"/>
      <c r="Y285" s="27"/>
      <c r="Z285" s="30"/>
      <c r="AD285" s="29"/>
    </row>
    <row r="286" hidden="1" customHeight="1" spans="1:30">
      <c r="A286" s="44" t="s">
        <v>637</v>
      </c>
      <c r="B286" s="86">
        <v>45077</v>
      </c>
      <c r="C286" s="44" t="s">
        <v>646</v>
      </c>
      <c r="D286" s="44" t="s">
        <v>740</v>
      </c>
      <c r="E286" s="44" t="s">
        <v>640</v>
      </c>
      <c r="F286" s="44" t="s">
        <v>641</v>
      </c>
      <c r="G286" s="44" t="s">
        <v>1899</v>
      </c>
      <c r="H286" s="44" t="s">
        <v>650</v>
      </c>
      <c r="I286" s="44" t="s">
        <v>2035</v>
      </c>
      <c r="J286" s="44" t="s">
        <v>644</v>
      </c>
      <c r="K286" s="44" t="s">
        <v>20</v>
      </c>
      <c r="L286" s="48">
        <v>27498.1</v>
      </c>
      <c r="M286" s="48">
        <v>25941.6</v>
      </c>
      <c r="N286" s="48">
        <v>1556.5</v>
      </c>
      <c r="O286" s="44" t="s">
        <v>2212</v>
      </c>
      <c r="P286" s="29"/>
      <c r="Q286" s="27"/>
      <c r="T286" s="29"/>
      <c r="U286" s="32"/>
      <c r="V286" s="91"/>
      <c r="X286" s="29"/>
      <c r="Y286" s="27"/>
      <c r="Z286" s="30"/>
      <c r="AD286" s="29"/>
    </row>
    <row r="287" hidden="1" customHeight="1" spans="1:30">
      <c r="A287" s="44" t="s">
        <v>637</v>
      </c>
      <c r="B287" s="86">
        <v>45077</v>
      </c>
      <c r="C287" s="44" t="s">
        <v>646</v>
      </c>
      <c r="D287" s="44" t="s">
        <v>1915</v>
      </c>
      <c r="E287" s="44" t="s">
        <v>640</v>
      </c>
      <c r="F287" s="44" t="s">
        <v>641</v>
      </c>
      <c r="G287" s="44" t="s">
        <v>1901</v>
      </c>
      <c r="H287" s="44" t="s">
        <v>643</v>
      </c>
      <c r="I287" s="44" t="s">
        <v>441</v>
      </c>
      <c r="J287" s="44" t="s">
        <v>656</v>
      </c>
      <c r="K287" s="44" t="s">
        <v>14</v>
      </c>
      <c r="L287" s="48">
        <v>60000</v>
      </c>
      <c r="M287" s="48">
        <v>56603.77</v>
      </c>
      <c r="N287" s="48">
        <v>3396.23</v>
      </c>
      <c r="O287" s="44" t="s">
        <v>2213</v>
      </c>
      <c r="P287" s="29"/>
      <c r="Q287" s="27"/>
      <c r="T287" s="29"/>
      <c r="U287" s="32"/>
      <c r="V287" s="91"/>
      <c r="X287" s="29"/>
      <c r="Y287" s="27"/>
      <c r="Z287" s="30"/>
      <c r="AD287" s="29"/>
    </row>
    <row r="288" hidden="1" customHeight="1" spans="1:30">
      <c r="A288" s="44" t="s">
        <v>637</v>
      </c>
      <c r="B288" s="86">
        <v>45077</v>
      </c>
      <c r="C288" s="44" t="s">
        <v>646</v>
      </c>
      <c r="D288" s="44" t="s">
        <v>1915</v>
      </c>
      <c r="E288" s="44" t="s">
        <v>640</v>
      </c>
      <c r="F288" s="44" t="s">
        <v>641</v>
      </c>
      <c r="G288" s="44" t="s">
        <v>1899</v>
      </c>
      <c r="H288" s="44" t="s">
        <v>643</v>
      </c>
      <c r="I288" s="44" t="s">
        <v>441</v>
      </c>
      <c r="J288" s="44" t="s">
        <v>656</v>
      </c>
      <c r="K288" s="44" t="s">
        <v>14</v>
      </c>
      <c r="L288" s="48">
        <v>153164.55</v>
      </c>
      <c r="M288" s="48">
        <v>144494.86</v>
      </c>
      <c r="N288" s="48">
        <v>8669.69</v>
      </c>
      <c r="O288" s="44" t="s">
        <v>2214</v>
      </c>
      <c r="P288" s="29"/>
      <c r="Q288" s="27"/>
      <c r="T288" s="29"/>
      <c r="U288" s="32"/>
      <c r="V288" s="91"/>
      <c r="X288" s="29"/>
      <c r="Y288" s="27"/>
      <c r="Z288" s="30"/>
      <c r="AD288" s="29"/>
    </row>
    <row r="289" hidden="1" customHeight="1" spans="1:30">
      <c r="A289" s="44" t="s">
        <v>637</v>
      </c>
      <c r="B289" s="86">
        <v>45077</v>
      </c>
      <c r="C289" s="44" t="s">
        <v>646</v>
      </c>
      <c r="D289" s="44" t="s">
        <v>1915</v>
      </c>
      <c r="E289" s="44" t="s">
        <v>640</v>
      </c>
      <c r="F289" s="44" t="s">
        <v>641</v>
      </c>
      <c r="G289" s="44" t="s">
        <v>1899</v>
      </c>
      <c r="H289" s="44" t="s">
        <v>643</v>
      </c>
      <c r="I289" s="44" t="s">
        <v>441</v>
      </c>
      <c r="J289" s="44" t="s">
        <v>656</v>
      </c>
      <c r="K289" s="44" t="s">
        <v>14</v>
      </c>
      <c r="L289" s="48">
        <v>502288.6</v>
      </c>
      <c r="M289" s="48">
        <v>473857.17</v>
      </c>
      <c r="N289" s="48">
        <v>28431.43</v>
      </c>
      <c r="O289" s="44" t="s">
        <v>2215</v>
      </c>
      <c r="P289" s="29"/>
      <c r="Q289" s="27"/>
      <c r="T289" s="29"/>
      <c r="U289" s="32"/>
      <c r="V289" s="91"/>
      <c r="X289" s="29"/>
      <c r="Y289" s="27"/>
      <c r="Z289" s="30"/>
      <c r="AD289" s="29"/>
    </row>
    <row r="290" hidden="1" customHeight="1" spans="1:30">
      <c r="A290" s="44" t="s">
        <v>637</v>
      </c>
      <c r="B290" s="86">
        <v>45077</v>
      </c>
      <c r="C290" s="44" t="s">
        <v>646</v>
      </c>
      <c r="D290" s="44" t="s">
        <v>2134</v>
      </c>
      <c r="E290" s="44" t="s">
        <v>640</v>
      </c>
      <c r="F290" s="44" t="s">
        <v>641</v>
      </c>
      <c r="G290" s="44" t="s">
        <v>1899</v>
      </c>
      <c r="H290" s="44" t="s">
        <v>643</v>
      </c>
      <c r="I290" s="44" t="s">
        <v>1906</v>
      </c>
      <c r="J290" s="44" t="s">
        <v>656</v>
      </c>
      <c r="K290" s="44" t="s">
        <v>14</v>
      </c>
      <c r="L290" s="48">
        <v>5194.2</v>
      </c>
      <c r="M290" s="48">
        <v>4900.19</v>
      </c>
      <c r="N290" s="48">
        <v>294.01</v>
      </c>
      <c r="O290" s="44" t="s">
        <v>2216</v>
      </c>
      <c r="P290" s="29"/>
      <c r="Q290" s="27"/>
      <c r="T290" s="29"/>
      <c r="U290" s="32"/>
      <c r="V290" s="91"/>
      <c r="X290" s="29"/>
      <c r="Y290" s="27"/>
      <c r="Z290" s="30"/>
      <c r="AD290" s="29"/>
    </row>
    <row r="291" hidden="1" customHeight="1" spans="1:30">
      <c r="A291" s="44" t="s">
        <v>637</v>
      </c>
      <c r="B291" s="86">
        <v>45077</v>
      </c>
      <c r="C291" s="44" t="s">
        <v>646</v>
      </c>
      <c r="D291" s="44" t="s">
        <v>1915</v>
      </c>
      <c r="E291" s="44" t="s">
        <v>640</v>
      </c>
      <c r="F291" s="44" t="s">
        <v>641</v>
      </c>
      <c r="G291" s="44" t="s">
        <v>1901</v>
      </c>
      <c r="H291" s="44" t="s">
        <v>643</v>
      </c>
      <c r="I291" s="44" t="s">
        <v>441</v>
      </c>
      <c r="J291" s="44" t="s">
        <v>656</v>
      </c>
      <c r="K291" s="44" t="s">
        <v>14</v>
      </c>
      <c r="L291" s="48">
        <v>502288.6</v>
      </c>
      <c r="M291" s="48">
        <v>473857.17</v>
      </c>
      <c r="N291" s="48">
        <v>28431.43</v>
      </c>
      <c r="O291" s="44" t="s">
        <v>2217</v>
      </c>
      <c r="P291" s="29"/>
      <c r="Q291" s="27"/>
      <c r="T291" s="29"/>
      <c r="U291" s="32"/>
      <c r="V291" s="91"/>
      <c r="X291" s="29"/>
      <c r="Y291" s="27"/>
      <c r="Z291" s="30"/>
      <c r="AD291" s="29"/>
    </row>
    <row r="292" hidden="1" customHeight="1" spans="1:30">
      <c r="A292" s="44" t="s">
        <v>637</v>
      </c>
      <c r="B292" s="86">
        <v>45077</v>
      </c>
      <c r="C292" s="44" t="s">
        <v>646</v>
      </c>
      <c r="D292" s="44" t="s">
        <v>2134</v>
      </c>
      <c r="E292" s="44" t="s">
        <v>640</v>
      </c>
      <c r="F292" s="44" t="s">
        <v>641</v>
      </c>
      <c r="G292" s="44" t="s">
        <v>1899</v>
      </c>
      <c r="H292" s="44" t="s">
        <v>643</v>
      </c>
      <c r="I292" s="44" t="s">
        <v>466</v>
      </c>
      <c r="J292" s="44" t="s">
        <v>656</v>
      </c>
      <c r="K292" s="44" t="s">
        <v>14</v>
      </c>
      <c r="L292" s="48">
        <v>25835.92</v>
      </c>
      <c r="M292" s="48">
        <v>24373.51</v>
      </c>
      <c r="N292" s="48">
        <v>1462.41</v>
      </c>
      <c r="O292" s="44" t="s">
        <v>2218</v>
      </c>
      <c r="P292" s="29"/>
      <c r="Q292" s="27"/>
      <c r="T292" s="29"/>
      <c r="U292" s="32"/>
      <c r="V292" s="91"/>
      <c r="X292" s="29"/>
      <c r="Y292" s="27"/>
      <c r="Z292" s="30"/>
      <c r="AD292" s="29"/>
    </row>
    <row r="293" hidden="1" customHeight="1" spans="1:30">
      <c r="A293" s="44" t="s">
        <v>637</v>
      </c>
      <c r="B293" s="86">
        <v>45077</v>
      </c>
      <c r="C293" s="44" t="s">
        <v>646</v>
      </c>
      <c r="D293" s="44" t="s">
        <v>726</v>
      </c>
      <c r="E293" s="44" t="s">
        <v>640</v>
      </c>
      <c r="F293" s="44" t="s">
        <v>641</v>
      </c>
      <c r="G293" s="44" t="s">
        <v>1899</v>
      </c>
      <c r="H293" s="44" t="s">
        <v>643</v>
      </c>
      <c r="I293" s="44" t="s">
        <v>1938</v>
      </c>
      <c r="J293" s="44" t="s">
        <v>656</v>
      </c>
      <c r="K293" s="44" t="s">
        <v>14</v>
      </c>
      <c r="L293" s="48">
        <v>33547</v>
      </c>
      <c r="M293" s="48">
        <v>31648.11</v>
      </c>
      <c r="N293" s="48">
        <v>1898.89</v>
      </c>
      <c r="O293" s="44" t="s">
        <v>2219</v>
      </c>
      <c r="P293" s="29"/>
      <c r="Q293" s="27"/>
      <c r="T293" s="29"/>
      <c r="U293" s="32"/>
      <c r="V293" s="91"/>
      <c r="X293" s="29"/>
      <c r="Y293" s="27"/>
      <c r="Z293" s="30"/>
      <c r="AD293" s="29"/>
    </row>
    <row r="294" hidden="1" customHeight="1" spans="1:30">
      <c r="A294" s="44" t="s">
        <v>637</v>
      </c>
      <c r="B294" s="86">
        <v>45077</v>
      </c>
      <c r="C294" s="44" t="s">
        <v>646</v>
      </c>
      <c r="D294" s="44" t="s">
        <v>2134</v>
      </c>
      <c r="E294" s="44" t="s">
        <v>640</v>
      </c>
      <c r="F294" s="44" t="s">
        <v>641</v>
      </c>
      <c r="G294" s="44" t="s">
        <v>1899</v>
      </c>
      <c r="H294" s="44" t="s">
        <v>643</v>
      </c>
      <c r="I294" s="44" t="s">
        <v>1989</v>
      </c>
      <c r="J294" s="44" t="s">
        <v>656</v>
      </c>
      <c r="K294" s="44" t="s">
        <v>14</v>
      </c>
      <c r="L294" s="48">
        <v>290.85</v>
      </c>
      <c r="M294" s="48">
        <v>274.39</v>
      </c>
      <c r="N294" s="48">
        <v>16.46</v>
      </c>
      <c r="O294" s="44" t="s">
        <v>2220</v>
      </c>
      <c r="P294" s="29"/>
      <c r="Q294" s="27"/>
      <c r="T294" s="29"/>
      <c r="U294" s="32"/>
      <c r="V294" s="91"/>
      <c r="X294" s="29"/>
      <c r="Y294" s="27"/>
      <c r="Z294" s="30"/>
      <c r="AD294" s="29"/>
    </row>
    <row r="295" hidden="1" customHeight="1" spans="1:30">
      <c r="A295" s="44" t="s">
        <v>637</v>
      </c>
      <c r="B295" s="86">
        <v>45077</v>
      </c>
      <c r="C295" s="44" t="s">
        <v>646</v>
      </c>
      <c r="D295" s="44" t="s">
        <v>740</v>
      </c>
      <c r="E295" s="44" t="s">
        <v>640</v>
      </c>
      <c r="F295" s="44" t="s">
        <v>641</v>
      </c>
      <c r="G295" s="44" t="s">
        <v>1899</v>
      </c>
      <c r="H295" s="44" t="s">
        <v>643</v>
      </c>
      <c r="I295" s="44" t="s">
        <v>1990</v>
      </c>
      <c r="J295" s="44" t="s">
        <v>644</v>
      </c>
      <c r="K295" s="44" t="s">
        <v>14</v>
      </c>
      <c r="L295" s="48">
        <v>419135</v>
      </c>
      <c r="M295" s="48">
        <v>395410.38</v>
      </c>
      <c r="N295" s="48">
        <v>23724.62</v>
      </c>
      <c r="O295" s="44" t="s">
        <v>2221</v>
      </c>
      <c r="P295" s="29"/>
      <c r="Q295" s="27"/>
      <c r="T295" s="29"/>
      <c r="U295" s="32"/>
      <c r="V295" s="91"/>
      <c r="X295" s="29"/>
      <c r="Y295" s="27"/>
      <c r="Z295" s="30"/>
      <c r="AD295" s="29"/>
    </row>
    <row r="296" hidden="1" customHeight="1" spans="1:30">
      <c r="A296" s="44" t="s">
        <v>637</v>
      </c>
      <c r="B296" s="86">
        <v>45077</v>
      </c>
      <c r="C296" s="44" t="s">
        <v>646</v>
      </c>
      <c r="D296" s="44" t="s">
        <v>1902</v>
      </c>
      <c r="E296" s="44" t="s">
        <v>1898</v>
      </c>
      <c r="F296" s="44" t="s">
        <v>641</v>
      </c>
      <c r="G296" s="44" t="s">
        <v>1899</v>
      </c>
      <c r="H296" s="44" t="s">
        <v>643</v>
      </c>
      <c r="I296" s="44" t="s">
        <v>466</v>
      </c>
      <c r="J296" s="44" t="s">
        <v>644</v>
      </c>
      <c r="K296" s="44" t="s">
        <v>14</v>
      </c>
      <c r="L296" s="48">
        <v>57159.33</v>
      </c>
      <c r="M296" s="48">
        <v>53923.9</v>
      </c>
      <c r="N296" s="48">
        <v>3235.43</v>
      </c>
      <c r="O296" s="44" t="s">
        <v>2222</v>
      </c>
      <c r="P296" s="29"/>
      <c r="Q296" s="27"/>
      <c r="T296" s="29"/>
      <c r="U296" s="32"/>
      <c r="V296" s="91"/>
      <c r="X296" s="29"/>
      <c r="Y296" s="27"/>
      <c r="Z296" s="30"/>
      <c r="AD296" s="29"/>
    </row>
    <row r="297" hidden="1" customHeight="1" spans="1:30">
      <c r="A297" s="44" t="s">
        <v>637</v>
      </c>
      <c r="B297" s="86">
        <v>45077</v>
      </c>
      <c r="C297" s="44" t="s">
        <v>646</v>
      </c>
      <c r="D297" s="44" t="s">
        <v>740</v>
      </c>
      <c r="E297" s="44" t="s">
        <v>1898</v>
      </c>
      <c r="F297" s="44" t="s">
        <v>641</v>
      </c>
      <c r="G297" s="44" t="s">
        <v>1899</v>
      </c>
      <c r="H297" s="44" t="s">
        <v>643</v>
      </c>
      <c r="I297" s="44" t="s">
        <v>466</v>
      </c>
      <c r="J297" s="44" t="s">
        <v>656</v>
      </c>
      <c r="K297" s="44" t="s">
        <v>14</v>
      </c>
      <c r="L297" s="48">
        <v>88365.37</v>
      </c>
      <c r="M297" s="48">
        <v>83363.56</v>
      </c>
      <c r="N297" s="48">
        <v>5001.81</v>
      </c>
      <c r="O297" s="44" t="s">
        <v>2223</v>
      </c>
      <c r="P297" s="29"/>
      <c r="Q297" s="27"/>
      <c r="T297" s="29"/>
      <c r="U297" s="32"/>
      <c r="V297" s="91"/>
      <c r="X297" s="29"/>
      <c r="Y297" s="27"/>
      <c r="Z297" s="30"/>
      <c r="AD297" s="29"/>
    </row>
    <row r="298" hidden="1" customHeight="1" spans="1:30">
      <c r="A298" s="44" t="s">
        <v>637</v>
      </c>
      <c r="B298" s="86">
        <v>45077</v>
      </c>
      <c r="C298" s="44" t="s">
        <v>646</v>
      </c>
      <c r="D298" s="44" t="s">
        <v>726</v>
      </c>
      <c r="E298" s="44" t="s">
        <v>1898</v>
      </c>
      <c r="F298" s="44" t="s">
        <v>641</v>
      </c>
      <c r="G298" s="44" t="s">
        <v>1899</v>
      </c>
      <c r="H298" s="44" t="s">
        <v>697</v>
      </c>
      <c r="I298" s="44" t="s">
        <v>1908</v>
      </c>
      <c r="J298" s="44" t="s">
        <v>656</v>
      </c>
      <c r="K298" s="44" t="s">
        <v>350</v>
      </c>
      <c r="L298" s="48">
        <v>6651.33</v>
      </c>
      <c r="M298" s="48">
        <v>6274.84</v>
      </c>
      <c r="N298" s="48">
        <v>376.49</v>
      </c>
      <c r="O298" s="44" t="s">
        <v>2224</v>
      </c>
      <c r="P298" s="29"/>
      <c r="Q298" s="27"/>
      <c r="T298" s="29"/>
      <c r="U298" s="32"/>
      <c r="V298" s="91"/>
      <c r="X298" s="29"/>
      <c r="Y298" s="27"/>
      <c r="Z298" s="30"/>
      <c r="AD298" s="29"/>
    </row>
    <row r="299" hidden="1" customHeight="1" spans="1:30">
      <c r="A299" s="44" t="s">
        <v>637</v>
      </c>
      <c r="B299" s="86">
        <v>45077</v>
      </c>
      <c r="C299" s="44" t="s">
        <v>646</v>
      </c>
      <c r="D299" s="44" t="s">
        <v>726</v>
      </c>
      <c r="E299" s="44" t="s">
        <v>1898</v>
      </c>
      <c r="F299" s="44" t="s">
        <v>641</v>
      </c>
      <c r="G299" s="44" t="s">
        <v>1899</v>
      </c>
      <c r="H299" s="44" t="s">
        <v>643</v>
      </c>
      <c r="I299" s="44" t="s">
        <v>1906</v>
      </c>
      <c r="J299" s="44" t="s">
        <v>644</v>
      </c>
      <c r="K299" s="44" t="s">
        <v>14</v>
      </c>
      <c r="L299" s="48">
        <v>69291.58</v>
      </c>
      <c r="M299" s="48">
        <v>65369.42</v>
      </c>
      <c r="N299" s="48">
        <v>3922.16</v>
      </c>
      <c r="O299" s="44" t="s">
        <v>2225</v>
      </c>
      <c r="P299" s="29"/>
      <c r="Q299" s="27"/>
      <c r="T299" s="29"/>
      <c r="U299" s="32"/>
      <c r="V299" s="91"/>
      <c r="X299" s="29"/>
      <c r="Y299" s="27"/>
      <c r="Z299" s="30"/>
      <c r="AD299" s="29"/>
    </row>
    <row r="300" hidden="1" customHeight="1" spans="1:30">
      <c r="A300" s="44" t="s">
        <v>637</v>
      </c>
      <c r="B300" s="86">
        <v>45077</v>
      </c>
      <c r="C300" s="44" t="s">
        <v>646</v>
      </c>
      <c r="D300" s="44" t="s">
        <v>1902</v>
      </c>
      <c r="E300" s="44" t="s">
        <v>1898</v>
      </c>
      <c r="F300" s="44" t="s">
        <v>641</v>
      </c>
      <c r="G300" s="44" t="s">
        <v>1899</v>
      </c>
      <c r="H300" s="44" t="s">
        <v>643</v>
      </c>
      <c r="I300" s="44" t="s">
        <v>466</v>
      </c>
      <c r="J300" s="44" t="s">
        <v>656</v>
      </c>
      <c r="K300" s="44" t="s">
        <v>14</v>
      </c>
      <c r="L300" s="48">
        <v>1182.64</v>
      </c>
      <c r="M300" s="48">
        <v>1115.7</v>
      </c>
      <c r="N300" s="48">
        <v>66.94</v>
      </c>
      <c r="O300" s="44" t="s">
        <v>2226</v>
      </c>
      <c r="P300" s="29"/>
      <c r="Q300" s="27"/>
      <c r="T300" s="29"/>
      <c r="U300" s="32"/>
      <c r="V300" s="91"/>
      <c r="X300" s="29"/>
      <c r="Y300" s="27"/>
      <c r="Z300" s="30"/>
      <c r="AD300" s="29"/>
    </row>
    <row r="301" hidden="1" customHeight="1" spans="1:30">
      <c r="A301" s="44" t="s">
        <v>637</v>
      </c>
      <c r="B301" s="86">
        <v>45077</v>
      </c>
      <c r="C301" s="44" t="s">
        <v>646</v>
      </c>
      <c r="D301" s="44" t="s">
        <v>1902</v>
      </c>
      <c r="E301" s="44" t="s">
        <v>1898</v>
      </c>
      <c r="F301" s="44" t="s">
        <v>641</v>
      </c>
      <c r="G301" s="44" t="s">
        <v>1899</v>
      </c>
      <c r="H301" s="44" t="s">
        <v>643</v>
      </c>
      <c r="I301" s="44" t="s">
        <v>436</v>
      </c>
      <c r="J301" s="44" t="s">
        <v>644</v>
      </c>
      <c r="K301" s="44" t="s">
        <v>350</v>
      </c>
      <c r="L301" s="48">
        <v>73000.81</v>
      </c>
      <c r="M301" s="48">
        <v>68868.69</v>
      </c>
      <c r="N301" s="48">
        <v>4132.12</v>
      </c>
      <c r="O301" s="44" t="s">
        <v>2227</v>
      </c>
      <c r="P301" s="29"/>
      <c r="Q301" s="27"/>
      <c r="T301" s="29"/>
      <c r="U301" s="32"/>
      <c r="V301" s="91"/>
      <c r="X301" s="29"/>
      <c r="Y301" s="27"/>
      <c r="Z301" s="30"/>
      <c r="AD301" s="29"/>
    </row>
    <row r="302" hidden="1" customHeight="1" spans="1:30">
      <c r="A302" s="44" t="s">
        <v>637</v>
      </c>
      <c r="B302" s="86">
        <v>45077</v>
      </c>
      <c r="C302" s="44" t="s">
        <v>646</v>
      </c>
      <c r="D302" s="44" t="s">
        <v>726</v>
      </c>
      <c r="E302" s="44" t="s">
        <v>1898</v>
      </c>
      <c r="F302" s="44" t="s">
        <v>641</v>
      </c>
      <c r="G302" s="44" t="s">
        <v>1899</v>
      </c>
      <c r="H302" s="44" t="s">
        <v>650</v>
      </c>
      <c r="I302" s="44" t="s">
        <v>461</v>
      </c>
      <c r="J302" s="44" t="s">
        <v>656</v>
      </c>
      <c r="K302" s="44" t="s">
        <v>14</v>
      </c>
      <c r="L302" s="48">
        <v>60650.96</v>
      </c>
      <c r="M302" s="48">
        <v>57217.89</v>
      </c>
      <c r="N302" s="48">
        <v>3433.07</v>
      </c>
      <c r="O302" s="44" t="s">
        <v>2228</v>
      </c>
      <c r="P302" s="29"/>
      <c r="Q302" s="27"/>
      <c r="T302" s="29"/>
      <c r="U302" s="32"/>
      <c r="V302" s="91"/>
      <c r="X302" s="29"/>
      <c r="Y302" s="27"/>
      <c r="Z302" s="30"/>
      <c r="AD302" s="29"/>
    </row>
    <row r="303" hidden="1" customHeight="1" spans="1:30">
      <c r="A303" s="44" t="s">
        <v>637</v>
      </c>
      <c r="B303" s="86">
        <v>45077</v>
      </c>
      <c r="C303" s="44" t="s">
        <v>700</v>
      </c>
      <c r="D303" s="44" t="s">
        <v>1902</v>
      </c>
      <c r="E303" s="44" t="s">
        <v>640</v>
      </c>
      <c r="F303" s="44" t="s">
        <v>641</v>
      </c>
      <c r="G303" s="44" t="s">
        <v>1899</v>
      </c>
      <c r="H303" s="44" t="s">
        <v>643</v>
      </c>
      <c r="I303" s="44" t="s">
        <v>442</v>
      </c>
      <c r="J303" s="44" t="s">
        <v>656</v>
      </c>
      <c r="K303" s="44" t="s">
        <v>14</v>
      </c>
      <c r="L303" s="48">
        <v>7073.13</v>
      </c>
      <c r="M303" s="48">
        <v>6672.76</v>
      </c>
      <c r="N303" s="48">
        <v>400.37</v>
      </c>
      <c r="O303" s="44" t="s">
        <v>2229</v>
      </c>
      <c r="P303" s="29"/>
      <c r="Q303" s="27"/>
      <c r="T303" s="29"/>
      <c r="U303" s="32"/>
      <c r="V303" s="91"/>
      <c r="X303" s="29"/>
      <c r="Y303" s="27"/>
      <c r="Z303" s="30"/>
      <c r="AD303" s="29"/>
    </row>
    <row r="304" hidden="1" customHeight="1" spans="1:30">
      <c r="A304" s="44" t="s">
        <v>637</v>
      </c>
      <c r="B304" s="86">
        <v>45077</v>
      </c>
      <c r="C304" s="44" t="s">
        <v>646</v>
      </c>
      <c r="D304" s="44" t="s">
        <v>1284</v>
      </c>
      <c r="E304" s="44" t="s">
        <v>1898</v>
      </c>
      <c r="F304" s="44" t="s">
        <v>641</v>
      </c>
      <c r="G304" s="44" t="s">
        <v>1899</v>
      </c>
      <c r="H304" s="44" t="s">
        <v>650</v>
      </c>
      <c r="I304" s="44" t="s">
        <v>779</v>
      </c>
      <c r="J304" s="44" t="s">
        <v>644</v>
      </c>
      <c r="K304" s="44" t="s">
        <v>14</v>
      </c>
      <c r="L304" s="48">
        <v>20000</v>
      </c>
      <c r="M304" s="48">
        <v>18867.92</v>
      </c>
      <c r="N304" s="48">
        <v>1132.08</v>
      </c>
      <c r="O304" s="44" t="s">
        <v>2230</v>
      </c>
      <c r="P304" s="29"/>
      <c r="Q304" s="27"/>
      <c r="T304" s="29"/>
      <c r="U304" s="32"/>
      <c r="V304" s="91"/>
      <c r="X304" s="29"/>
      <c r="Y304" s="27"/>
      <c r="Z304" s="30"/>
      <c r="AD304" s="29"/>
    </row>
    <row r="305" hidden="1" customHeight="1" spans="1:30">
      <c r="A305" s="44" t="s">
        <v>637</v>
      </c>
      <c r="B305" s="86">
        <v>45077</v>
      </c>
      <c r="C305" s="44" t="s">
        <v>646</v>
      </c>
      <c r="D305" s="44" t="s">
        <v>726</v>
      </c>
      <c r="E305" s="44" t="s">
        <v>1898</v>
      </c>
      <c r="F305" s="44" t="s">
        <v>641</v>
      </c>
      <c r="G305" s="44" t="s">
        <v>1899</v>
      </c>
      <c r="H305" s="44" t="s">
        <v>643</v>
      </c>
      <c r="I305" s="44" t="s">
        <v>466</v>
      </c>
      <c r="J305" s="44" t="s">
        <v>656</v>
      </c>
      <c r="K305" s="44" t="s">
        <v>14</v>
      </c>
      <c r="L305" s="48">
        <v>397640.24</v>
      </c>
      <c r="M305" s="48">
        <v>375132.3</v>
      </c>
      <c r="N305" s="48">
        <v>22507.94</v>
      </c>
      <c r="O305" s="44" t="s">
        <v>2231</v>
      </c>
      <c r="P305" s="29"/>
      <c r="Q305" s="27"/>
      <c r="T305" s="29"/>
      <c r="U305" s="32"/>
      <c r="V305" s="91"/>
      <c r="X305" s="29"/>
      <c r="Y305" s="27"/>
      <c r="Z305" s="30"/>
      <c r="AD305" s="29"/>
    </row>
    <row r="306" hidden="1" customHeight="1" spans="1:30">
      <c r="A306" s="44" t="s">
        <v>637</v>
      </c>
      <c r="B306" s="86">
        <v>45077</v>
      </c>
      <c r="C306" s="44" t="s">
        <v>646</v>
      </c>
      <c r="D306" s="44" t="s">
        <v>726</v>
      </c>
      <c r="E306" s="44" t="s">
        <v>1898</v>
      </c>
      <c r="F306" s="44" t="s">
        <v>641</v>
      </c>
      <c r="G306" s="44" t="s">
        <v>1899</v>
      </c>
      <c r="H306" s="44" t="s">
        <v>650</v>
      </c>
      <c r="I306" s="44" t="s">
        <v>779</v>
      </c>
      <c r="J306" s="44" t="s">
        <v>644</v>
      </c>
      <c r="K306" s="44" t="s">
        <v>14</v>
      </c>
      <c r="L306" s="48">
        <v>117000</v>
      </c>
      <c r="M306" s="48">
        <v>110377.36</v>
      </c>
      <c r="N306" s="48">
        <v>6622.64</v>
      </c>
      <c r="O306" s="44" t="s">
        <v>2232</v>
      </c>
      <c r="P306" s="29"/>
      <c r="Q306" s="27"/>
      <c r="T306" s="29"/>
      <c r="U306" s="32"/>
      <c r="V306" s="91"/>
      <c r="X306" s="29"/>
      <c r="Y306" s="27"/>
      <c r="Z306" s="30"/>
      <c r="AD306" s="29"/>
    </row>
    <row r="307" hidden="1" customHeight="1" spans="1:30">
      <c r="A307" s="44" t="s">
        <v>637</v>
      </c>
      <c r="B307" s="86">
        <v>45077</v>
      </c>
      <c r="C307" s="44" t="s">
        <v>646</v>
      </c>
      <c r="D307" s="44" t="s">
        <v>1284</v>
      </c>
      <c r="E307" s="44" t="s">
        <v>1898</v>
      </c>
      <c r="F307" s="44" t="s">
        <v>641</v>
      </c>
      <c r="G307" s="44" t="s">
        <v>1899</v>
      </c>
      <c r="H307" s="44" t="s">
        <v>643</v>
      </c>
      <c r="I307" s="44" t="s">
        <v>466</v>
      </c>
      <c r="J307" s="44" t="s">
        <v>656</v>
      </c>
      <c r="K307" s="44" t="s">
        <v>14</v>
      </c>
      <c r="L307" s="48">
        <v>157537.6</v>
      </c>
      <c r="M307" s="48">
        <v>148620.38</v>
      </c>
      <c r="N307" s="48">
        <v>8917.22</v>
      </c>
      <c r="O307" s="44" t="s">
        <v>2233</v>
      </c>
      <c r="P307" s="29"/>
      <c r="Q307" s="27"/>
      <c r="T307" s="29"/>
      <c r="U307" s="32"/>
      <c r="V307" s="91"/>
      <c r="X307" s="29"/>
      <c r="Y307" s="27"/>
      <c r="Z307" s="30"/>
      <c r="AD307" s="29"/>
    </row>
    <row r="308" hidden="1" customHeight="1" spans="1:30">
      <c r="A308" s="44" t="s">
        <v>637</v>
      </c>
      <c r="B308" s="86">
        <v>45077</v>
      </c>
      <c r="C308" s="44" t="s">
        <v>646</v>
      </c>
      <c r="D308" s="44" t="s">
        <v>1902</v>
      </c>
      <c r="E308" s="44" t="s">
        <v>1898</v>
      </c>
      <c r="F308" s="44" t="s">
        <v>641</v>
      </c>
      <c r="G308" s="44" t="s">
        <v>1899</v>
      </c>
      <c r="H308" s="44" t="s">
        <v>650</v>
      </c>
      <c r="I308" s="44" t="s">
        <v>779</v>
      </c>
      <c r="J308" s="44" t="s">
        <v>644</v>
      </c>
      <c r="K308" s="44" t="s">
        <v>14</v>
      </c>
      <c r="L308" s="48">
        <v>20000</v>
      </c>
      <c r="M308" s="48">
        <v>18867.92</v>
      </c>
      <c r="N308" s="48">
        <v>1132.08</v>
      </c>
      <c r="O308" s="44" t="s">
        <v>2234</v>
      </c>
      <c r="P308" s="29"/>
      <c r="Q308" s="27"/>
      <c r="T308" s="29"/>
      <c r="U308" s="32"/>
      <c r="V308" s="91"/>
      <c r="X308" s="29"/>
      <c r="Y308" s="27"/>
      <c r="Z308" s="30"/>
      <c r="AD308" s="29"/>
    </row>
    <row r="309" hidden="1" customHeight="1" spans="1:30">
      <c r="A309" s="44" t="s">
        <v>637</v>
      </c>
      <c r="B309" s="86">
        <v>45077</v>
      </c>
      <c r="C309" s="44" t="s">
        <v>700</v>
      </c>
      <c r="D309" s="44" t="s">
        <v>1902</v>
      </c>
      <c r="E309" s="44" t="s">
        <v>640</v>
      </c>
      <c r="F309" s="44" t="s">
        <v>641</v>
      </c>
      <c r="G309" s="44" t="s">
        <v>1901</v>
      </c>
      <c r="H309" s="44" t="s">
        <v>650</v>
      </c>
      <c r="I309" s="44" t="s">
        <v>442</v>
      </c>
      <c r="J309" s="44" t="s">
        <v>656</v>
      </c>
      <c r="K309" s="44" t="s">
        <v>14</v>
      </c>
      <c r="L309" s="48">
        <v>7201.58</v>
      </c>
      <c r="M309" s="48">
        <v>6793.94</v>
      </c>
      <c r="N309" s="48">
        <v>407.64</v>
      </c>
      <c r="O309" s="44" t="s">
        <v>2235</v>
      </c>
      <c r="P309" s="29"/>
      <c r="Q309" s="27"/>
      <c r="T309" s="29"/>
      <c r="U309" s="32"/>
      <c r="V309" s="91"/>
      <c r="X309" s="29"/>
      <c r="Y309" s="27"/>
      <c r="Z309" s="30"/>
      <c r="AD309" s="29"/>
    </row>
    <row r="310" hidden="1" customHeight="1" spans="1:30">
      <c r="A310" s="44" t="s">
        <v>637</v>
      </c>
      <c r="B310" s="86">
        <v>45077</v>
      </c>
      <c r="C310" s="44" t="s">
        <v>700</v>
      </c>
      <c r="D310" s="44" t="s">
        <v>2134</v>
      </c>
      <c r="E310" s="44" t="s">
        <v>640</v>
      </c>
      <c r="F310" s="44" t="s">
        <v>641</v>
      </c>
      <c r="G310" s="44" t="s">
        <v>1899</v>
      </c>
      <c r="H310" s="44" t="s">
        <v>643</v>
      </c>
      <c r="I310" s="44" t="s">
        <v>442</v>
      </c>
      <c r="J310" s="44" t="s">
        <v>656</v>
      </c>
      <c r="K310" s="44" t="s">
        <v>14</v>
      </c>
      <c r="L310" s="48">
        <v>11403.76</v>
      </c>
      <c r="M310" s="48">
        <v>10758.26</v>
      </c>
      <c r="N310" s="48">
        <v>645.5</v>
      </c>
      <c r="O310" s="44" t="s">
        <v>2236</v>
      </c>
      <c r="P310" s="29"/>
      <c r="Q310" s="27"/>
      <c r="T310" s="29"/>
      <c r="U310" s="32"/>
      <c r="V310" s="91"/>
      <c r="X310" s="29"/>
      <c r="Y310" s="27"/>
      <c r="Z310" s="30"/>
      <c r="AD310" s="29"/>
    </row>
    <row r="311" hidden="1" customHeight="1" spans="1:30">
      <c r="A311" s="44" t="s">
        <v>637</v>
      </c>
      <c r="B311" s="86">
        <v>45077</v>
      </c>
      <c r="C311" s="44" t="s">
        <v>700</v>
      </c>
      <c r="D311" s="44" t="s">
        <v>1902</v>
      </c>
      <c r="E311" s="44" t="s">
        <v>1898</v>
      </c>
      <c r="F311" s="44" t="s">
        <v>641</v>
      </c>
      <c r="G311" s="44" t="s">
        <v>1899</v>
      </c>
      <c r="H311" s="44" t="s">
        <v>643</v>
      </c>
      <c r="I311" s="44" t="s">
        <v>442</v>
      </c>
      <c r="J311" s="44" t="s">
        <v>656</v>
      </c>
      <c r="K311" s="44" t="s">
        <v>14</v>
      </c>
      <c r="L311" s="48">
        <v>58382.44</v>
      </c>
      <c r="M311" s="48">
        <v>55077.77</v>
      </c>
      <c r="N311" s="48">
        <v>3304.67</v>
      </c>
      <c r="O311" s="44" t="s">
        <v>2237</v>
      </c>
      <c r="P311" s="29"/>
      <c r="Q311" s="27"/>
      <c r="T311" s="29"/>
      <c r="U311" s="32"/>
      <c r="V311" s="91"/>
      <c r="X311" s="29"/>
      <c r="Y311" s="27"/>
      <c r="Z311" s="30"/>
      <c r="AD311" s="29"/>
    </row>
    <row r="312" hidden="1" customHeight="1" spans="1:30">
      <c r="A312" s="44" t="s">
        <v>637</v>
      </c>
      <c r="B312" s="86">
        <v>45077</v>
      </c>
      <c r="C312" s="44" t="s">
        <v>715</v>
      </c>
      <c r="D312" s="44" t="s">
        <v>733</v>
      </c>
      <c r="E312" s="44" t="s">
        <v>640</v>
      </c>
      <c r="F312" s="44" t="s">
        <v>641</v>
      </c>
      <c r="G312" s="44" t="s">
        <v>1899</v>
      </c>
      <c r="H312" s="44" t="s">
        <v>643</v>
      </c>
      <c r="I312" s="44" t="s">
        <v>430</v>
      </c>
      <c r="J312" s="44" t="s">
        <v>644</v>
      </c>
      <c r="K312" s="44" t="s">
        <v>14</v>
      </c>
      <c r="L312" s="48">
        <v>-25830.94</v>
      </c>
      <c r="M312" s="48">
        <v>-24368.81</v>
      </c>
      <c r="N312" s="48">
        <v>-1462.13</v>
      </c>
      <c r="O312" s="44" t="s">
        <v>2238</v>
      </c>
      <c r="P312" s="29"/>
      <c r="Q312" s="27"/>
      <c r="T312" s="29"/>
      <c r="U312" s="32"/>
      <c r="V312" s="91"/>
      <c r="X312" s="29"/>
      <c r="Y312" s="27"/>
      <c r="Z312" s="30"/>
      <c r="AD312" s="29"/>
    </row>
    <row r="313" hidden="1" customHeight="1" spans="1:30">
      <c r="A313" s="44" t="s">
        <v>637</v>
      </c>
      <c r="B313" s="86">
        <v>45077</v>
      </c>
      <c r="C313" s="44" t="s">
        <v>811</v>
      </c>
      <c r="D313" s="44" t="s">
        <v>653</v>
      </c>
      <c r="E313" s="44" t="s">
        <v>1898</v>
      </c>
      <c r="F313" s="44" t="s">
        <v>641</v>
      </c>
      <c r="G313" s="44" t="s">
        <v>1899</v>
      </c>
      <c r="H313" s="44" t="s">
        <v>650</v>
      </c>
      <c r="I313" s="44" t="s">
        <v>433</v>
      </c>
      <c r="J313" s="44" t="s">
        <v>656</v>
      </c>
      <c r="K313" s="44" t="s">
        <v>166</v>
      </c>
      <c r="L313" s="48">
        <v>172256.07</v>
      </c>
      <c r="M313" s="48">
        <v>162505.73</v>
      </c>
      <c r="N313" s="48">
        <v>9750.34</v>
      </c>
      <c r="O313" s="44" t="s">
        <v>2239</v>
      </c>
      <c r="P313" s="29"/>
      <c r="Q313" s="27"/>
      <c r="T313" s="29"/>
      <c r="U313" s="32"/>
      <c r="V313" s="91"/>
      <c r="X313" s="29"/>
      <c r="Y313" s="27"/>
      <c r="Z313" s="30"/>
      <c r="AD313" s="29"/>
    </row>
    <row r="314" hidden="1" customHeight="1" spans="1:30">
      <c r="A314" s="44" t="s">
        <v>637</v>
      </c>
      <c r="B314" s="86">
        <v>45077</v>
      </c>
      <c r="C314" s="44" t="s">
        <v>811</v>
      </c>
      <c r="D314" s="44" t="s">
        <v>653</v>
      </c>
      <c r="E314" s="44" t="s">
        <v>640</v>
      </c>
      <c r="F314" s="44" t="s">
        <v>641</v>
      </c>
      <c r="G314" s="44" t="s">
        <v>1901</v>
      </c>
      <c r="H314" s="44" t="s">
        <v>650</v>
      </c>
      <c r="I314" s="44" t="s">
        <v>435</v>
      </c>
      <c r="J314" s="44" t="s">
        <v>656</v>
      </c>
      <c r="K314" s="44" t="s">
        <v>166</v>
      </c>
      <c r="L314" s="48">
        <v>74881.8</v>
      </c>
      <c r="M314" s="48">
        <v>70643.21</v>
      </c>
      <c r="N314" s="48">
        <v>4238.59</v>
      </c>
      <c r="O314" s="44" t="s">
        <v>2240</v>
      </c>
      <c r="P314" s="29"/>
      <c r="Q314" s="27"/>
      <c r="T314" s="29"/>
      <c r="U314" s="32"/>
      <c r="V314" s="91"/>
      <c r="X314" s="29"/>
      <c r="Y314" s="27"/>
      <c r="Z314" s="30"/>
      <c r="AD314" s="29"/>
    </row>
    <row r="315" hidden="1" customHeight="1" spans="1:30">
      <c r="A315" s="44" t="s">
        <v>637</v>
      </c>
      <c r="B315" s="86">
        <v>45077</v>
      </c>
      <c r="C315" s="44" t="s">
        <v>811</v>
      </c>
      <c r="D315" s="44" t="s">
        <v>653</v>
      </c>
      <c r="E315" s="44" t="s">
        <v>1898</v>
      </c>
      <c r="F315" s="44" t="s">
        <v>641</v>
      </c>
      <c r="G315" s="44" t="s">
        <v>1899</v>
      </c>
      <c r="H315" s="44" t="s">
        <v>650</v>
      </c>
      <c r="I315" s="44" t="s">
        <v>435</v>
      </c>
      <c r="J315" s="44" t="s">
        <v>656</v>
      </c>
      <c r="K315" s="44" t="s">
        <v>166</v>
      </c>
      <c r="L315" s="48">
        <v>209090.22</v>
      </c>
      <c r="M315" s="48">
        <v>197254.92</v>
      </c>
      <c r="N315" s="48">
        <v>11835.3</v>
      </c>
      <c r="O315" s="44" t="s">
        <v>2241</v>
      </c>
      <c r="P315" s="29"/>
      <c r="Q315" s="27"/>
      <c r="T315" s="29"/>
      <c r="U315" s="32"/>
      <c r="V315" s="91"/>
      <c r="X315" s="29"/>
      <c r="Y315" s="27"/>
      <c r="Z315" s="30"/>
      <c r="AD315" s="29"/>
    </row>
    <row r="316" hidden="1" customHeight="1" spans="1:30">
      <c r="A316" s="44" t="s">
        <v>637</v>
      </c>
      <c r="B316" s="86">
        <v>45077</v>
      </c>
      <c r="C316" s="44" t="s">
        <v>811</v>
      </c>
      <c r="D316" s="44" t="s">
        <v>653</v>
      </c>
      <c r="E316" s="44" t="s">
        <v>640</v>
      </c>
      <c r="F316" s="44" t="s">
        <v>641</v>
      </c>
      <c r="G316" s="44" t="s">
        <v>1899</v>
      </c>
      <c r="H316" s="44" t="s">
        <v>650</v>
      </c>
      <c r="I316" s="44" t="s">
        <v>435</v>
      </c>
      <c r="J316" s="44" t="s">
        <v>656</v>
      </c>
      <c r="K316" s="44" t="s">
        <v>166</v>
      </c>
      <c r="L316" s="48">
        <v>-69902.66</v>
      </c>
      <c r="M316" s="48">
        <v>-65945.91</v>
      </c>
      <c r="N316" s="48">
        <v>-3956.75</v>
      </c>
      <c r="O316" s="44" t="s">
        <v>2242</v>
      </c>
      <c r="P316" s="29"/>
      <c r="Q316" s="27"/>
      <c r="T316" s="29"/>
      <c r="U316" s="32"/>
      <c r="V316" s="91"/>
      <c r="X316" s="29"/>
      <c r="Y316" s="27"/>
      <c r="Z316" s="30"/>
      <c r="AD316" s="29"/>
    </row>
    <row r="317" hidden="1" customHeight="1" spans="1:30">
      <c r="A317" s="44" t="s">
        <v>637</v>
      </c>
      <c r="B317" s="86">
        <v>45077</v>
      </c>
      <c r="C317" s="44" t="s">
        <v>748</v>
      </c>
      <c r="D317" s="44" t="s">
        <v>1284</v>
      </c>
      <c r="E317" s="44" t="s">
        <v>640</v>
      </c>
      <c r="F317" s="44" t="s">
        <v>641</v>
      </c>
      <c r="G317" s="44" t="s">
        <v>1899</v>
      </c>
      <c r="H317" s="44" t="s">
        <v>643</v>
      </c>
      <c r="I317" s="44" t="s">
        <v>779</v>
      </c>
      <c r="J317" s="44" t="s">
        <v>644</v>
      </c>
      <c r="K317" s="44" t="s">
        <v>14</v>
      </c>
      <c r="L317" s="48">
        <v>22729.02</v>
      </c>
      <c r="M317" s="48">
        <v>21442.47</v>
      </c>
      <c r="N317" s="48">
        <v>1286.55</v>
      </c>
      <c r="O317" s="44" t="s">
        <v>2243</v>
      </c>
      <c r="P317" s="29"/>
      <c r="Q317" s="27"/>
      <c r="T317" s="29"/>
      <c r="U317" s="32"/>
      <c r="V317" s="91"/>
      <c r="X317" s="29"/>
      <c r="Y317" s="27"/>
      <c r="Z317" s="30"/>
      <c r="AD317" s="29"/>
    </row>
    <row r="318" hidden="1" customHeight="1" spans="1:30">
      <c r="A318" s="44" t="s">
        <v>637</v>
      </c>
      <c r="B318" s="86">
        <v>45077</v>
      </c>
      <c r="C318" s="44" t="s">
        <v>748</v>
      </c>
      <c r="D318" s="44" t="s">
        <v>653</v>
      </c>
      <c r="E318" s="44" t="s">
        <v>640</v>
      </c>
      <c r="F318" s="44" t="s">
        <v>641</v>
      </c>
      <c r="G318" s="44" t="s">
        <v>1899</v>
      </c>
      <c r="H318" s="44" t="s">
        <v>650</v>
      </c>
      <c r="I318" s="44" t="s">
        <v>463</v>
      </c>
      <c r="J318" s="44" t="s">
        <v>656</v>
      </c>
      <c r="K318" s="44" t="s">
        <v>166</v>
      </c>
      <c r="L318" s="48">
        <v>6170.59</v>
      </c>
      <c r="M318" s="48">
        <v>5821.31</v>
      </c>
      <c r="N318" s="48">
        <v>349.28</v>
      </c>
      <c r="O318" s="44" t="s">
        <v>2244</v>
      </c>
      <c r="P318" s="29"/>
      <c r="Q318" s="27"/>
      <c r="T318" s="29"/>
      <c r="U318" s="32"/>
      <c r="V318" s="91"/>
      <c r="X318" s="29"/>
      <c r="Y318" s="27"/>
      <c r="Z318" s="30"/>
      <c r="AD318" s="29"/>
    </row>
    <row r="319" hidden="1" customHeight="1" spans="1:30">
      <c r="A319" s="44" t="s">
        <v>637</v>
      </c>
      <c r="B319" s="86">
        <v>45077</v>
      </c>
      <c r="C319" s="44" t="s">
        <v>748</v>
      </c>
      <c r="D319" s="44" t="s">
        <v>1284</v>
      </c>
      <c r="E319" s="44" t="s">
        <v>640</v>
      </c>
      <c r="F319" s="44" t="s">
        <v>641</v>
      </c>
      <c r="G319" s="44" t="s">
        <v>1899</v>
      </c>
      <c r="H319" s="44" t="s">
        <v>643</v>
      </c>
      <c r="I319" s="44" t="s">
        <v>444</v>
      </c>
      <c r="J319" s="44" t="s">
        <v>656</v>
      </c>
      <c r="K319" s="44" t="s">
        <v>14</v>
      </c>
      <c r="L319" s="48">
        <v>5896.73</v>
      </c>
      <c r="M319" s="48">
        <v>5562.95</v>
      </c>
      <c r="N319" s="48">
        <v>333.78</v>
      </c>
      <c r="O319" s="44" t="s">
        <v>2245</v>
      </c>
      <c r="P319" s="29"/>
      <c r="Q319" s="27"/>
      <c r="T319" s="29"/>
      <c r="U319" s="32"/>
      <c r="V319" s="91"/>
      <c r="X319" s="29"/>
      <c r="Y319" s="27"/>
      <c r="Z319" s="30"/>
      <c r="AD319" s="29"/>
    </row>
    <row r="320" hidden="1" customHeight="1" spans="1:30">
      <c r="A320" s="44" t="s">
        <v>637</v>
      </c>
      <c r="B320" s="86">
        <v>45077</v>
      </c>
      <c r="C320" s="44" t="s">
        <v>748</v>
      </c>
      <c r="D320" s="44" t="s">
        <v>653</v>
      </c>
      <c r="E320" s="44" t="s">
        <v>640</v>
      </c>
      <c r="F320" s="44" t="s">
        <v>641</v>
      </c>
      <c r="G320" s="44" t="s">
        <v>1899</v>
      </c>
      <c r="H320" s="44" t="s">
        <v>650</v>
      </c>
      <c r="I320" s="44" t="s">
        <v>463</v>
      </c>
      <c r="J320" s="44" t="s">
        <v>656</v>
      </c>
      <c r="K320" s="44" t="s">
        <v>166</v>
      </c>
      <c r="L320" s="48">
        <v>33418.19</v>
      </c>
      <c r="M320" s="48">
        <v>31526.59</v>
      </c>
      <c r="N320" s="48">
        <v>1891.6</v>
      </c>
      <c r="O320" s="44" t="s">
        <v>2246</v>
      </c>
      <c r="P320" s="29"/>
      <c r="Q320" s="27"/>
      <c r="T320" s="29"/>
      <c r="U320" s="32"/>
      <c r="V320" s="91"/>
      <c r="X320" s="29"/>
      <c r="Y320" s="27"/>
      <c r="Z320" s="30"/>
      <c r="AD320" s="29"/>
    </row>
    <row r="321" hidden="1" customHeight="1" spans="1:30">
      <c r="A321" s="44" t="s">
        <v>637</v>
      </c>
      <c r="B321" s="86">
        <v>45077</v>
      </c>
      <c r="C321" s="44" t="s">
        <v>748</v>
      </c>
      <c r="D321" s="44" t="s">
        <v>1284</v>
      </c>
      <c r="E321" s="44" t="s">
        <v>640</v>
      </c>
      <c r="F321" s="44" t="s">
        <v>641</v>
      </c>
      <c r="G321" s="44" t="s">
        <v>1901</v>
      </c>
      <c r="H321" s="44" t="s">
        <v>643</v>
      </c>
      <c r="I321" s="44" t="s">
        <v>444</v>
      </c>
      <c r="J321" s="44" t="s">
        <v>656</v>
      </c>
      <c r="K321" s="44" t="s">
        <v>14</v>
      </c>
      <c r="L321" s="48">
        <v>5445.03</v>
      </c>
      <c r="M321" s="48">
        <v>5136.82</v>
      </c>
      <c r="N321" s="48">
        <v>308.21</v>
      </c>
      <c r="O321" s="44" t="s">
        <v>2247</v>
      </c>
      <c r="P321" s="29"/>
      <c r="Q321" s="27"/>
      <c r="T321" s="29"/>
      <c r="U321" s="32"/>
      <c r="V321" s="91"/>
      <c r="X321" s="29"/>
      <c r="Y321" s="27"/>
      <c r="Z321" s="30"/>
      <c r="AD321" s="29"/>
    </row>
    <row r="322" hidden="1" customHeight="1" spans="1:30">
      <c r="A322" s="44" t="s">
        <v>637</v>
      </c>
      <c r="B322" s="86">
        <v>45077</v>
      </c>
      <c r="C322" s="44" t="s">
        <v>748</v>
      </c>
      <c r="D322" s="44" t="s">
        <v>653</v>
      </c>
      <c r="E322" s="44" t="s">
        <v>640</v>
      </c>
      <c r="F322" s="44" t="s">
        <v>641</v>
      </c>
      <c r="G322" s="44" t="s">
        <v>1901</v>
      </c>
      <c r="H322" s="44" t="s">
        <v>650</v>
      </c>
      <c r="I322" s="44" t="s">
        <v>463</v>
      </c>
      <c r="J322" s="44" t="s">
        <v>656</v>
      </c>
      <c r="K322" s="44" t="s">
        <v>166</v>
      </c>
      <c r="L322" s="48">
        <v>80873.44</v>
      </c>
      <c r="M322" s="48">
        <v>76295.7</v>
      </c>
      <c r="N322" s="48">
        <v>4577.74</v>
      </c>
      <c r="O322" s="44" t="s">
        <v>2248</v>
      </c>
      <c r="P322" s="29"/>
      <c r="Q322" s="27"/>
      <c r="T322" s="29"/>
      <c r="U322" s="32"/>
      <c r="V322" s="91"/>
      <c r="X322" s="29"/>
      <c r="Y322" s="27"/>
      <c r="Z322" s="30"/>
      <c r="AD322" s="29"/>
    </row>
    <row r="323" hidden="1" customHeight="1" spans="1:30">
      <c r="A323" s="44" t="s">
        <v>637</v>
      </c>
      <c r="B323" s="86">
        <v>45077</v>
      </c>
      <c r="C323" s="44" t="s">
        <v>748</v>
      </c>
      <c r="D323" s="44" t="s">
        <v>1902</v>
      </c>
      <c r="E323" s="44" t="s">
        <v>640</v>
      </c>
      <c r="F323" s="44" t="s">
        <v>641</v>
      </c>
      <c r="G323" s="44" t="s">
        <v>1901</v>
      </c>
      <c r="H323" s="44" t="s">
        <v>643</v>
      </c>
      <c r="I323" s="44" t="s">
        <v>444</v>
      </c>
      <c r="J323" s="44" t="s">
        <v>656</v>
      </c>
      <c r="K323" s="44" t="s">
        <v>14</v>
      </c>
      <c r="L323" s="48">
        <v>8975.33</v>
      </c>
      <c r="M323" s="48">
        <v>8467.29</v>
      </c>
      <c r="N323" s="48">
        <v>508.04</v>
      </c>
      <c r="O323" s="44" t="s">
        <v>2249</v>
      </c>
      <c r="P323" s="29"/>
      <c r="Q323" s="27"/>
      <c r="T323" s="29"/>
      <c r="U323" s="32"/>
      <c r="V323" s="91"/>
      <c r="X323" s="29"/>
      <c r="Y323" s="27"/>
      <c r="Z323" s="30"/>
      <c r="AD323" s="29"/>
    </row>
    <row r="324" hidden="1" customHeight="1" spans="1:30">
      <c r="A324" s="44" t="s">
        <v>637</v>
      </c>
      <c r="B324" s="86">
        <v>45077</v>
      </c>
      <c r="C324" s="44" t="s">
        <v>748</v>
      </c>
      <c r="D324" s="44" t="s">
        <v>726</v>
      </c>
      <c r="E324" s="44" t="s">
        <v>640</v>
      </c>
      <c r="F324" s="44" t="s">
        <v>641</v>
      </c>
      <c r="G324" s="44" t="s">
        <v>1901</v>
      </c>
      <c r="H324" s="44" t="s">
        <v>643</v>
      </c>
      <c r="I324" s="44" t="s">
        <v>444</v>
      </c>
      <c r="J324" s="44" t="s">
        <v>656</v>
      </c>
      <c r="K324" s="44" t="s">
        <v>14</v>
      </c>
      <c r="L324" s="48">
        <v>18505.74</v>
      </c>
      <c r="M324" s="48">
        <v>17458.25</v>
      </c>
      <c r="N324" s="48">
        <v>1047.49</v>
      </c>
      <c r="O324" s="44" t="s">
        <v>2250</v>
      </c>
      <c r="P324" s="29"/>
      <c r="Q324" s="27"/>
      <c r="T324" s="29"/>
      <c r="U324" s="32"/>
      <c r="V324" s="91"/>
      <c r="X324" s="29"/>
      <c r="Y324" s="27"/>
      <c r="Z324" s="30"/>
      <c r="AD324" s="29"/>
    </row>
    <row r="325" hidden="1" customHeight="1" spans="1:30">
      <c r="A325" s="44" t="s">
        <v>637</v>
      </c>
      <c r="B325" s="86">
        <v>45077</v>
      </c>
      <c r="C325" s="44" t="s">
        <v>748</v>
      </c>
      <c r="D325" s="44" t="s">
        <v>653</v>
      </c>
      <c r="E325" s="44" t="s">
        <v>640</v>
      </c>
      <c r="F325" s="44" t="s">
        <v>641</v>
      </c>
      <c r="G325" s="44" t="s">
        <v>1899</v>
      </c>
      <c r="H325" s="44" t="s">
        <v>650</v>
      </c>
      <c r="I325" s="44" t="s">
        <v>1273</v>
      </c>
      <c r="J325" s="44" t="s">
        <v>656</v>
      </c>
      <c r="K325" s="44" t="s">
        <v>166</v>
      </c>
      <c r="L325" s="48">
        <v>80873.44</v>
      </c>
      <c r="M325" s="48">
        <v>76295.7</v>
      </c>
      <c r="N325" s="48">
        <v>4577.74</v>
      </c>
      <c r="O325" s="44" t="s">
        <v>2251</v>
      </c>
      <c r="P325" s="29"/>
      <c r="Q325" s="27"/>
      <c r="T325" s="29"/>
      <c r="U325" s="32"/>
      <c r="V325" s="91"/>
      <c r="X325" s="29"/>
      <c r="Y325" s="27"/>
      <c r="Z325" s="30"/>
      <c r="AD325" s="29"/>
    </row>
    <row r="326" hidden="1" customHeight="1" spans="1:34">
      <c r="A326" s="39" t="s">
        <v>1980</v>
      </c>
      <c r="B326" s="93">
        <v>45077</v>
      </c>
      <c r="C326" s="39" t="s">
        <v>748</v>
      </c>
      <c r="D326" s="39"/>
      <c r="E326" s="41" t="s">
        <v>640</v>
      </c>
      <c r="F326" s="41" t="s">
        <v>641</v>
      </c>
      <c r="G326" s="93" t="s">
        <v>1899</v>
      </c>
      <c r="H326" s="41" t="s">
        <v>650</v>
      </c>
      <c r="I326" s="39" t="s">
        <v>1927</v>
      </c>
      <c r="J326" s="41" t="s">
        <v>656</v>
      </c>
      <c r="K326" s="71" t="s">
        <v>166</v>
      </c>
      <c r="L326" s="90">
        <v>-89</v>
      </c>
      <c r="M326" s="90">
        <v>-83.97</v>
      </c>
      <c r="N326" s="90">
        <f t="shared" ref="N326:N338" si="7">L326-M326</f>
        <v>-5.03</v>
      </c>
      <c r="P326" s="30"/>
      <c r="Q326" s="30"/>
      <c r="R326" s="31"/>
      <c r="S326" s="31"/>
      <c r="T326" s="31"/>
      <c r="X326" s="29"/>
      <c r="Y326" s="27"/>
      <c r="AC326" s="98"/>
      <c r="AD326" s="29"/>
      <c r="AF326" s="30"/>
      <c r="AG326" s="29"/>
      <c r="AH326" s="29"/>
    </row>
    <row r="327" hidden="1" customHeight="1" spans="1:34">
      <c r="A327" s="39" t="s">
        <v>1980</v>
      </c>
      <c r="B327" s="93">
        <v>45077</v>
      </c>
      <c r="C327" s="39" t="s">
        <v>811</v>
      </c>
      <c r="D327" s="39"/>
      <c r="E327" s="41" t="s">
        <v>640</v>
      </c>
      <c r="F327" s="41" t="s">
        <v>641</v>
      </c>
      <c r="G327" s="93" t="s">
        <v>1899</v>
      </c>
      <c r="H327" s="41" t="s">
        <v>650</v>
      </c>
      <c r="I327" s="39" t="s">
        <v>433</v>
      </c>
      <c r="J327" s="41" t="s">
        <v>656</v>
      </c>
      <c r="K327" s="71" t="s">
        <v>166</v>
      </c>
      <c r="L327" s="90">
        <v>-25151.1</v>
      </c>
      <c r="M327" s="90">
        <v>-23727.46</v>
      </c>
      <c r="N327" s="90">
        <f t="shared" si="7"/>
        <v>-1423.64</v>
      </c>
      <c r="P327" s="30"/>
      <c r="Q327" s="30"/>
      <c r="R327" s="31"/>
      <c r="S327" s="31"/>
      <c r="T327" s="31"/>
      <c r="X327" s="29"/>
      <c r="Y327" s="27"/>
      <c r="AC327" s="98"/>
      <c r="AD327" s="29"/>
      <c r="AF327" s="30"/>
      <c r="AG327" s="29"/>
      <c r="AH327" s="29"/>
    </row>
    <row r="328" hidden="1" customHeight="1" spans="1:34">
      <c r="A328" s="39" t="s">
        <v>1980</v>
      </c>
      <c r="B328" s="93">
        <v>45077</v>
      </c>
      <c r="C328" s="39" t="s">
        <v>811</v>
      </c>
      <c r="D328" s="39"/>
      <c r="E328" s="41" t="s">
        <v>640</v>
      </c>
      <c r="F328" s="41" t="s">
        <v>641</v>
      </c>
      <c r="G328" s="93" t="s">
        <v>1899</v>
      </c>
      <c r="H328" s="41" t="s">
        <v>650</v>
      </c>
      <c r="I328" s="39" t="s">
        <v>435</v>
      </c>
      <c r="J328" s="41" t="s">
        <v>656</v>
      </c>
      <c r="K328" s="71" t="s">
        <v>166</v>
      </c>
      <c r="L328" s="90">
        <v>125749.42</v>
      </c>
      <c r="M328" s="90">
        <v>118631.53</v>
      </c>
      <c r="N328" s="90">
        <f t="shared" si="7"/>
        <v>7117.89</v>
      </c>
      <c r="P328" s="30"/>
      <c r="Q328" s="30"/>
      <c r="R328" s="31"/>
      <c r="S328" s="31"/>
      <c r="T328" s="31"/>
      <c r="X328" s="29"/>
      <c r="Y328" s="27"/>
      <c r="AC328" s="98"/>
      <c r="AD328" s="29"/>
      <c r="AF328" s="30"/>
      <c r="AG328" s="29"/>
      <c r="AH328" s="29"/>
    </row>
    <row r="329" hidden="1" customHeight="1" spans="1:34">
      <c r="A329" s="39" t="s">
        <v>1980</v>
      </c>
      <c r="B329" s="93">
        <v>45077</v>
      </c>
      <c r="C329" s="39" t="s">
        <v>811</v>
      </c>
      <c r="D329" s="39"/>
      <c r="E329" s="41" t="s">
        <v>640</v>
      </c>
      <c r="F329" s="41" t="s">
        <v>641</v>
      </c>
      <c r="G329" s="41" t="s">
        <v>1901</v>
      </c>
      <c r="H329" s="41" t="s">
        <v>650</v>
      </c>
      <c r="I329" s="39" t="s">
        <v>433</v>
      </c>
      <c r="J329" s="41" t="s">
        <v>656</v>
      </c>
      <c r="K329" s="71" t="s">
        <v>166</v>
      </c>
      <c r="L329" s="90">
        <v>49595.27</v>
      </c>
      <c r="M329" s="90">
        <v>46787.95</v>
      </c>
      <c r="N329" s="90">
        <f t="shared" si="7"/>
        <v>2807.32</v>
      </c>
      <c r="P329" s="30"/>
      <c r="Q329" s="30"/>
      <c r="R329" s="31"/>
      <c r="S329" s="31"/>
      <c r="T329" s="31"/>
      <c r="X329" s="29"/>
      <c r="Y329" s="27"/>
      <c r="AC329" s="98"/>
      <c r="AD329" s="29"/>
      <c r="AF329" s="30"/>
      <c r="AG329" s="29"/>
      <c r="AH329" s="29"/>
    </row>
    <row r="330" hidden="1" customHeight="1" spans="1:34">
      <c r="A330" s="39" t="s">
        <v>1980</v>
      </c>
      <c r="B330" s="93">
        <v>45077</v>
      </c>
      <c r="C330" s="39" t="s">
        <v>811</v>
      </c>
      <c r="D330" s="39"/>
      <c r="E330" s="41" t="s">
        <v>640</v>
      </c>
      <c r="F330" s="41" t="s">
        <v>641</v>
      </c>
      <c r="G330" s="41" t="s">
        <v>1901</v>
      </c>
      <c r="H330" s="41" t="s">
        <v>650</v>
      </c>
      <c r="I330" s="39" t="s">
        <v>435</v>
      </c>
      <c r="J330" s="41" t="s">
        <v>656</v>
      </c>
      <c r="K330" s="71" t="s">
        <v>166</v>
      </c>
      <c r="L330" s="90">
        <v>50672.33</v>
      </c>
      <c r="M330" s="90">
        <v>47804.13</v>
      </c>
      <c r="N330" s="90">
        <f t="shared" si="7"/>
        <v>2868.2</v>
      </c>
      <c r="P330" s="30"/>
      <c r="Q330" s="30"/>
      <c r="R330" s="31"/>
      <c r="S330" s="31"/>
      <c r="T330" s="31"/>
      <c r="X330" s="29"/>
      <c r="Y330" s="27"/>
      <c r="AC330" s="98"/>
      <c r="AD330" s="29"/>
      <c r="AF330" s="30"/>
      <c r="AG330" s="29"/>
      <c r="AH330" s="29"/>
    </row>
    <row r="331" hidden="1" customHeight="1" spans="1:34">
      <c r="A331" s="39" t="s">
        <v>1085</v>
      </c>
      <c r="B331" s="93">
        <v>45077</v>
      </c>
      <c r="C331" s="39" t="s">
        <v>646</v>
      </c>
      <c r="D331" s="39"/>
      <c r="E331" s="41" t="s">
        <v>640</v>
      </c>
      <c r="F331" s="41" t="s">
        <v>641</v>
      </c>
      <c r="G331" s="93" t="s">
        <v>1899</v>
      </c>
      <c r="H331" s="41" t="s">
        <v>650</v>
      </c>
      <c r="I331" s="39" t="s">
        <v>1991</v>
      </c>
      <c r="J331" s="41" t="s">
        <v>656</v>
      </c>
      <c r="K331" s="71" t="s">
        <v>14</v>
      </c>
      <c r="L331" s="90">
        <v>-282.1</v>
      </c>
      <c r="M331" s="90">
        <v>-266.13</v>
      </c>
      <c r="N331" s="90">
        <f t="shared" si="7"/>
        <v>-15.97</v>
      </c>
      <c r="P331" s="30"/>
      <c r="Q331" s="30"/>
      <c r="R331" s="31"/>
      <c r="S331" s="31"/>
      <c r="T331" s="31"/>
      <c r="X331" s="29"/>
      <c r="Y331" s="27"/>
      <c r="AC331" s="98"/>
      <c r="AD331" s="29"/>
      <c r="AF331" s="30"/>
      <c r="AG331" s="29"/>
      <c r="AH331" s="29"/>
    </row>
    <row r="332" hidden="1" customHeight="1" spans="1:34">
      <c r="A332" s="39" t="s">
        <v>1085</v>
      </c>
      <c r="B332" s="93">
        <v>45077</v>
      </c>
      <c r="C332" s="39" t="s">
        <v>646</v>
      </c>
      <c r="D332" s="39"/>
      <c r="E332" s="41" t="s">
        <v>640</v>
      </c>
      <c r="F332" s="41" t="s">
        <v>641</v>
      </c>
      <c r="G332" s="93" t="s">
        <v>1899</v>
      </c>
      <c r="H332" s="41" t="s">
        <v>650</v>
      </c>
      <c r="I332" s="39" t="s">
        <v>2026</v>
      </c>
      <c r="J332" s="41" t="s">
        <v>656</v>
      </c>
      <c r="K332" s="71" t="s">
        <v>13</v>
      </c>
      <c r="L332" s="90">
        <v>44520</v>
      </c>
      <c r="M332" s="90">
        <v>42000</v>
      </c>
      <c r="N332" s="90">
        <f t="shared" si="7"/>
        <v>2520</v>
      </c>
      <c r="P332" s="30"/>
      <c r="Q332" s="30"/>
      <c r="R332" s="31"/>
      <c r="S332" s="31"/>
      <c r="T332" s="31"/>
      <c r="X332" s="29"/>
      <c r="Y332" s="27"/>
      <c r="AC332" s="98"/>
      <c r="AD332" s="29"/>
      <c r="AF332" s="30"/>
      <c r="AG332" s="29"/>
      <c r="AH332" s="29"/>
    </row>
    <row r="333" hidden="1" customHeight="1" spans="1:34">
      <c r="A333" s="39" t="s">
        <v>1085</v>
      </c>
      <c r="B333" s="93">
        <v>45077</v>
      </c>
      <c r="C333" s="39" t="s">
        <v>715</v>
      </c>
      <c r="D333" s="39"/>
      <c r="E333" s="41" t="s">
        <v>640</v>
      </c>
      <c r="F333" s="41" t="s">
        <v>641</v>
      </c>
      <c r="G333" s="93" t="s">
        <v>1899</v>
      </c>
      <c r="H333" s="41" t="s">
        <v>650</v>
      </c>
      <c r="I333" s="39" t="s">
        <v>1929</v>
      </c>
      <c r="J333" s="41" t="s">
        <v>656</v>
      </c>
      <c r="K333" s="71" t="s">
        <v>14</v>
      </c>
      <c r="L333" s="90">
        <v>680383.4</v>
      </c>
      <c r="M333" s="90">
        <v>641871.13</v>
      </c>
      <c r="N333" s="90">
        <f t="shared" si="7"/>
        <v>38512.27</v>
      </c>
      <c r="P333" s="30"/>
      <c r="Q333" s="30"/>
      <c r="R333" s="31"/>
      <c r="S333" s="31"/>
      <c r="T333" s="31"/>
      <c r="X333" s="29"/>
      <c r="Y333" s="27"/>
      <c r="AC333" s="98"/>
      <c r="AD333" s="29"/>
      <c r="AF333" s="30"/>
      <c r="AG333" s="29"/>
      <c r="AH333" s="29"/>
    </row>
    <row r="334" hidden="1" customHeight="1" spans="1:34">
      <c r="A334" s="39" t="s">
        <v>1085</v>
      </c>
      <c r="B334" s="93">
        <v>45077</v>
      </c>
      <c r="C334" s="39" t="s">
        <v>730</v>
      </c>
      <c r="D334" s="39"/>
      <c r="E334" s="41" t="s">
        <v>640</v>
      </c>
      <c r="F334" s="41" t="s">
        <v>641</v>
      </c>
      <c r="G334" s="93" t="s">
        <v>1899</v>
      </c>
      <c r="H334" s="41" t="s">
        <v>650</v>
      </c>
      <c r="I334" s="39" t="s">
        <v>473</v>
      </c>
      <c r="J334" s="41" t="s">
        <v>656</v>
      </c>
      <c r="K334" s="71" t="s">
        <v>14</v>
      </c>
      <c r="L334" s="90">
        <v>342102.25</v>
      </c>
      <c r="M334" s="90">
        <v>322737.97</v>
      </c>
      <c r="N334" s="90">
        <f t="shared" si="7"/>
        <v>19364.28</v>
      </c>
      <c r="P334" s="30"/>
      <c r="Q334" s="30"/>
      <c r="R334" s="31"/>
      <c r="S334" s="31"/>
      <c r="T334" s="31"/>
      <c r="X334" s="29"/>
      <c r="Y334" s="27"/>
      <c r="AC334" s="98"/>
      <c r="AD334" s="29"/>
      <c r="AF334" s="30"/>
      <c r="AG334" s="29"/>
      <c r="AH334" s="29"/>
    </row>
    <row r="335" hidden="1" customHeight="1" spans="1:34">
      <c r="A335" s="39" t="s">
        <v>1085</v>
      </c>
      <c r="B335" s="93">
        <v>45077</v>
      </c>
      <c r="C335" s="39" t="s">
        <v>748</v>
      </c>
      <c r="D335" s="39"/>
      <c r="E335" s="41" t="s">
        <v>640</v>
      </c>
      <c r="F335" s="41" t="s">
        <v>641</v>
      </c>
      <c r="G335" s="93" t="s">
        <v>1899</v>
      </c>
      <c r="H335" s="41" t="s">
        <v>650</v>
      </c>
      <c r="I335" s="39" t="s">
        <v>432</v>
      </c>
      <c r="J335" s="41" t="s">
        <v>656</v>
      </c>
      <c r="K335" s="71" t="s">
        <v>14</v>
      </c>
      <c r="L335" s="90">
        <v>-757186.61</v>
      </c>
      <c r="M335" s="90">
        <v>-714326.99</v>
      </c>
      <c r="N335" s="90">
        <f t="shared" si="7"/>
        <v>-42859.62</v>
      </c>
      <c r="P335" s="30"/>
      <c r="Q335" s="30"/>
      <c r="R335" s="31"/>
      <c r="S335" s="31"/>
      <c r="T335" s="31"/>
      <c r="X335" s="29"/>
      <c r="Y335" s="27"/>
      <c r="AC335" s="98"/>
      <c r="AD335" s="29"/>
      <c r="AF335" s="30"/>
      <c r="AG335" s="29"/>
      <c r="AH335" s="29"/>
    </row>
    <row r="336" hidden="1" customHeight="1" spans="1:34">
      <c r="A336" s="39" t="s">
        <v>1085</v>
      </c>
      <c r="B336" s="93">
        <v>45077</v>
      </c>
      <c r="C336" s="39" t="s">
        <v>748</v>
      </c>
      <c r="D336" s="39"/>
      <c r="E336" s="41" t="s">
        <v>640</v>
      </c>
      <c r="F336" s="41" t="s">
        <v>641</v>
      </c>
      <c r="G336" s="93" t="s">
        <v>1899</v>
      </c>
      <c r="H336" s="41" t="s">
        <v>650</v>
      </c>
      <c r="I336" s="39" t="s">
        <v>1273</v>
      </c>
      <c r="J336" s="41" t="s">
        <v>656</v>
      </c>
      <c r="K336" s="71" t="s">
        <v>166</v>
      </c>
      <c r="L336" s="90">
        <v>123772.57</v>
      </c>
      <c r="M336" s="90">
        <v>116766.58</v>
      </c>
      <c r="N336" s="90">
        <f t="shared" si="7"/>
        <v>7005.99000000001</v>
      </c>
      <c r="P336" s="30"/>
      <c r="Q336" s="30"/>
      <c r="R336" s="31"/>
      <c r="S336" s="31"/>
      <c r="T336" s="31"/>
      <c r="X336" s="29"/>
      <c r="Y336" s="27"/>
      <c r="AC336" s="98"/>
      <c r="AD336" s="29"/>
      <c r="AF336" s="30"/>
      <c r="AG336" s="29"/>
      <c r="AH336" s="29"/>
    </row>
    <row r="337" customHeight="1" spans="1:34">
      <c r="A337" s="39" t="s">
        <v>1085</v>
      </c>
      <c r="B337" s="93">
        <v>45077</v>
      </c>
      <c r="C337" s="39" t="s">
        <v>811</v>
      </c>
      <c r="D337" s="39"/>
      <c r="E337" s="41" t="s">
        <v>640</v>
      </c>
      <c r="F337" s="41" t="s">
        <v>641</v>
      </c>
      <c r="G337" s="93" t="s">
        <v>1899</v>
      </c>
      <c r="H337" s="41" t="s">
        <v>650</v>
      </c>
      <c r="I337" s="39" t="s">
        <v>435</v>
      </c>
      <c r="J337" s="41" t="s">
        <v>656</v>
      </c>
      <c r="K337" s="71" t="s">
        <v>14</v>
      </c>
      <c r="L337" s="90">
        <v>60973.48</v>
      </c>
      <c r="M337" s="90">
        <v>57522.15</v>
      </c>
      <c r="N337" s="90">
        <f t="shared" si="7"/>
        <v>3451.33</v>
      </c>
      <c r="P337" s="30"/>
      <c r="Q337" s="30"/>
      <c r="R337" s="31"/>
      <c r="S337" s="31"/>
      <c r="T337" s="31"/>
      <c r="X337" s="29"/>
      <c r="Y337" s="27"/>
      <c r="AC337" s="98"/>
      <c r="AD337" s="29"/>
      <c r="AF337" s="30"/>
      <c r="AG337" s="29"/>
      <c r="AH337" s="29"/>
    </row>
    <row r="338" hidden="1" customHeight="1" spans="1:34">
      <c r="A338" s="39" t="s">
        <v>1085</v>
      </c>
      <c r="B338" s="93">
        <v>45077</v>
      </c>
      <c r="C338" s="39" t="s">
        <v>811</v>
      </c>
      <c r="D338" s="39"/>
      <c r="E338" s="41" t="s">
        <v>640</v>
      </c>
      <c r="F338" s="41" t="s">
        <v>641</v>
      </c>
      <c r="G338" s="41" t="s">
        <v>1901</v>
      </c>
      <c r="H338" s="41" t="s">
        <v>650</v>
      </c>
      <c r="I338" s="39" t="s">
        <v>435</v>
      </c>
      <c r="J338" s="41" t="s">
        <v>656</v>
      </c>
      <c r="K338" s="71" t="s">
        <v>14</v>
      </c>
      <c r="L338" s="90">
        <v>37786.17</v>
      </c>
      <c r="M338" s="90">
        <v>35647.33</v>
      </c>
      <c r="N338" s="90">
        <f t="shared" si="7"/>
        <v>2138.84</v>
      </c>
      <c r="P338" s="30"/>
      <c r="Q338" s="30"/>
      <c r="R338" s="31"/>
      <c r="S338" s="31"/>
      <c r="T338" s="31"/>
      <c r="X338" s="29"/>
      <c r="Y338" s="27"/>
      <c r="AC338" s="98"/>
      <c r="AD338" s="29"/>
      <c r="AF338" s="30"/>
      <c r="AG338" s="29"/>
      <c r="AH338" s="29"/>
    </row>
    <row r="339" hidden="1" customHeight="1" spans="1:30">
      <c r="A339" s="45" t="s">
        <v>637</v>
      </c>
      <c r="B339" s="96">
        <v>45107</v>
      </c>
      <c r="C339" s="45" t="s">
        <v>730</v>
      </c>
      <c r="D339" s="45" t="s">
        <v>653</v>
      </c>
      <c r="E339" s="45" t="s">
        <v>640</v>
      </c>
      <c r="F339" s="45" t="s">
        <v>641</v>
      </c>
      <c r="G339" s="45" t="s">
        <v>1899</v>
      </c>
      <c r="H339" s="45" t="s">
        <v>643</v>
      </c>
      <c r="I339" s="45" t="s">
        <v>1941</v>
      </c>
      <c r="J339" s="45" t="s">
        <v>656</v>
      </c>
      <c r="K339" s="45" t="s">
        <v>166</v>
      </c>
      <c r="L339" s="97">
        <v>67262.62</v>
      </c>
      <c r="M339" s="97">
        <v>63455.3</v>
      </c>
      <c r="N339" s="97">
        <v>3807.32</v>
      </c>
      <c r="O339" s="45" t="s">
        <v>2252</v>
      </c>
      <c r="P339" s="29"/>
      <c r="Q339" s="27"/>
      <c r="T339" s="29"/>
      <c r="U339" s="32"/>
      <c r="V339" s="91"/>
      <c r="X339" s="29"/>
      <c r="Y339" s="27"/>
      <c r="Z339" s="30"/>
      <c r="AD339" s="29"/>
    </row>
    <row r="340" hidden="1" customHeight="1" spans="1:30">
      <c r="A340" s="45" t="s">
        <v>637</v>
      </c>
      <c r="B340" s="96">
        <v>45107</v>
      </c>
      <c r="C340" s="45" t="s">
        <v>811</v>
      </c>
      <c r="D340" s="45" t="s">
        <v>653</v>
      </c>
      <c r="E340" s="45" t="s">
        <v>1898</v>
      </c>
      <c r="F340" s="45" t="s">
        <v>641</v>
      </c>
      <c r="G340" s="45" t="s">
        <v>1899</v>
      </c>
      <c r="H340" s="45" t="s">
        <v>650</v>
      </c>
      <c r="I340" s="45" t="s">
        <v>435</v>
      </c>
      <c r="J340" s="45" t="s">
        <v>656</v>
      </c>
      <c r="K340" s="45" t="s">
        <v>166</v>
      </c>
      <c r="L340" s="97">
        <v>919155.78</v>
      </c>
      <c r="M340" s="97">
        <v>867128.09</v>
      </c>
      <c r="N340" s="97">
        <v>52027.69</v>
      </c>
      <c r="O340" s="45" t="s">
        <v>2253</v>
      </c>
      <c r="P340" s="29"/>
      <c r="Q340" s="27"/>
      <c r="T340" s="29"/>
      <c r="U340" s="32"/>
      <c r="V340" s="91"/>
      <c r="X340" s="29"/>
      <c r="Y340" s="27"/>
      <c r="Z340" s="30"/>
      <c r="AD340" s="29"/>
    </row>
    <row r="341" hidden="1" customHeight="1" spans="1:30">
      <c r="A341" s="45" t="s">
        <v>637</v>
      </c>
      <c r="B341" s="96">
        <v>45107</v>
      </c>
      <c r="C341" s="45" t="s">
        <v>811</v>
      </c>
      <c r="D341" s="45" t="s">
        <v>653</v>
      </c>
      <c r="E341" s="45" t="s">
        <v>1898</v>
      </c>
      <c r="F341" s="45" t="s">
        <v>641</v>
      </c>
      <c r="G341" s="45" t="s">
        <v>1899</v>
      </c>
      <c r="H341" s="45" t="s">
        <v>650</v>
      </c>
      <c r="I341" s="45" t="s">
        <v>433</v>
      </c>
      <c r="J341" s="45" t="s">
        <v>656</v>
      </c>
      <c r="K341" s="45" t="s">
        <v>166</v>
      </c>
      <c r="L341" s="97">
        <v>1264630.62</v>
      </c>
      <c r="M341" s="97">
        <v>1193047.75</v>
      </c>
      <c r="N341" s="97">
        <v>71582.87</v>
      </c>
      <c r="O341" s="45" t="s">
        <v>2254</v>
      </c>
      <c r="P341" s="29"/>
      <c r="Q341" s="27"/>
      <c r="T341" s="29"/>
      <c r="U341" s="32"/>
      <c r="V341" s="91"/>
      <c r="X341" s="29"/>
      <c r="Y341" s="27"/>
      <c r="Z341" s="30"/>
      <c r="AD341" s="29"/>
    </row>
    <row r="342" hidden="1" customHeight="1" spans="1:30">
      <c r="A342" s="45" t="s">
        <v>637</v>
      </c>
      <c r="B342" s="96">
        <v>45107</v>
      </c>
      <c r="C342" s="45" t="s">
        <v>811</v>
      </c>
      <c r="D342" s="45" t="s">
        <v>653</v>
      </c>
      <c r="E342" s="45" t="s">
        <v>640</v>
      </c>
      <c r="F342" s="45" t="s">
        <v>641</v>
      </c>
      <c r="G342" s="45" t="s">
        <v>1899</v>
      </c>
      <c r="H342" s="45" t="s">
        <v>650</v>
      </c>
      <c r="I342" s="45" t="s">
        <v>435</v>
      </c>
      <c r="J342" s="45" t="s">
        <v>656</v>
      </c>
      <c r="K342" s="45" t="s">
        <v>166</v>
      </c>
      <c r="L342" s="97">
        <v>1600000</v>
      </c>
      <c r="M342" s="97">
        <v>1509433.96</v>
      </c>
      <c r="N342" s="97">
        <v>90566.04</v>
      </c>
      <c r="O342" s="45" t="s">
        <v>2255</v>
      </c>
      <c r="P342" s="29"/>
      <c r="Q342" s="27"/>
      <c r="T342" s="29"/>
      <c r="U342" s="32"/>
      <c r="V342" s="91"/>
      <c r="X342" s="29"/>
      <c r="Y342" s="27"/>
      <c r="Z342" s="30"/>
      <c r="AD342" s="29"/>
    </row>
    <row r="343" hidden="1" customHeight="1" spans="1:30">
      <c r="A343" s="45" t="s">
        <v>637</v>
      </c>
      <c r="B343" s="96">
        <v>45107</v>
      </c>
      <c r="C343" s="45" t="s">
        <v>811</v>
      </c>
      <c r="D343" s="45" t="s">
        <v>653</v>
      </c>
      <c r="E343" s="45" t="s">
        <v>640</v>
      </c>
      <c r="F343" s="45" t="s">
        <v>641</v>
      </c>
      <c r="G343" s="45" t="s">
        <v>1899</v>
      </c>
      <c r="H343" s="45" t="s">
        <v>650</v>
      </c>
      <c r="I343" s="45" t="s">
        <v>433</v>
      </c>
      <c r="J343" s="45" t="s">
        <v>656</v>
      </c>
      <c r="K343" s="45" t="s">
        <v>166</v>
      </c>
      <c r="L343" s="97">
        <v>2000000</v>
      </c>
      <c r="M343" s="97">
        <v>1886792.45</v>
      </c>
      <c r="N343" s="97">
        <v>113207.55</v>
      </c>
      <c r="O343" s="45" t="s">
        <v>2256</v>
      </c>
      <c r="P343" s="29"/>
      <c r="Q343" s="27"/>
      <c r="T343" s="29"/>
      <c r="U343" s="32"/>
      <c r="V343" s="91"/>
      <c r="X343" s="29"/>
      <c r="Y343" s="27"/>
      <c r="Z343" s="30"/>
      <c r="AD343" s="29"/>
    </row>
    <row r="344" hidden="1" customHeight="1" spans="1:30">
      <c r="A344" s="45" t="s">
        <v>637</v>
      </c>
      <c r="B344" s="96">
        <v>45107</v>
      </c>
      <c r="C344" s="45" t="s">
        <v>811</v>
      </c>
      <c r="D344" s="45" t="s">
        <v>653</v>
      </c>
      <c r="E344" s="45" t="s">
        <v>640</v>
      </c>
      <c r="F344" s="45" t="s">
        <v>641</v>
      </c>
      <c r="G344" s="45" t="s">
        <v>1899</v>
      </c>
      <c r="H344" s="45" t="s">
        <v>650</v>
      </c>
      <c r="I344" s="45" t="s">
        <v>433</v>
      </c>
      <c r="J344" s="45" t="s">
        <v>656</v>
      </c>
      <c r="K344" s="45" t="s">
        <v>166</v>
      </c>
      <c r="L344" s="97">
        <v>28777.92</v>
      </c>
      <c r="M344" s="97">
        <v>27148.98</v>
      </c>
      <c r="N344" s="97">
        <v>1628.94</v>
      </c>
      <c r="O344" s="45" t="s">
        <v>2257</v>
      </c>
      <c r="P344" s="29"/>
      <c r="Q344" s="27"/>
      <c r="T344" s="29"/>
      <c r="U344" s="32"/>
      <c r="V344" s="91"/>
      <c r="X344" s="29"/>
      <c r="Y344" s="27"/>
      <c r="Z344" s="30"/>
      <c r="AD344" s="29"/>
    </row>
    <row r="345" hidden="1" customHeight="1" spans="1:30">
      <c r="A345" s="45" t="s">
        <v>637</v>
      </c>
      <c r="B345" s="96">
        <v>45107</v>
      </c>
      <c r="C345" s="45" t="s">
        <v>811</v>
      </c>
      <c r="D345" s="45" t="s">
        <v>653</v>
      </c>
      <c r="E345" s="45" t="s">
        <v>640</v>
      </c>
      <c r="F345" s="45" t="s">
        <v>641</v>
      </c>
      <c r="G345" s="44" t="s">
        <v>1901</v>
      </c>
      <c r="H345" s="45" t="s">
        <v>643</v>
      </c>
      <c r="I345" s="45" t="s">
        <v>433</v>
      </c>
      <c r="J345" s="45" t="s">
        <v>656</v>
      </c>
      <c r="K345" s="45" t="s">
        <v>166</v>
      </c>
      <c r="L345" s="97">
        <v>5272.83</v>
      </c>
      <c r="M345" s="97">
        <v>4974.37</v>
      </c>
      <c r="N345" s="97">
        <v>298.46</v>
      </c>
      <c r="O345" s="45" t="s">
        <v>2258</v>
      </c>
      <c r="P345" s="29"/>
      <c r="Q345" s="27"/>
      <c r="T345" s="29"/>
      <c r="U345" s="32"/>
      <c r="V345" s="91"/>
      <c r="X345" s="29"/>
      <c r="Y345" s="27"/>
      <c r="Z345" s="30"/>
      <c r="AD345" s="29"/>
    </row>
    <row r="346" hidden="1" customHeight="1" spans="1:30">
      <c r="A346" s="45" t="s">
        <v>637</v>
      </c>
      <c r="B346" s="96">
        <v>45107</v>
      </c>
      <c r="C346" s="45" t="s">
        <v>811</v>
      </c>
      <c r="D346" s="45" t="s">
        <v>653</v>
      </c>
      <c r="E346" s="45" t="s">
        <v>640</v>
      </c>
      <c r="F346" s="45" t="s">
        <v>641</v>
      </c>
      <c r="G346" s="44" t="s">
        <v>1901</v>
      </c>
      <c r="H346" s="45" t="s">
        <v>650</v>
      </c>
      <c r="I346" s="45" t="s">
        <v>435</v>
      </c>
      <c r="J346" s="45" t="s">
        <v>656</v>
      </c>
      <c r="K346" s="45" t="s">
        <v>166</v>
      </c>
      <c r="L346" s="97">
        <v>266765.82</v>
      </c>
      <c r="M346" s="97">
        <v>251665.87</v>
      </c>
      <c r="N346" s="97">
        <v>15099.95</v>
      </c>
      <c r="O346" s="45" t="s">
        <v>2259</v>
      </c>
      <c r="P346" s="29"/>
      <c r="Q346" s="27"/>
      <c r="T346" s="29"/>
      <c r="U346" s="32"/>
      <c r="V346" s="91"/>
      <c r="X346" s="29"/>
      <c r="Y346" s="27"/>
      <c r="Z346" s="30"/>
      <c r="AD346" s="29"/>
    </row>
    <row r="347" hidden="1" customHeight="1" spans="1:30">
      <c r="A347" s="45" t="s">
        <v>637</v>
      </c>
      <c r="B347" s="96">
        <v>45107</v>
      </c>
      <c r="C347" s="45" t="s">
        <v>811</v>
      </c>
      <c r="D347" s="45" t="s">
        <v>653</v>
      </c>
      <c r="E347" s="45" t="s">
        <v>640</v>
      </c>
      <c r="F347" s="45" t="s">
        <v>641</v>
      </c>
      <c r="G347" s="45" t="s">
        <v>1899</v>
      </c>
      <c r="H347" s="45" t="s">
        <v>650</v>
      </c>
      <c r="I347" s="45" t="s">
        <v>433</v>
      </c>
      <c r="J347" s="45" t="s">
        <v>656</v>
      </c>
      <c r="K347" s="45" t="s">
        <v>166</v>
      </c>
      <c r="L347" s="97">
        <v>-7835.99</v>
      </c>
      <c r="M347" s="97">
        <v>-7392.44</v>
      </c>
      <c r="N347" s="97">
        <v>-443.55</v>
      </c>
      <c r="O347" s="45" t="s">
        <v>2260</v>
      </c>
      <c r="P347" s="29"/>
      <c r="Q347" s="27"/>
      <c r="T347" s="29"/>
      <c r="U347" s="32"/>
      <c r="V347" s="91"/>
      <c r="X347" s="29"/>
      <c r="Y347" s="27"/>
      <c r="Z347" s="30"/>
      <c r="AD347" s="29"/>
    </row>
    <row r="348" hidden="1" customHeight="1" spans="1:30">
      <c r="A348" s="45" t="s">
        <v>637</v>
      </c>
      <c r="B348" s="96">
        <v>45107</v>
      </c>
      <c r="C348" s="45" t="s">
        <v>811</v>
      </c>
      <c r="D348" s="45" t="s">
        <v>653</v>
      </c>
      <c r="E348" s="45" t="s">
        <v>640</v>
      </c>
      <c r="F348" s="45" t="s">
        <v>641</v>
      </c>
      <c r="G348" s="45" t="s">
        <v>1899</v>
      </c>
      <c r="H348" s="45" t="s">
        <v>650</v>
      </c>
      <c r="I348" s="45" t="s">
        <v>435</v>
      </c>
      <c r="J348" s="45" t="s">
        <v>656</v>
      </c>
      <c r="K348" s="45" t="s">
        <v>166</v>
      </c>
      <c r="L348" s="97">
        <v>-1088829.57</v>
      </c>
      <c r="M348" s="97">
        <v>-1027197.71</v>
      </c>
      <c r="N348" s="97">
        <v>-61631.86</v>
      </c>
      <c r="O348" s="45" t="s">
        <v>2261</v>
      </c>
      <c r="P348" s="29"/>
      <c r="Q348" s="27"/>
      <c r="T348" s="29"/>
      <c r="U348" s="32"/>
      <c r="V348" s="91"/>
      <c r="X348" s="29"/>
      <c r="Y348" s="27"/>
      <c r="Z348" s="30"/>
      <c r="AD348" s="29"/>
    </row>
    <row r="349" hidden="1" customHeight="1" spans="1:30">
      <c r="A349" s="45" t="s">
        <v>637</v>
      </c>
      <c r="B349" s="96">
        <v>45107</v>
      </c>
      <c r="C349" s="45" t="s">
        <v>811</v>
      </c>
      <c r="D349" s="45" t="s">
        <v>653</v>
      </c>
      <c r="E349" s="45" t="s">
        <v>640</v>
      </c>
      <c r="F349" s="45" t="s">
        <v>641</v>
      </c>
      <c r="G349" s="44" t="s">
        <v>1901</v>
      </c>
      <c r="H349" s="45" t="s">
        <v>650</v>
      </c>
      <c r="I349" s="45" t="s">
        <v>433</v>
      </c>
      <c r="J349" s="45" t="s">
        <v>656</v>
      </c>
      <c r="K349" s="45" t="s">
        <v>166</v>
      </c>
      <c r="L349" s="97">
        <v>22356.12</v>
      </c>
      <c r="M349" s="97">
        <v>21090.68</v>
      </c>
      <c r="N349" s="97">
        <v>1265.44</v>
      </c>
      <c r="O349" s="45" t="s">
        <v>2262</v>
      </c>
      <c r="P349" s="29"/>
      <c r="Q349" s="27"/>
      <c r="T349" s="29"/>
      <c r="U349" s="32"/>
      <c r="V349" s="91"/>
      <c r="X349" s="29"/>
      <c r="Y349" s="27"/>
      <c r="Z349" s="30"/>
      <c r="AD349" s="29"/>
    </row>
    <row r="350" hidden="1" customHeight="1" spans="1:30">
      <c r="A350" s="45" t="s">
        <v>637</v>
      </c>
      <c r="B350" s="96">
        <v>45107</v>
      </c>
      <c r="C350" s="45" t="s">
        <v>811</v>
      </c>
      <c r="D350" s="45" t="s">
        <v>653</v>
      </c>
      <c r="E350" s="45" t="s">
        <v>640</v>
      </c>
      <c r="F350" s="45" t="s">
        <v>641</v>
      </c>
      <c r="G350" s="45" t="s">
        <v>1899</v>
      </c>
      <c r="H350" s="45" t="s">
        <v>650</v>
      </c>
      <c r="I350" s="45" t="s">
        <v>433</v>
      </c>
      <c r="J350" s="45" t="s">
        <v>656</v>
      </c>
      <c r="K350" s="45" t="s">
        <v>166</v>
      </c>
      <c r="L350" s="97">
        <v>24215.11</v>
      </c>
      <c r="M350" s="97">
        <v>22844.44</v>
      </c>
      <c r="N350" s="97">
        <v>1370.67</v>
      </c>
      <c r="O350" s="45" t="s">
        <v>2263</v>
      </c>
      <c r="P350" s="29"/>
      <c r="Q350" s="27"/>
      <c r="T350" s="29"/>
      <c r="U350" s="32"/>
      <c r="V350" s="91"/>
      <c r="X350" s="29"/>
      <c r="Y350" s="27"/>
      <c r="Z350" s="30"/>
      <c r="AD350" s="29"/>
    </row>
    <row r="351" hidden="1" customHeight="1" spans="1:30">
      <c r="A351" s="45" t="s">
        <v>637</v>
      </c>
      <c r="B351" s="96">
        <v>45107</v>
      </c>
      <c r="C351" s="45" t="s">
        <v>748</v>
      </c>
      <c r="D351" s="45" t="s">
        <v>1284</v>
      </c>
      <c r="E351" s="45" t="s">
        <v>640</v>
      </c>
      <c r="F351" s="45" t="s">
        <v>641</v>
      </c>
      <c r="G351" s="44" t="s">
        <v>1901</v>
      </c>
      <c r="H351" s="45" t="s">
        <v>643</v>
      </c>
      <c r="I351" s="45" t="s">
        <v>444</v>
      </c>
      <c r="J351" s="45" t="s">
        <v>656</v>
      </c>
      <c r="K351" s="45" t="s">
        <v>14</v>
      </c>
      <c r="L351" s="97">
        <v>18290.9</v>
      </c>
      <c r="M351" s="97">
        <v>17255.57</v>
      </c>
      <c r="N351" s="97">
        <v>1035.33</v>
      </c>
      <c r="O351" s="45" t="s">
        <v>2264</v>
      </c>
      <c r="P351" s="29"/>
      <c r="Q351" s="27"/>
      <c r="T351" s="29"/>
      <c r="U351" s="32"/>
      <c r="V351" s="91"/>
      <c r="X351" s="29"/>
      <c r="Y351" s="27"/>
      <c r="Z351" s="30"/>
      <c r="AD351" s="29"/>
    </row>
    <row r="352" hidden="1" customHeight="1" spans="1:30">
      <c r="A352" s="45" t="s">
        <v>637</v>
      </c>
      <c r="B352" s="96">
        <v>45107</v>
      </c>
      <c r="C352" s="45" t="s">
        <v>748</v>
      </c>
      <c r="D352" s="45" t="s">
        <v>1915</v>
      </c>
      <c r="E352" s="45" t="s">
        <v>640</v>
      </c>
      <c r="F352" s="45" t="s">
        <v>641</v>
      </c>
      <c r="G352" s="45" t="s">
        <v>1899</v>
      </c>
      <c r="H352" s="45" t="s">
        <v>643</v>
      </c>
      <c r="I352" s="45" t="s">
        <v>779</v>
      </c>
      <c r="J352" s="45" t="s">
        <v>656</v>
      </c>
      <c r="K352" s="45" t="s">
        <v>14</v>
      </c>
      <c r="L352" s="97">
        <v>5562.31</v>
      </c>
      <c r="M352" s="97">
        <v>5247.46</v>
      </c>
      <c r="N352" s="97">
        <v>314.85</v>
      </c>
      <c r="O352" s="45" t="s">
        <v>2265</v>
      </c>
      <c r="P352" s="29"/>
      <c r="Q352" s="27"/>
      <c r="T352" s="29"/>
      <c r="U352" s="32"/>
      <c r="V352" s="91"/>
      <c r="X352" s="29"/>
      <c r="Y352" s="27"/>
      <c r="Z352" s="30"/>
      <c r="AD352" s="29"/>
    </row>
    <row r="353" hidden="1" customHeight="1" spans="1:30">
      <c r="A353" s="45" t="s">
        <v>637</v>
      </c>
      <c r="B353" s="96">
        <v>45107</v>
      </c>
      <c r="C353" s="45" t="s">
        <v>748</v>
      </c>
      <c r="D353" s="45" t="s">
        <v>653</v>
      </c>
      <c r="E353" s="45" t="s">
        <v>640</v>
      </c>
      <c r="F353" s="45" t="s">
        <v>641</v>
      </c>
      <c r="G353" s="45" t="s">
        <v>1899</v>
      </c>
      <c r="H353" s="45" t="s">
        <v>650</v>
      </c>
      <c r="I353" s="45" t="s">
        <v>1273</v>
      </c>
      <c r="J353" s="45" t="s">
        <v>656</v>
      </c>
      <c r="K353" s="45" t="s">
        <v>166</v>
      </c>
      <c r="L353" s="97">
        <v>84128.23</v>
      </c>
      <c r="M353" s="97">
        <v>79366.25</v>
      </c>
      <c r="N353" s="97">
        <v>4761.98</v>
      </c>
      <c r="O353" s="45" t="s">
        <v>2266</v>
      </c>
      <c r="P353" s="29"/>
      <c r="Q353" s="27"/>
      <c r="T353" s="29"/>
      <c r="U353" s="32"/>
      <c r="V353" s="91"/>
      <c r="X353" s="29"/>
      <c r="Y353" s="27"/>
      <c r="Z353" s="30"/>
      <c r="AD353" s="29"/>
    </row>
    <row r="354" hidden="1" customHeight="1" spans="1:30">
      <c r="A354" s="45" t="s">
        <v>637</v>
      </c>
      <c r="B354" s="96">
        <v>45107</v>
      </c>
      <c r="C354" s="45" t="s">
        <v>748</v>
      </c>
      <c r="D354" s="45" t="s">
        <v>726</v>
      </c>
      <c r="E354" s="45" t="s">
        <v>640</v>
      </c>
      <c r="F354" s="45" t="s">
        <v>641</v>
      </c>
      <c r="G354" s="44" t="s">
        <v>1901</v>
      </c>
      <c r="H354" s="45" t="s">
        <v>643</v>
      </c>
      <c r="I354" s="45" t="s">
        <v>444</v>
      </c>
      <c r="J354" s="45" t="s">
        <v>656</v>
      </c>
      <c r="K354" s="45" t="s">
        <v>14</v>
      </c>
      <c r="L354" s="97">
        <v>36185.2</v>
      </c>
      <c r="M354" s="97">
        <v>34136.98</v>
      </c>
      <c r="N354" s="97">
        <v>2048.22</v>
      </c>
      <c r="O354" s="45" t="s">
        <v>2267</v>
      </c>
      <c r="P354" s="29"/>
      <c r="Q354" s="27"/>
      <c r="T354" s="29"/>
      <c r="U354" s="32"/>
      <c r="V354" s="91"/>
      <c r="X354" s="29"/>
      <c r="Y354" s="27"/>
      <c r="Z354" s="30"/>
      <c r="AD354" s="29"/>
    </row>
    <row r="355" hidden="1" customHeight="1" spans="1:30">
      <c r="A355" s="45" t="s">
        <v>637</v>
      </c>
      <c r="B355" s="96">
        <v>45107</v>
      </c>
      <c r="C355" s="45" t="s">
        <v>748</v>
      </c>
      <c r="D355" s="45" t="s">
        <v>653</v>
      </c>
      <c r="E355" s="45" t="s">
        <v>640</v>
      </c>
      <c r="F355" s="45" t="s">
        <v>641</v>
      </c>
      <c r="G355" s="44" t="s">
        <v>1901</v>
      </c>
      <c r="H355" s="45" t="s">
        <v>650</v>
      </c>
      <c r="I355" s="45" t="s">
        <v>463</v>
      </c>
      <c r="J355" s="45" t="s">
        <v>656</v>
      </c>
      <c r="K355" s="45" t="s">
        <v>166</v>
      </c>
      <c r="L355" s="97">
        <v>84128.23</v>
      </c>
      <c r="M355" s="97">
        <v>79366.25</v>
      </c>
      <c r="N355" s="97">
        <v>4761.98</v>
      </c>
      <c r="O355" s="45" t="s">
        <v>2268</v>
      </c>
      <c r="P355" s="29"/>
      <c r="Q355" s="27"/>
      <c r="T355" s="29"/>
      <c r="U355" s="32"/>
      <c r="V355" s="91"/>
      <c r="X355" s="29"/>
      <c r="Y355" s="27"/>
      <c r="Z355" s="30"/>
      <c r="AD355" s="29"/>
    </row>
    <row r="356" hidden="1" customHeight="1" spans="1:30">
      <c r="A356" s="45" t="s">
        <v>637</v>
      </c>
      <c r="B356" s="96">
        <v>45107</v>
      </c>
      <c r="C356" s="45" t="s">
        <v>748</v>
      </c>
      <c r="D356" s="45" t="s">
        <v>1902</v>
      </c>
      <c r="E356" s="45" t="s">
        <v>640</v>
      </c>
      <c r="F356" s="45" t="s">
        <v>641</v>
      </c>
      <c r="G356" s="44" t="s">
        <v>1901</v>
      </c>
      <c r="H356" s="45" t="s">
        <v>643</v>
      </c>
      <c r="I356" s="45" t="s">
        <v>444</v>
      </c>
      <c r="J356" s="45" t="s">
        <v>656</v>
      </c>
      <c r="K356" s="45" t="s">
        <v>14</v>
      </c>
      <c r="L356" s="97">
        <v>11242.22</v>
      </c>
      <c r="M356" s="97">
        <v>10605.87</v>
      </c>
      <c r="N356" s="97">
        <v>636.35</v>
      </c>
      <c r="O356" s="45" t="s">
        <v>2269</v>
      </c>
      <c r="P356" s="29"/>
      <c r="Q356" s="27"/>
      <c r="T356" s="29"/>
      <c r="U356" s="32"/>
      <c r="V356" s="91"/>
      <c r="X356" s="29"/>
      <c r="Y356" s="27"/>
      <c r="Z356" s="30"/>
      <c r="AD356" s="29"/>
    </row>
    <row r="357" hidden="1" customHeight="1" spans="1:30">
      <c r="A357" s="45" t="s">
        <v>637</v>
      </c>
      <c r="B357" s="96">
        <v>45107</v>
      </c>
      <c r="C357" s="45" t="s">
        <v>748</v>
      </c>
      <c r="D357" s="45" t="s">
        <v>726</v>
      </c>
      <c r="E357" s="45" t="s">
        <v>640</v>
      </c>
      <c r="F357" s="45" t="s">
        <v>641</v>
      </c>
      <c r="G357" s="44" t="s">
        <v>1901</v>
      </c>
      <c r="H357" s="45" t="s">
        <v>643</v>
      </c>
      <c r="I357" s="45" t="s">
        <v>646</v>
      </c>
      <c r="J357" s="45" t="s">
        <v>656</v>
      </c>
      <c r="K357" s="45" t="s">
        <v>14</v>
      </c>
      <c r="L357" s="97">
        <v>50000</v>
      </c>
      <c r="M357" s="97">
        <v>47169.81</v>
      </c>
      <c r="N357" s="97">
        <v>2830.19</v>
      </c>
      <c r="O357" s="45" t="s">
        <v>2270</v>
      </c>
      <c r="P357" s="29"/>
      <c r="Q357" s="27"/>
      <c r="T357" s="29"/>
      <c r="U357" s="32"/>
      <c r="V357" s="91"/>
      <c r="X357" s="29"/>
      <c r="Y357" s="27"/>
      <c r="Z357" s="30"/>
      <c r="AD357" s="29"/>
    </row>
    <row r="358" hidden="1" customHeight="1" spans="1:30">
      <c r="A358" s="45" t="s">
        <v>637</v>
      </c>
      <c r="B358" s="96">
        <v>45107</v>
      </c>
      <c r="C358" s="45" t="s">
        <v>748</v>
      </c>
      <c r="D358" s="45" t="s">
        <v>726</v>
      </c>
      <c r="E358" s="45" t="s">
        <v>640</v>
      </c>
      <c r="F358" s="45" t="s">
        <v>641</v>
      </c>
      <c r="G358" s="45" t="s">
        <v>1899</v>
      </c>
      <c r="H358" s="45" t="s">
        <v>643</v>
      </c>
      <c r="I358" s="45" t="s">
        <v>444</v>
      </c>
      <c r="J358" s="45" t="s">
        <v>656</v>
      </c>
      <c r="K358" s="45" t="s">
        <v>14</v>
      </c>
      <c r="L358" s="97">
        <v>50000</v>
      </c>
      <c r="M358" s="97">
        <v>47169.81</v>
      </c>
      <c r="N358" s="97">
        <v>2830.19</v>
      </c>
      <c r="O358" s="45" t="s">
        <v>2271</v>
      </c>
      <c r="P358" s="29"/>
      <c r="Q358" s="27"/>
      <c r="T358" s="29"/>
      <c r="U358" s="32"/>
      <c r="V358" s="91"/>
      <c r="X358" s="29"/>
      <c r="Y358" s="27"/>
      <c r="Z358" s="30"/>
      <c r="AD358" s="29"/>
    </row>
    <row r="359" hidden="1" customHeight="1" spans="1:30">
      <c r="A359" s="45" t="s">
        <v>637</v>
      </c>
      <c r="B359" s="96">
        <v>45107</v>
      </c>
      <c r="C359" s="45" t="s">
        <v>748</v>
      </c>
      <c r="D359" s="45" t="s">
        <v>1284</v>
      </c>
      <c r="E359" s="45" t="s">
        <v>1898</v>
      </c>
      <c r="F359" s="45" t="s">
        <v>641</v>
      </c>
      <c r="G359" s="45" t="s">
        <v>1899</v>
      </c>
      <c r="H359" s="45" t="s">
        <v>643</v>
      </c>
      <c r="I359" s="45" t="s">
        <v>444</v>
      </c>
      <c r="J359" s="45" t="s">
        <v>656</v>
      </c>
      <c r="K359" s="45" t="s">
        <v>14</v>
      </c>
      <c r="L359" s="97">
        <v>24174.13</v>
      </c>
      <c r="M359" s="97">
        <v>22805.78</v>
      </c>
      <c r="N359" s="97">
        <v>1368.35</v>
      </c>
      <c r="O359" s="45" t="s">
        <v>2272</v>
      </c>
      <c r="P359" s="29"/>
      <c r="Q359" s="27"/>
      <c r="T359" s="29"/>
      <c r="U359" s="32"/>
      <c r="V359" s="91"/>
      <c r="X359" s="29"/>
      <c r="Y359" s="27"/>
      <c r="Z359" s="30"/>
      <c r="AD359" s="29"/>
    </row>
    <row r="360" hidden="1" customHeight="1" spans="1:30">
      <c r="A360" s="45" t="s">
        <v>637</v>
      </c>
      <c r="B360" s="96">
        <v>45107</v>
      </c>
      <c r="C360" s="45" t="s">
        <v>1273</v>
      </c>
      <c r="D360" s="45" t="s">
        <v>653</v>
      </c>
      <c r="E360" s="45" t="s">
        <v>640</v>
      </c>
      <c r="F360" s="45" t="s">
        <v>641</v>
      </c>
      <c r="G360" s="44" t="s">
        <v>1901</v>
      </c>
      <c r="H360" s="45" t="s">
        <v>650</v>
      </c>
      <c r="I360" s="45" t="s">
        <v>1923</v>
      </c>
      <c r="J360" s="45" t="s">
        <v>656</v>
      </c>
      <c r="K360" s="45" t="s">
        <v>166</v>
      </c>
      <c r="L360" s="97">
        <v>39350.7</v>
      </c>
      <c r="M360" s="97">
        <v>37123.3</v>
      </c>
      <c r="N360" s="97">
        <v>2227.4</v>
      </c>
      <c r="O360" s="45" t="s">
        <v>2273</v>
      </c>
      <c r="P360" s="29"/>
      <c r="Q360" s="27"/>
      <c r="T360" s="29"/>
      <c r="U360" s="32"/>
      <c r="V360" s="91"/>
      <c r="X360" s="29"/>
      <c r="Y360" s="27"/>
      <c r="Z360" s="30"/>
      <c r="AD360" s="29"/>
    </row>
    <row r="361" hidden="1" customHeight="1" spans="1:30">
      <c r="A361" s="45" t="s">
        <v>637</v>
      </c>
      <c r="B361" s="96">
        <v>45107</v>
      </c>
      <c r="C361" s="45" t="s">
        <v>748</v>
      </c>
      <c r="D361" s="45" t="s">
        <v>1902</v>
      </c>
      <c r="E361" s="45" t="s">
        <v>1898</v>
      </c>
      <c r="F361" s="45" t="s">
        <v>641</v>
      </c>
      <c r="G361" s="45" t="s">
        <v>1899</v>
      </c>
      <c r="H361" s="45" t="s">
        <v>643</v>
      </c>
      <c r="I361" s="45" t="s">
        <v>444</v>
      </c>
      <c r="J361" s="45" t="s">
        <v>656</v>
      </c>
      <c r="K361" s="45" t="s">
        <v>14</v>
      </c>
      <c r="L361" s="97">
        <v>41523.04</v>
      </c>
      <c r="M361" s="97">
        <v>39172.68</v>
      </c>
      <c r="N361" s="97">
        <v>2350.36</v>
      </c>
      <c r="O361" s="45" t="s">
        <v>2274</v>
      </c>
      <c r="P361" s="29"/>
      <c r="Q361" s="27"/>
      <c r="T361" s="29"/>
      <c r="U361" s="32"/>
      <c r="V361" s="91"/>
      <c r="X361" s="29"/>
      <c r="Y361" s="27"/>
      <c r="Z361" s="30"/>
      <c r="AD361" s="29"/>
    </row>
    <row r="362" hidden="1" customHeight="1" spans="1:30">
      <c r="A362" s="45" t="s">
        <v>637</v>
      </c>
      <c r="B362" s="96">
        <v>45107</v>
      </c>
      <c r="C362" s="45" t="s">
        <v>1273</v>
      </c>
      <c r="D362" s="45" t="s">
        <v>653</v>
      </c>
      <c r="E362" s="45" t="s">
        <v>640</v>
      </c>
      <c r="F362" s="45" t="s">
        <v>641</v>
      </c>
      <c r="G362" s="45" t="s">
        <v>1899</v>
      </c>
      <c r="H362" s="45" t="s">
        <v>650</v>
      </c>
      <c r="I362" s="45" t="s">
        <v>737</v>
      </c>
      <c r="J362" s="45" t="s">
        <v>656</v>
      </c>
      <c r="K362" s="45" t="s">
        <v>166</v>
      </c>
      <c r="L362" s="97">
        <v>280000</v>
      </c>
      <c r="M362" s="97">
        <v>264150.94</v>
      </c>
      <c r="N362" s="97">
        <v>15849.06</v>
      </c>
      <c r="O362" s="45" t="s">
        <v>2275</v>
      </c>
      <c r="P362" s="29"/>
      <c r="Q362" s="27"/>
      <c r="T362" s="29"/>
      <c r="U362" s="32"/>
      <c r="V362" s="91"/>
      <c r="X362" s="29"/>
      <c r="Y362" s="27"/>
      <c r="Z362" s="30"/>
      <c r="AD362" s="29"/>
    </row>
    <row r="363" hidden="1" customHeight="1" spans="1:30">
      <c r="A363" s="45" t="s">
        <v>637</v>
      </c>
      <c r="B363" s="96">
        <v>45107</v>
      </c>
      <c r="C363" s="45" t="s">
        <v>1273</v>
      </c>
      <c r="D363" s="45" t="s">
        <v>653</v>
      </c>
      <c r="E363" s="45" t="s">
        <v>640</v>
      </c>
      <c r="F363" s="45" t="s">
        <v>641</v>
      </c>
      <c r="G363" s="45" t="s">
        <v>1899</v>
      </c>
      <c r="H363" s="45" t="s">
        <v>650</v>
      </c>
      <c r="I363" s="45" t="s">
        <v>1923</v>
      </c>
      <c r="J363" s="45" t="s">
        <v>656</v>
      </c>
      <c r="K363" s="45" t="s">
        <v>166</v>
      </c>
      <c r="L363" s="97">
        <v>-34099.43</v>
      </c>
      <c r="M363" s="97">
        <v>-32169.27</v>
      </c>
      <c r="N363" s="97">
        <v>-1930.16</v>
      </c>
      <c r="O363" s="45" t="s">
        <v>2276</v>
      </c>
      <c r="P363" s="29"/>
      <c r="Q363" s="27"/>
      <c r="T363" s="29"/>
      <c r="U363" s="32"/>
      <c r="V363" s="91"/>
      <c r="X363" s="29"/>
      <c r="Y363" s="27"/>
      <c r="Z363" s="30"/>
      <c r="AD363" s="29"/>
    </row>
    <row r="364" hidden="1" customHeight="1" spans="1:30">
      <c r="A364" s="45" t="s">
        <v>637</v>
      </c>
      <c r="B364" s="96">
        <v>45107</v>
      </c>
      <c r="C364" s="45" t="s">
        <v>1273</v>
      </c>
      <c r="D364" s="45" t="s">
        <v>653</v>
      </c>
      <c r="E364" s="45" t="s">
        <v>640</v>
      </c>
      <c r="F364" s="45" t="s">
        <v>641</v>
      </c>
      <c r="G364" s="45" t="s">
        <v>1899</v>
      </c>
      <c r="H364" s="45" t="s">
        <v>650</v>
      </c>
      <c r="I364" s="45" t="s">
        <v>1944</v>
      </c>
      <c r="J364" s="45" t="s">
        <v>656</v>
      </c>
      <c r="K364" s="45" t="s">
        <v>166</v>
      </c>
      <c r="L364" s="97">
        <v>28258.67</v>
      </c>
      <c r="M364" s="97">
        <v>26659.12</v>
      </c>
      <c r="N364" s="97">
        <v>1599.55</v>
      </c>
      <c r="O364" s="45" t="s">
        <v>2277</v>
      </c>
      <c r="P364" s="29"/>
      <c r="Q364" s="27"/>
      <c r="T364" s="29"/>
      <c r="U364" s="32"/>
      <c r="V364" s="91"/>
      <c r="X364" s="29"/>
      <c r="Y364" s="27"/>
      <c r="Z364" s="30"/>
      <c r="AD364" s="29"/>
    </row>
    <row r="365" hidden="1" customHeight="1" spans="1:30">
      <c r="A365" s="45" t="s">
        <v>637</v>
      </c>
      <c r="B365" s="96">
        <v>45107</v>
      </c>
      <c r="C365" s="45" t="s">
        <v>1273</v>
      </c>
      <c r="D365" s="45" t="s">
        <v>653</v>
      </c>
      <c r="E365" s="45" t="s">
        <v>640</v>
      </c>
      <c r="F365" s="45" t="s">
        <v>641</v>
      </c>
      <c r="G365" s="45" t="s">
        <v>1899</v>
      </c>
      <c r="H365" s="45" t="s">
        <v>650</v>
      </c>
      <c r="I365" s="45" t="s">
        <v>737</v>
      </c>
      <c r="J365" s="45" t="s">
        <v>656</v>
      </c>
      <c r="K365" s="45" t="s">
        <v>166</v>
      </c>
      <c r="L365" s="97">
        <v>-40503.83</v>
      </c>
      <c r="M365" s="97">
        <v>-38211.16</v>
      </c>
      <c r="N365" s="97">
        <v>-2292.67</v>
      </c>
      <c r="O365" s="45" t="s">
        <v>2278</v>
      </c>
      <c r="P365" s="29"/>
      <c r="Q365" s="27"/>
      <c r="T365" s="29"/>
      <c r="U365" s="32"/>
      <c r="V365" s="91"/>
      <c r="X365" s="29"/>
      <c r="Y365" s="27"/>
      <c r="Z365" s="30"/>
      <c r="AD365" s="29"/>
    </row>
    <row r="366" hidden="1" customHeight="1" spans="1:30">
      <c r="A366" s="45" t="s">
        <v>637</v>
      </c>
      <c r="B366" s="96">
        <v>45107</v>
      </c>
      <c r="C366" s="45" t="s">
        <v>1273</v>
      </c>
      <c r="D366" s="45" t="s">
        <v>653</v>
      </c>
      <c r="E366" s="45" t="s">
        <v>640</v>
      </c>
      <c r="F366" s="45" t="s">
        <v>641</v>
      </c>
      <c r="G366" s="45" t="s">
        <v>1899</v>
      </c>
      <c r="H366" s="45" t="s">
        <v>650</v>
      </c>
      <c r="I366" s="45" t="s">
        <v>1944</v>
      </c>
      <c r="J366" s="45" t="s">
        <v>656</v>
      </c>
      <c r="K366" s="45" t="s">
        <v>166</v>
      </c>
      <c r="L366" s="97">
        <v>1886.17</v>
      </c>
      <c r="M366" s="97">
        <v>1779.41</v>
      </c>
      <c r="N366" s="97">
        <v>106.76</v>
      </c>
      <c r="O366" s="45" t="s">
        <v>2279</v>
      </c>
      <c r="P366" s="29"/>
      <c r="Q366" s="27"/>
      <c r="T366" s="29"/>
      <c r="U366" s="32"/>
      <c r="V366" s="91"/>
      <c r="X366" s="29"/>
      <c r="Y366" s="27"/>
      <c r="Z366" s="30"/>
      <c r="AD366" s="29"/>
    </row>
    <row r="367" hidden="1" customHeight="1" spans="1:30">
      <c r="A367" s="45" t="s">
        <v>637</v>
      </c>
      <c r="B367" s="96">
        <v>45107</v>
      </c>
      <c r="C367" s="45" t="s">
        <v>1273</v>
      </c>
      <c r="D367" s="45" t="s">
        <v>653</v>
      </c>
      <c r="E367" s="45" t="s">
        <v>640</v>
      </c>
      <c r="F367" s="45" t="s">
        <v>641</v>
      </c>
      <c r="G367" s="44" t="s">
        <v>1901</v>
      </c>
      <c r="H367" s="45" t="s">
        <v>650</v>
      </c>
      <c r="I367" s="45" t="s">
        <v>1923</v>
      </c>
      <c r="J367" s="45" t="s">
        <v>656</v>
      </c>
      <c r="K367" s="45" t="s">
        <v>166</v>
      </c>
      <c r="L367" s="97">
        <v>34099.43</v>
      </c>
      <c r="M367" s="97">
        <v>32169.27</v>
      </c>
      <c r="N367" s="97">
        <v>1930.16</v>
      </c>
      <c r="O367" s="45" t="s">
        <v>2280</v>
      </c>
      <c r="P367" s="29"/>
      <c r="Q367" s="27"/>
      <c r="T367" s="29"/>
      <c r="U367" s="32"/>
      <c r="V367" s="91"/>
      <c r="X367" s="29"/>
      <c r="Y367" s="27"/>
      <c r="Z367" s="30"/>
      <c r="AD367" s="29"/>
    </row>
    <row r="368" hidden="1" customHeight="1" spans="1:30">
      <c r="A368" s="45" t="s">
        <v>637</v>
      </c>
      <c r="B368" s="96">
        <v>45107</v>
      </c>
      <c r="C368" s="45" t="s">
        <v>748</v>
      </c>
      <c r="D368" s="45" t="s">
        <v>726</v>
      </c>
      <c r="E368" s="45" t="s">
        <v>1898</v>
      </c>
      <c r="F368" s="45" t="s">
        <v>641</v>
      </c>
      <c r="G368" s="45" t="s">
        <v>1899</v>
      </c>
      <c r="H368" s="45" t="s">
        <v>643</v>
      </c>
      <c r="I368" s="45" t="s">
        <v>444</v>
      </c>
      <c r="J368" s="45" t="s">
        <v>656</v>
      </c>
      <c r="K368" s="45" t="s">
        <v>14</v>
      </c>
      <c r="L368" s="97">
        <v>149459.22</v>
      </c>
      <c r="M368" s="97">
        <v>140999.26</v>
      </c>
      <c r="N368" s="97">
        <v>8459.96</v>
      </c>
      <c r="O368" s="45" t="s">
        <v>2281</v>
      </c>
      <c r="P368" s="29"/>
      <c r="Q368" s="27"/>
      <c r="T368" s="29"/>
      <c r="U368" s="32"/>
      <c r="V368" s="91"/>
      <c r="X368" s="29"/>
      <c r="Y368" s="27"/>
      <c r="Z368" s="30"/>
      <c r="AD368" s="29"/>
    </row>
    <row r="369" hidden="1" customHeight="1" spans="1:30">
      <c r="A369" s="45" t="s">
        <v>637</v>
      </c>
      <c r="B369" s="96">
        <v>45107</v>
      </c>
      <c r="C369" s="45" t="s">
        <v>1273</v>
      </c>
      <c r="D369" s="45" t="s">
        <v>653</v>
      </c>
      <c r="E369" s="45" t="s">
        <v>640</v>
      </c>
      <c r="F369" s="45" t="s">
        <v>641</v>
      </c>
      <c r="G369" s="44" t="s">
        <v>1901</v>
      </c>
      <c r="H369" s="45" t="s">
        <v>650</v>
      </c>
      <c r="I369" s="45" t="s">
        <v>748</v>
      </c>
      <c r="J369" s="45" t="s">
        <v>656</v>
      </c>
      <c r="K369" s="45" t="s">
        <v>166</v>
      </c>
      <c r="L369" s="97">
        <v>84128.23</v>
      </c>
      <c r="M369" s="97">
        <v>79366.25</v>
      </c>
      <c r="N369" s="97">
        <v>4761.98</v>
      </c>
      <c r="O369" s="45" t="s">
        <v>2282</v>
      </c>
      <c r="P369" s="29"/>
      <c r="Q369" s="27"/>
      <c r="T369" s="29"/>
      <c r="U369" s="32"/>
      <c r="V369" s="91"/>
      <c r="X369" s="29"/>
      <c r="Y369" s="27"/>
      <c r="Z369" s="30"/>
      <c r="AD369" s="29"/>
    </row>
    <row r="370" hidden="1" customHeight="1" spans="1:30">
      <c r="A370" s="45" t="s">
        <v>637</v>
      </c>
      <c r="B370" s="96">
        <v>45107</v>
      </c>
      <c r="C370" s="45" t="s">
        <v>748</v>
      </c>
      <c r="D370" s="45" t="s">
        <v>726</v>
      </c>
      <c r="E370" s="45" t="s">
        <v>1898</v>
      </c>
      <c r="F370" s="45" t="s">
        <v>641</v>
      </c>
      <c r="G370" s="45" t="s">
        <v>1899</v>
      </c>
      <c r="H370" s="45" t="s">
        <v>643</v>
      </c>
      <c r="I370" s="45" t="s">
        <v>1910</v>
      </c>
      <c r="J370" s="45" t="s">
        <v>644</v>
      </c>
      <c r="K370" s="45" t="s">
        <v>350</v>
      </c>
      <c r="L370" s="97">
        <v>600</v>
      </c>
      <c r="M370" s="97">
        <v>566.04</v>
      </c>
      <c r="N370" s="97">
        <v>33.96</v>
      </c>
      <c r="O370" s="45" t="s">
        <v>2283</v>
      </c>
      <c r="P370" s="29"/>
      <c r="Q370" s="27"/>
      <c r="T370" s="29"/>
      <c r="U370" s="32"/>
      <c r="V370" s="91"/>
      <c r="X370" s="29"/>
      <c r="Y370" s="27"/>
      <c r="Z370" s="30"/>
      <c r="AD370" s="29"/>
    </row>
    <row r="371" hidden="1" customHeight="1" spans="1:30">
      <c r="A371" s="45" t="s">
        <v>637</v>
      </c>
      <c r="B371" s="96">
        <v>45107</v>
      </c>
      <c r="C371" s="45" t="s">
        <v>1273</v>
      </c>
      <c r="D371" s="45" t="s">
        <v>653</v>
      </c>
      <c r="E371" s="45" t="s">
        <v>640</v>
      </c>
      <c r="F371" s="45" t="s">
        <v>641</v>
      </c>
      <c r="G371" s="44" t="s">
        <v>1901</v>
      </c>
      <c r="H371" s="45" t="s">
        <v>650</v>
      </c>
      <c r="I371" s="45" t="s">
        <v>1946</v>
      </c>
      <c r="J371" s="45" t="s">
        <v>644</v>
      </c>
      <c r="K371" s="45" t="s">
        <v>166</v>
      </c>
      <c r="L371" s="97">
        <v>9733.71</v>
      </c>
      <c r="M371" s="97">
        <v>9182.75</v>
      </c>
      <c r="N371" s="97">
        <v>550.96</v>
      </c>
      <c r="O371" s="45" t="s">
        <v>2284</v>
      </c>
      <c r="P371" s="29"/>
      <c r="Q371" s="27"/>
      <c r="T371" s="29"/>
      <c r="U371" s="32"/>
      <c r="V371" s="91"/>
      <c r="X371" s="29"/>
      <c r="Y371" s="27"/>
      <c r="Z371" s="30"/>
      <c r="AD371" s="29"/>
    </row>
    <row r="372" hidden="1" customHeight="1" spans="1:30">
      <c r="A372" s="45" t="s">
        <v>637</v>
      </c>
      <c r="B372" s="96">
        <v>45107</v>
      </c>
      <c r="C372" s="45" t="s">
        <v>638</v>
      </c>
      <c r="D372" s="45" t="s">
        <v>1915</v>
      </c>
      <c r="E372" s="45" t="s">
        <v>640</v>
      </c>
      <c r="F372" s="45" t="s">
        <v>641</v>
      </c>
      <c r="G372" s="45" t="s">
        <v>1899</v>
      </c>
      <c r="H372" s="45" t="s">
        <v>643</v>
      </c>
      <c r="I372" s="45" t="s">
        <v>430</v>
      </c>
      <c r="J372" s="45" t="s">
        <v>656</v>
      </c>
      <c r="K372" s="45" t="s">
        <v>14</v>
      </c>
      <c r="L372" s="97">
        <v>67097.5</v>
      </c>
      <c r="M372" s="97">
        <v>63299.53</v>
      </c>
      <c r="N372" s="97">
        <v>3797.97</v>
      </c>
      <c r="O372" s="45" t="s">
        <v>2285</v>
      </c>
      <c r="P372" s="29"/>
      <c r="Q372" s="27"/>
      <c r="T372" s="29"/>
      <c r="U372" s="32"/>
      <c r="V372" s="91"/>
      <c r="X372" s="29"/>
      <c r="Y372" s="27"/>
      <c r="Z372" s="30"/>
      <c r="AD372" s="29"/>
    </row>
    <row r="373" hidden="1" customHeight="1" spans="1:30">
      <c r="A373" s="45" t="s">
        <v>637</v>
      </c>
      <c r="B373" s="96">
        <v>45107</v>
      </c>
      <c r="C373" s="45" t="s">
        <v>646</v>
      </c>
      <c r="D373" s="45" t="s">
        <v>2134</v>
      </c>
      <c r="E373" s="45" t="s">
        <v>640</v>
      </c>
      <c r="F373" s="45" t="s">
        <v>641</v>
      </c>
      <c r="G373" s="45" t="s">
        <v>1899</v>
      </c>
      <c r="H373" s="45" t="s">
        <v>643</v>
      </c>
      <c r="I373" s="45" t="s">
        <v>1906</v>
      </c>
      <c r="J373" s="45" t="s">
        <v>656</v>
      </c>
      <c r="K373" s="45" t="s">
        <v>14</v>
      </c>
      <c r="L373" s="97">
        <v>7871.56</v>
      </c>
      <c r="M373" s="97">
        <v>7426</v>
      </c>
      <c r="N373" s="97">
        <v>445.56</v>
      </c>
      <c r="O373" s="45" t="s">
        <v>2286</v>
      </c>
      <c r="P373" s="29"/>
      <c r="Q373" s="27"/>
      <c r="T373" s="29"/>
      <c r="U373" s="32"/>
      <c r="V373" s="91"/>
      <c r="X373" s="29"/>
      <c r="Y373" s="27"/>
      <c r="Z373" s="30"/>
      <c r="AD373" s="29"/>
    </row>
    <row r="374" hidden="1" customHeight="1" spans="1:30">
      <c r="A374" s="45" t="s">
        <v>637</v>
      </c>
      <c r="B374" s="96">
        <v>45107</v>
      </c>
      <c r="C374" s="45" t="s">
        <v>646</v>
      </c>
      <c r="D374" s="45" t="s">
        <v>2134</v>
      </c>
      <c r="E374" s="45" t="s">
        <v>640</v>
      </c>
      <c r="F374" s="45" t="s">
        <v>641</v>
      </c>
      <c r="G374" s="45" t="s">
        <v>1899</v>
      </c>
      <c r="H374" s="45" t="s">
        <v>643</v>
      </c>
      <c r="I374" s="45" t="s">
        <v>1989</v>
      </c>
      <c r="J374" s="45" t="s">
        <v>656</v>
      </c>
      <c r="K374" s="45" t="s">
        <v>14</v>
      </c>
      <c r="L374" s="97">
        <v>215.85</v>
      </c>
      <c r="M374" s="97">
        <v>203.63</v>
      </c>
      <c r="N374" s="97">
        <v>12.22</v>
      </c>
      <c r="O374" s="45" t="s">
        <v>2287</v>
      </c>
      <c r="P374" s="29"/>
      <c r="Q374" s="27"/>
      <c r="T374" s="29"/>
      <c r="U374" s="32"/>
      <c r="V374" s="91"/>
      <c r="X374" s="29"/>
      <c r="Y374" s="27"/>
      <c r="Z374" s="30"/>
      <c r="AD374" s="29"/>
    </row>
    <row r="375" hidden="1" customHeight="1" spans="1:30">
      <c r="A375" s="45" t="s">
        <v>637</v>
      </c>
      <c r="B375" s="96">
        <v>45107</v>
      </c>
      <c r="C375" s="45" t="s">
        <v>646</v>
      </c>
      <c r="D375" s="45" t="s">
        <v>2134</v>
      </c>
      <c r="E375" s="45" t="s">
        <v>640</v>
      </c>
      <c r="F375" s="45" t="s">
        <v>641</v>
      </c>
      <c r="G375" s="45" t="s">
        <v>1899</v>
      </c>
      <c r="H375" s="45" t="s">
        <v>643</v>
      </c>
      <c r="I375" s="45" t="s">
        <v>466</v>
      </c>
      <c r="J375" s="45" t="s">
        <v>656</v>
      </c>
      <c r="K375" s="45" t="s">
        <v>14</v>
      </c>
      <c r="L375" s="97">
        <v>30304.9</v>
      </c>
      <c r="M375" s="97">
        <v>28589.53</v>
      </c>
      <c r="N375" s="97">
        <v>1715.37</v>
      </c>
      <c r="O375" s="45" t="s">
        <v>2288</v>
      </c>
      <c r="P375" s="29"/>
      <c r="Q375" s="27"/>
      <c r="T375" s="29"/>
      <c r="U375" s="32"/>
      <c r="V375" s="91"/>
      <c r="X375" s="29"/>
      <c r="Y375" s="27"/>
      <c r="Z375" s="30"/>
      <c r="AD375" s="29"/>
    </row>
    <row r="376" hidden="1" customHeight="1" spans="1:30">
      <c r="A376" s="45" t="s">
        <v>637</v>
      </c>
      <c r="B376" s="96">
        <v>45107</v>
      </c>
      <c r="C376" s="45" t="s">
        <v>646</v>
      </c>
      <c r="D376" s="45" t="s">
        <v>740</v>
      </c>
      <c r="E376" s="45" t="s">
        <v>640</v>
      </c>
      <c r="F376" s="45" t="s">
        <v>641</v>
      </c>
      <c r="G376" s="45" t="s">
        <v>1899</v>
      </c>
      <c r="H376" s="45" t="s">
        <v>650</v>
      </c>
      <c r="I376" s="45" t="s">
        <v>2028</v>
      </c>
      <c r="J376" s="45" t="s">
        <v>656</v>
      </c>
      <c r="K376" s="45" t="s">
        <v>13</v>
      </c>
      <c r="L376" s="97">
        <v>29797.87</v>
      </c>
      <c r="M376" s="97">
        <v>28111.2</v>
      </c>
      <c r="N376" s="97">
        <v>1686.67</v>
      </c>
      <c r="O376" s="45" t="s">
        <v>2289</v>
      </c>
      <c r="P376" s="29"/>
      <c r="Q376" s="27"/>
      <c r="T376" s="29"/>
      <c r="U376" s="32"/>
      <c r="V376" s="91"/>
      <c r="X376" s="29"/>
      <c r="Y376" s="27"/>
      <c r="Z376" s="30"/>
      <c r="AD376" s="29"/>
    </row>
    <row r="377" hidden="1" customHeight="1" spans="1:30">
      <c r="A377" s="45" t="s">
        <v>637</v>
      </c>
      <c r="B377" s="96">
        <v>45107</v>
      </c>
      <c r="C377" s="45" t="s">
        <v>646</v>
      </c>
      <c r="D377" s="45" t="s">
        <v>726</v>
      </c>
      <c r="E377" s="45" t="s">
        <v>640</v>
      </c>
      <c r="F377" s="45" t="s">
        <v>641</v>
      </c>
      <c r="G377" s="45" t="s">
        <v>1899</v>
      </c>
      <c r="H377" s="45" t="s">
        <v>650</v>
      </c>
      <c r="I377" s="45" t="s">
        <v>1938</v>
      </c>
      <c r="J377" s="45" t="s">
        <v>656</v>
      </c>
      <c r="K377" s="45" t="s">
        <v>14</v>
      </c>
      <c r="L377" s="97">
        <v>37027</v>
      </c>
      <c r="M377" s="97">
        <v>34931.13</v>
      </c>
      <c r="N377" s="97">
        <v>2095.87</v>
      </c>
      <c r="O377" s="45" t="s">
        <v>2290</v>
      </c>
      <c r="P377" s="29"/>
      <c r="Q377" s="27"/>
      <c r="T377" s="29"/>
      <c r="U377" s="32"/>
      <c r="V377" s="91"/>
      <c r="X377" s="29"/>
      <c r="Y377" s="27"/>
      <c r="Z377" s="30"/>
      <c r="AD377" s="29"/>
    </row>
    <row r="378" hidden="1" customHeight="1" spans="1:30">
      <c r="A378" s="45" t="s">
        <v>637</v>
      </c>
      <c r="B378" s="96">
        <v>45107</v>
      </c>
      <c r="C378" s="45" t="s">
        <v>646</v>
      </c>
      <c r="D378" s="45" t="s">
        <v>682</v>
      </c>
      <c r="E378" s="45" t="s">
        <v>640</v>
      </c>
      <c r="F378" s="45" t="s">
        <v>641</v>
      </c>
      <c r="G378" s="45" t="s">
        <v>1899</v>
      </c>
      <c r="H378" s="45" t="s">
        <v>650</v>
      </c>
      <c r="I378" s="45" t="s">
        <v>1934</v>
      </c>
      <c r="J378" s="45" t="s">
        <v>644</v>
      </c>
      <c r="K378" s="45" t="s">
        <v>13</v>
      </c>
      <c r="L378" s="97">
        <v>48760</v>
      </c>
      <c r="M378" s="97">
        <v>46000</v>
      </c>
      <c r="N378" s="97">
        <v>2760</v>
      </c>
      <c r="O378" s="45" t="s">
        <v>2291</v>
      </c>
      <c r="P378" s="29"/>
      <c r="Q378" s="27"/>
      <c r="T378" s="29"/>
      <c r="U378" s="32"/>
      <c r="V378" s="91"/>
      <c r="X378" s="29"/>
      <c r="Y378" s="27"/>
      <c r="Z378" s="30"/>
      <c r="AD378" s="29"/>
    </row>
    <row r="379" hidden="1" customHeight="1" spans="1:30">
      <c r="A379" s="45" t="s">
        <v>637</v>
      </c>
      <c r="B379" s="96">
        <v>45107</v>
      </c>
      <c r="C379" s="45" t="s">
        <v>646</v>
      </c>
      <c r="D379" s="45" t="s">
        <v>740</v>
      </c>
      <c r="E379" s="45" t="s">
        <v>640</v>
      </c>
      <c r="F379" s="45" t="s">
        <v>641</v>
      </c>
      <c r="G379" s="45" t="s">
        <v>1899</v>
      </c>
      <c r="H379" s="45" t="s">
        <v>650</v>
      </c>
      <c r="I379" s="45" t="s">
        <v>1936</v>
      </c>
      <c r="J379" s="45" t="s">
        <v>656</v>
      </c>
      <c r="K379" s="45" t="s">
        <v>13</v>
      </c>
      <c r="L379" s="97">
        <v>63600</v>
      </c>
      <c r="M379" s="97">
        <v>60000</v>
      </c>
      <c r="N379" s="97">
        <v>3600</v>
      </c>
      <c r="O379" s="45" t="s">
        <v>2292</v>
      </c>
      <c r="P379" s="29"/>
      <c r="Q379" s="27"/>
      <c r="T379" s="29"/>
      <c r="U379" s="32"/>
      <c r="V379" s="91"/>
      <c r="X379" s="29"/>
      <c r="Y379" s="27"/>
      <c r="Z379" s="30"/>
      <c r="AD379" s="29"/>
    </row>
    <row r="380" hidden="1" customHeight="1" spans="1:30">
      <c r="A380" s="45" t="s">
        <v>637</v>
      </c>
      <c r="B380" s="96">
        <v>45107</v>
      </c>
      <c r="C380" s="45" t="s">
        <v>646</v>
      </c>
      <c r="D380" s="45" t="s">
        <v>1915</v>
      </c>
      <c r="E380" s="45" t="s">
        <v>640</v>
      </c>
      <c r="F380" s="45" t="s">
        <v>641</v>
      </c>
      <c r="G380" s="44" t="s">
        <v>1901</v>
      </c>
      <c r="H380" s="45" t="s">
        <v>643</v>
      </c>
      <c r="I380" s="45" t="s">
        <v>441</v>
      </c>
      <c r="J380" s="45" t="s">
        <v>656</v>
      </c>
      <c r="K380" s="45" t="s">
        <v>14</v>
      </c>
      <c r="L380" s="97">
        <v>771807.98</v>
      </c>
      <c r="M380" s="97">
        <v>728120.74</v>
      </c>
      <c r="N380" s="97">
        <v>43687.24</v>
      </c>
      <c r="O380" s="45" t="s">
        <v>2293</v>
      </c>
      <c r="P380" s="29"/>
      <c r="Q380" s="27"/>
      <c r="T380" s="29"/>
      <c r="U380" s="32"/>
      <c r="V380" s="91"/>
      <c r="X380" s="29"/>
      <c r="Y380" s="27"/>
      <c r="Z380" s="30"/>
      <c r="AD380" s="29"/>
    </row>
    <row r="381" hidden="1" customHeight="1" spans="1:30">
      <c r="A381" s="45" t="s">
        <v>637</v>
      </c>
      <c r="B381" s="96">
        <v>45107</v>
      </c>
      <c r="C381" s="45" t="s">
        <v>646</v>
      </c>
      <c r="D381" s="45" t="s">
        <v>1915</v>
      </c>
      <c r="E381" s="45" t="s">
        <v>640</v>
      </c>
      <c r="F381" s="45" t="s">
        <v>641</v>
      </c>
      <c r="G381" s="45" t="s">
        <v>1899</v>
      </c>
      <c r="H381" s="45" t="s">
        <v>643</v>
      </c>
      <c r="I381" s="45" t="s">
        <v>441</v>
      </c>
      <c r="J381" s="45" t="s">
        <v>656</v>
      </c>
      <c r="K381" s="45" t="s">
        <v>14</v>
      </c>
      <c r="L381" s="97">
        <v>771807.98</v>
      </c>
      <c r="M381" s="97">
        <v>728120.74</v>
      </c>
      <c r="N381" s="97">
        <v>43687.24</v>
      </c>
      <c r="O381" s="45" t="s">
        <v>2294</v>
      </c>
      <c r="P381" s="29"/>
      <c r="Q381" s="27"/>
      <c r="T381" s="29"/>
      <c r="U381" s="32"/>
      <c r="V381" s="91"/>
      <c r="X381" s="29"/>
      <c r="Y381" s="27"/>
      <c r="Z381" s="30"/>
      <c r="AD381" s="29"/>
    </row>
    <row r="382" hidden="1" customHeight="1" spans="1:30">
      <c r="A382" s="45" t="s">
        <v>637</v>
      </c>
      <c r="B382" s="96">
        <v>45107</v>
      </c>
      <c r="C382" s="45" t="s">
        <v>646</v>
      </c>
      <c r="D382" s="45" t="s">
        <v>740</v>
      </c>
      <c r="E382" s="45" t="s">
        <v>640</v>
      </c>
      <c r="F382" s="45" t="s">
        <v>641</v>
      </c>
      <c r="G382" s="45" t="s">
        <v>1899</v>
      </c>
      <c r="H382" s="45" t="s">
        <v>643</v>
      </c>
      <c r="I382" s="45" t="s">
        <v>1982</v>
      </c>
      <c r="J382" s="45" t="s">
        <v>644</v>
      </c>
      <c r="K382" s="45" t="s">
        <v>14</v>
      </c>
      <c r="L382" s="97">
        <v>879631.13</v>
      </c>
      <c r="M382" s="97">
        <v>829840.69</v>
      </c>
      <c r="N382" s="97">
        <v>49790.44</v>
      </c>
      <c r="O382" s="45" t="s">
        <v>2295</v>
      </c>
      <c r="P382" s="29"/>
      <c r="Q382" s="27"/>
      <c r="T382" s="29"/>
      <c r="U382" s="32"/>
      <c r="V382" s="91"/>
      <c r="X382" s="29"/>
      <c r="Y382" s="27"/>
      <c r="Z382" s="30"/>
      <c r="AD382" s="29"/>
    </row>
    <row r="383" hidden="1" customHeight="1" spans="1:30">
      <c r="A383" s="45" t="s">
        <v>637</v>
      </c>
      <c r="B383" s="96">
        <v>45107</v>
      </c>
      <c r="C383" s="45" t="s">
        <v>646</v>
      </c>
      <c r="D383" s="45" t="s">
        <v>740</v>
      </c>
      <c r="E383" s="45" t="s">
        <v>640</v>
      </c>
      <c r="F383" s="45" t="s">
        <v>641</v>
      </c>
      <c r="G383" s="45" t="s">
        <v>1899</v>
      </c>
      <c r="H383" s="45" t="s">
        <v>643</v>
      </c>
      <c r="I383" s="45" t="s">
        <v>1993</v>
      </c>
      <c r="J383" s="45" t="s">
        <v>644</v>
      </c>
      <c r="K383" s="45" t="s">
        <v>14</v>
      </c>
      <c r="L383" s="97">
        <v>110204.01</v>
      </c>
      <c r="M383" s="97">
        <v>103966.05</v>
      </c>
      <c r="N383" s="97">
        <v>6237.96</v>
      </c>
      <c r="O383" s="45" t="s">
        <v>2296</v>
      </c>
      <c r="P383" s="29"/>
      <c r="Q383" s="27"/>
      <c r="T383" s="29"/>
      <c r="U383" s="32"/>
      <c r="V383" s="91"/>
      <c r="X383" s="29"/>
      <c r="Y383" s="27"/>
      <c r="Z383" s="30"/>
      <c r="AD383" s="29"/>
    </row>
    <row r="384" hidden="1" customHeight="1" spans="1:30">
      <c r="A384" s="45" t="s">
        <v>637</v>
      </c>
      <c r="B384" s="96">
        <v>45107</v>
      </c>
      <c r="C384" s="45" t="s">
        <v>646</v>
      </c>
      <c r="D384" s="45" t="s">
        <v>1915</v>
      </c>
      <c r="E384" s="45" t="s">
        <v>640</v>
      </c>
      <c r="F384" s="45" t="s">
        <v>641</v>
      </c>
      <c r="G384" s="45" t="s">
        <v>1899</v>
      </c>
      <c r="H384" s="45" t="s">
        <v>643</v>
      </c>
      <c r="I384" s="45" t="s">
        <v>441</v>
      </c>
      <c r="J384" s="45" t="s">
        <v>656</v>
      </c>
      <c r="K384" s="45" t="s">
        <v>14</v>
      </c>
      <c r="L384" s="97">
        <v>11350.91</v>
      </c>
      <c r="M384" s="97">
        <v>10708.41</v>
      </c>
      <c r="N384" s="97">
        <v>642.5</v>
      </c>
      <c r="O384" s="45" t="s">
        <v>2297</v>
      </c>
      <c r="P384" s="29"/>
      <c r="Q384" s="27"/>
      <c r="T384" s="29"/>
      <c r="U384" s="32"/>
      <c r="V384" s="91"/>
      <c r="X384" s="29"/>
      <c r="Y384" s="27"/>
      <c r="Z384" s="30"/>
      <c r="AD384" s="29"/>
    </row>
    <row r="385" hidden="1" customHeight="1" spans="1:30">
      <c r="A385" s="45" t="s">
        <v>637</v>
      </c>
      <c r="B385" s="96">
        <v>45107</v>
      </c>
      <c r="C385" s="45" t="s">
        <v>646</v>
      </c>
      <c r="D385" s="45" t="s">
        <v>740</v>
      </c>
      <c r="E385" s="45" t="s">
        <v>640</v>
      </c>
      <c r="F385" s="45" t="s">
        <v>641</v>
      </c>
      <c r="G385" s="45" t="s">
        <v>1899</v>
      </c>
      <c r="H385" s="45" t="s">
        <v>643</v>
      </c>
      <c r="I385" s="45" t="s">
        <v>1982</v>
      </c>
      <c r="J385" s="45" t="s">
        <v>644</v>
      </c>
      <c r="K385" s="45" t="s">
        <v>14</v>
      </c>
      <c r="L385" s="97">
        <v>-242004</v>
      </c>
      <c r="M385" s="97">
        <v>-228305.66</v>
      </c>
      <c r="N385" s="97">
        <v>-13698.34</v>
      </c>
      <c r="O385" s="45" t="s">
        <v>2298</v>
      </c>
      <c r="P385" s="29"/>
      <c r="Q385" s="27"/>
      <c r="T385" s="29"/>
      <c r="U385" s="32"/>
      <c r="V385" s="91"/>
      <c r="X385" s="29"/>
      <c r="Y385" s="27"/>
      <c r="Z385" s="30"/>
      <c r="AD385" s="29"/>
    </row>
    <row r="386" hidden="1" customHeight="1" spans="1:30">
      <c r="A386" s="45" t="s">
        <v>637</v>
      </c>
      <c r="B386" s="96">
        <v>45107</v>
      </c>
      <c r="C386" s="45" t="s">
        <v>646</v>
      </c>
      <c r="D386" s="45" t="s">
        <v>740</v>
      </c>
      <c r="E386" s="45" t="s">
        <v>640</v>
      </c>
      <c r="F386" s="45" t="s">
        <v>641</v>
      </c>
      <c r="G386" s="45" t="s">
        <v>1899</v>
      </c>
      <c r="H386" s="45" t="s">
        <v>650</v>
      </c>
      <c r="I386" s="45" t="s">
        <v>461</v>
      </c>
      <c r="J386" s="45" t="s">
        <v>644</v>
      </c>
      <c r="K386" s="45" t="s">
        <v>14</v>
      </c>
      <c r="L386" s="97">
        <v>142082.99</v>
      </c>
      <c r="M386" s="97">
        <v>134040.56</v>
      </c>
      <c r="N386" s="97">
        <v>8042.43</v>
      </c>
      <c r="O386" s="45" t="s">
        <v>2299</v>
      </c>
      <c r="P386" s="29"/>
      <c r="Q386" s="27"/>
      <c r="T386" s="29"/>
      <c r="U386" s="32"/>
      <c r="V386" s="91"/>
      <c r="X386" s="29"/>
      <c r="Y386" s="27"/>
      <c r="Z386" s="30"/>
      <c r="AD386" s="29"/>
    </row>
    <row r="387" hidden="1" customHeight="1" spans="1:30">
      <c r="A387" s="45" t="s">
        <v>637</v>
      </c>
      <c r="B387" s="96">
        <v>45107</v>
      </c>
      <c r="C387" s="45" t="s">
        <v>646</v>
      </c>
      <c r="D387" s="45" t="s">
        <v>740</v>
      </c>
      <c r="E387" s="45" t="s">
        <v>640</v>
      </c>
      <c r="F387" s="45" t="s">
        <v>641</v>
      </c>
      <c r="G387" s="45" t="s">
        <v>1899</v>
      </c>
      <c r="H387" s="45" t="s">
        <v>643</v>
      </c>
      <c r="I387" s="45" t="s">
        <v>1995</v>
      </c>
      <c r="J387" s="45" t="s">
        <v>644</v>
      </c>
      <c r="K387" s="45" t="s">
        <v>14</v>
      </c>
      <c r="L387" s="97">
        <v>365606.46</v>
      </c>
      <c r="M387" s="97">
        <v>344911.75</v>
      </c>
      <c r="N387" s="97">
        <v>20694.71</v>
      </c>
      <c r="O387" s="45" t="s">
        <v>2300</v>
      </c>
      <c r="P387" s="29"/>
      <c r="Q387" s="27"/>
      <c r="T387" s="29"/>
      <c r="U387" s="32"/>
      <c r="V387" s="91"/>
      <c r="X387" s="29"/>
      <c r="Y387" s="27"/>
      <c r="Z387" s="30"/>
      <c r="AD387" s="29"/>
    </row>
    <row r="388" hidden="1" customHeight="1" spans="1:30">
      <c r="A388" s="45" t="s">
        <v>637</v>
      </c>
      <c r="B388" s="96">
        <v>45107</v>
      </c>
      <c r="C388" s="45" t="s">
        <v>646</v>
      </c>
      <c r="D388" s="45" t="s">
        <v>740</v>
      </c>
      <c r="E388" s="45" t="s">
        <v>640</v>
      </c>
      <c r="F388" s="45" t="s">
        <v>641</v>
      </c>
      <c r="G388" s="45" t="s">
        <v>1899</v>
      </c>
      <c r="H388" s="45" t="s">
        <v>650</v>
      </c>
      <c r="I388" s="45" t="s">
        <v>2037</v>
      </c>
      <c r="J388" s="45" t="s">
        <v>644</v>
      </c>
      <c r="K388" s="45" t="s">
        <v>20</v>
      </c>
      <c r="L388" s="97">
        <v>198200</v>
      </c>
      <c r="M388" s="97">
        <v>186981.13</v>
      </c>
      <c r="N388" s="97">
        <v>11218.87</v>
      </c>
      <c r="O388" s="45" t="s">
        <v>2301</v>
      </c>
      <c r="P388" s="29"/>
      <c r="Q388" s="27"/>
      <c r="T388" s="29"/>
      <c r="U388" s="32"/>
      <c r="V388" s="91"/>
      <c r="X388" s="29"/>
      <c r="Y388" s="27"/>
      <c r="Z388" s="30"/>
      <c r="AD388" s="29"/>
    </row>
    <row r="389" hidden="1" customHeight="1" spans="1:30">
      <c r="A389" s="45" t="s">
        <v>637</v>
      </c>
      <c r="B389" s="96">
        <v>45107</v>
      </c>
      <c r="C389" s="45" t="s">
        <v>646</v>
      </c>
      <c r="D389" s="45" t="s">
        <v>726</v>
      </c>
      <c r="E389" s="45" t="s">
        <v>640</v>
      </c>
      <c r="F389" s="45" t="s">
        <v>641</v>
      </c>
      <c r="G389" s="44" t="s">
        <v>1901</v>
      </c>
      <c r="H389" s="45" t="s">
        <v>643</v>
      </c>
      <c r="I389" s="45" t="s">
        <v>1997</v>
      </c>
      <c r="J389" s="45" t="s">
        <v>656</v>
      </c>
      <c r="K389" s="45" t="s">
        <v>14</v>
      </c>
      <c r="L389" s="97">
        <v>50000</v>
      </c>
      <c r="M389" s="97">
        <v>47169.81</v>
      </c>
      <c r="N389" s="97">
        <v>2830.19</v>
      </c>
      <c r="O389" s="45" t="s">
        <v>2302</v>
      </c>
      <c r="P389" s="29"/>
      <c r="Q389" s="27"/>
      <c r="T389" s="29"/>
      <c r="U389" s="32"/>
      <c r="V389" s="91"/>
      <c r="X389" s="29"/>
      <c r="Y389" s="27"/>
      <c r="Z389" s="30"/>
      <c r="AD389" s="29"/>
    </row>
    <row r="390" hidden="1" customHeight="1" spans="1:30">
      <c r="A390" s="45" t="s">
        <v>637</v>
      </c>
      <c r="B390" s="96">
        <v>45107</v>
      </c>
      <c r="C390" s="45" t="s">
        <v>646</v>
      </c>
      <c r="D390" s="45" t="s">
        <v>726</v>
      </c>
      <c r="E390" s="45" t="s">
        <v>640</v>
      </c>
      <c r="F390" s="45" t="s">
        <v>641</v>
      </c>
      <c r="G390" s="45" t="s">
        <v>1899</v>
      </c>
      <c r="H390" s="45" t="s">
        <v>643</v>
      </c>
      <c r="I390" s="45" t="s">
        <v>748</v>
      </c>
      <c r="J390" s="45" t="s">
        <v>656</v>
      </c>
      <c r="K390" s="45" t="s">
        <v>14</v>
      </c>
      <c r="L390" s="97">
        <v>50000</v>
      </c>
      <c r="M390" s="97">
        <v>47169.81</v>
      </c>
      <c r="N390" s="97">
        <v>2830.19</v>
      </c>
      <c r="O390" s="45" t="s">
        <v>2303</v>
      </c>
      <c r="P390" s="29"/>
      <c r="Q390" s="27"/>
      <c r="T390" s="29"/>
      <c r="U390" s="32"/>
      <c r="V390" s="91"/>
      <c r="X390" s="29"/>
      <c r="Y390" s="27"/>
      <c r="Z390" s="30"/>
      <c r="AD390" s="29"/>
    </row>
    <row r="391" hidden="1" customHeight="1" spans="1:30">
      <c r="A391" s="45" t="s">
        <v>637</v>
      </c>
      <c r="B391" s="96">
        <v>45107</v>
      </c>
      <c r="C391" s="45" t="s">
        <v>646</v>
      </c>
      <c r="D391" s="45" t="s">
        <v>1902</v>
      </c>
      <c r="E391" s="45" t="s">
        <v>1898</v>
      </c>
      <c r="F391" s="45" t="s">
        <v>641</v>
      </c>
      <c r="G391" s="45" t="s">
        <v>1899</v>
      </c>
      <c r="H391" s="45" t="s">
        <v>643</v>
      </c>
      <c r="I391" s="45" t="s">
        <v>436</v>
      </c>
      <c r="J391" s="45" t="s">
        <v>644</v>
      </c>
      <c r="K391" s="45" t="s">
        <v>350</v>
      </c>
      <c r="L391" s="97">
        <v>19296.28</v>
      </c>
      <c r="M391" s="97">
        <v>18204.04</v>
      </c>
      <c r="N391" s="97">
        <v>1092.24</v>
      </c>
      <c r="O391" s="45" t="s">
        <v>2304</v>
      </c>
      <c r="P391" s="29"/>
      <c r="Q391" s="27"/>
      <c r="T391" s="29"/>
      <c r="U391" s="32"/>
      <c r="V391" s="91"/>
      <c r="X391" s="29"/>
      <c r="Y391" s="27"/>
      <c r="Z391" s="30"/>
      <c r="AD391" s="29"/>
    </row>
    <row r="392" hidden="1" customHeight="1" spans="1:30">
      <c r="A392" s="45" t="s">
        <v>637</v>
      </c>
      <c r="B392" s="96">
        <v>45107</v>
      </c>
      <c r="C392" s="45" t="s">
        <v>646</v>
      </c>
      <c r="D392" s="45" t="s">
        <v>726</v>
      </c>
      <c r="E392" s="45" t="s">
        <v>1898</v>
      </c>
      <c r="F392" s="45" t="s">
        <v>641</v>
      </c>
      <c r="G392" s="45" t="s">
        <v>1899</v>
      </c>
      <c r="H392" s="45" t="s">
        <v>643</v>
      </c>
      <c r="I392" s="45" t="s">
        <v>1906</v>
      </c>
      <c r="J392" s="45" t="s">
        <v>644</v>
      </c>
      <c r="K392" s="45" t="s">
        <v>14</v>
      </c>
      <c r="L392" s="97">
        <v>149095.2</v>
      </c>
      <c r="M392" s="97">
        <v>140655.85</v>
      </c>
      <c r="N392" s="97">
        <v>8439.35</v>
      </c>
      <c r="O392" s="45" t="s">
        <v>2305</v>
      </c>
      <c r="P392" s="29"/>
      <c r="Q392" s="27"/>
      <c r="T392" s="29"/>
      <c r="U392" s="32"/>
      <c r="V392" s="91"/>
      <c r="X392" s="29"/>
      <c r="Y392" s="27"/>
      <c r="Z392" s="30"/>
      <c r="AD392" s="29"/>
    </row>
    <row r="393" hidden="1" customHeight="1" spans="1:30">
      <c r="A393" s="45" t="s">
        <v>637</v>
      </c>
      <c r="B393" s="96">
        <v>45107</v>
      </c>
      <c r="C393" s="45" t="s">
        <v>646</v>
      </c>
      <c r="D393" s="45" t="s">
        <v>1902</v>
      </c>
      <c r="E393" s="45" t="s">
        <v>1898</v>
      </c>
      <c r="F393" s="45" t="s">
        <v>641</v>
      </c>
      <c r="G393" s="45" t="s">
        <v>1899</v>
      </c>
      <c r="H393" s="45" t="s">
        <v>643</v>
      </c>
      <c r="I393" s="45" t="s">
        <v>466</v>
      </c>
      <c r="J393" s="45" t="s">
        <v>656</v>
      </c>
      <c r="K393" s="45" t="s">
        <v>14</v>
      </c>
      <c r="L393" s="97">
        <v>715.2</v>
      </c>
      <c r="M393" s="97">
        <v>674.72</v>
      </c>
      <c r="N393" s="97">
        <v>40.48</v>
      </c>
      <c r="O393" s="45" t="s">
        <v>2306</v>
      </c>
      <c r="P393" s="29"/>
      <c r="Q393" s="27"/>
      <c r="T393" s="29"/>
      <c r="U393" s="32"/>
      <c r="V393" s="91"/>
      <c r="X393" s="29"/>
      <c r="Y393" s="27"/>
      <c r="Z393" s="30"/>
      <c r="AD393" s="29"/>
    </row>
    <row r="394" hidden="1" customHeight="1" spans="1:30">
      <c r="A394" s="45" t="s">
        <v>637</v>
      </c>
      <c r="B394" s="96">
        <v>45107</v>
      </c>
      <c r="C394" s="45" t="s">
        <v>646</v>
      </c>
      <c r="D394" s="45" t="s">
        <v>726</v>
      </c>
      <c r="E394" s="45" t="s">
        <v>1898</v>
      </c>
      <c r="F394" s="45" t="s">
        <v>641</v>
      </c>
      <c r="G394" s="45" t="s">
        <v>1899</v>
      </c>
      <c r="H394" s="45" t="s">
        <v>650</v>
      </c>
      <c r="I394" s="45" t="s">
        <v>461</v>
      </c>
      <c r="J394" s="45" t="s">
        <v>656</v>
      </c>
      <c r="K394" s="45" t="s">
        <v>14</v>
      </c>
      <c r="L394" s="97">
        <v>172926.34</v>
      </c>
      <c r="M394" s="97">
        <v>163138.06</v>
      </c>
      <c r="N394" s="97">
        <v>9788.28</v>
      </c>
      <c r="O394" s="45" t="s">
        <v>2307</v>
      </c>
      <c r="P394" s="29"/>
      <c r="Q394" s="27"/>
      <c r="T394" s="29"/>
      <c r="U394" s="32"/>
      <c r="V394" s="91"/>
      <c r="X394" s="29"/>
      <c r="Y394" s="27"/>
      <c r="Z394" s="30"/>
      <c r="AD394" s="29"/>
    </row>
    <row r="395" hidden="1" customHeight="1" spans="1:30">
      <c r="A395" s="45" t="s">
        <v>637</v>
      </c>
      <c r="B395" s="96">
        <v>45107</v>
      </c>
      <c r="C395" s="45" t="s">
        <v>646</v>
      </c>
      <c r="D395" s="45" t="s">
        <v>726</v>
      </c>
      <c r="E395" s="45" t="s">
        <v>1898</v>
      </c>
      <c r="F395" s="45" t="s">
        <v>641</v>
      </c>
      <c r="G395" s="45" t="s">
        <v>1899</v>
      </c>
      <c r="H395" s="45" t="s">
        <v>697</v>
      </c>
      <c r="I395" s="45" t="s">
        <v>1908</v>
      </c>
      <c r="J395" s="45" t="s">
        <v>656</v>
      </c>
      <c r="K395" s="45" t="s">
        <v>350</v>
      </c>
      <c r="L395" s="97">
        <v>5914.08</v>
      </c>
      <c r="M395" s="97">
        <v>5579.32</v>
      </c>
      <c r="N395" s="97">
        <v>334.76</v>
      </c>
      <c r="O395" s="45" t="s">
        <v>2308</v>
      </c>
      <c r="P395" s="29"/>
      <c r="Q395" s="27"/>
      <c r="T395" s="29"/>
      <c r="U395" s="32"/>
      <c r="V395" s="91"/>
      <c r="X395" s="29"/>
      <c r="Y395" s="27"/>
      <c r="Z395" s="30"/>
      <c r="AD395" s="29"/>
    </row>
    <row r="396" hidden="1" customHeight="1" spans="1:30">
      <c r="A396" s="45" t="s">
        <v>637</v>
      </c>
      <c r="B396" s="96">
        <v>45107</v>
      </c>
      <c r="C396" s="45" t="s">
        <v>700</v>
      </c>
      <c r="D396" s="45" t="s">
        <v>1902</v>
      </c>
      <c r="E396" s="45" t="s">
        <v>640</v>
      </c>
      <c r="F396" s="45" t="s">
        <v>641</v>
      </c>
      <c r="G396" s="45" t="s">
        <v>1899</v>
      </c>
      <c r="H396" s="45" t="s">
        <v>643</v>
      </c>
      <c r="I396" s="45" t="s">
        <v>442</v>
      </c>
      <c r="J396" s="45" t="s">
        <v>656</v>
      </c>
      <c r="K396" s="45" t="s">
        <v>14</v>
      </c>
      <c r="L396" s="97">
        <v>24501.02</v>
      </c>
      <c r="M396" s="97">
        <v>23114.17</v>
      </c>
      <c r="N396" s="97">
        <v>1386.85</v>
      </c>
      <c r="O396" s="45" t="s">
        <v>2309</v>
      </c>
      <c r="P396" s="29"/>
      <c r="Q396" s="27"/>
      <c r="T396" s="29"/>
      <c r="U396" s="32"/>
      <c r="V396" s="91"/>
      <c r="X396" s="29"/>
      <c r="Y396" s="27"/>
      <c r="Z396" s="30"/>
      <c r="AD396" s="29"/>
    </row>
    <row r="397" hidden="1" customHeight="1" spans="1:30">
      <c r="A397" s="45" t="s">
        <v>637</v>
      </c>
      <c r="B397" s="96">
        <v>45107</v>
      </c>
      <c r="C397" s="45" t="s">
        <v>646</v>
      </c>
      <c r="D397" s="45" t="s">
        <v>726</v>
      </c>
      <c r="E397" s="45" t="s">
        <v>1898</v>
      </c>
      <c r="F397" s="45" t="s">
        <v>641</v>
      </c>
      <c r="G397" s="45" t="s">
        <v>1899</v>
      </c>
      <c r="H397" s="45" t="s">
        <v>650</v>
      </c>
      <c r="I397" s="45" t="s">
        <v>779</v>
      </c>
      <c r="J397" s="45" t="s">
        <v>644</v>
      </c>
      <c r="K397" s="45" t="s">
        <v>14</v>
      </c>
      <c r="L397" s="97">
        <v>117000</v>
      </c>
      <c r="M397" s="97">
        <v>110377.36</v>
      </c>
      <c r="N397" s="97">
        <v>6622.64</v>
      </c>
      <c r="O397" s="45" t="s">
        <v>2310</v>
      </c>
      <c r="P397" s="29"/>
      <c r="Q397" s="27"/>
      <c r="T397" s="29"/>
      <c r="U397" s="32"/>
      <c r="V397" s="91"/>
      <c r="X397" s="29"/>
      <c r="Y397" s="27"/>
      <c r="Z397" s="30"/>
      <c r="AD397" s="29"/>
    </row>
    <row r="398" hidden="1" customHeight="1" spans="1:30">
      <c r="A398" s="45" t="s">
        <v>637</v>
      </c>
      <c r="B398" s="96">
        <v>45107</v>
      </c>
      <c r="C398" s="45" t="s">
        <v>646</v>
      </c>
      <c r="D398" s="45" t="s">
        <v>1284</v>
      </c>
      <c r="E398" s="45" t="s">
        <v>1898</v>
      </c>
      <c r="F398" s="45" t="s">
        <v>641</v>
      </c>
      <c r="G398" s="45" t="s">
        <v>1899</v>
      </c>
      <c r="H398" s="45" t="s">
        <v>643</v>
      </c>
      <c r="I398" s="45" t="s">
        <v>466</v>
      </c>
      <c r="J398" s="45" t="s">
        <v>656</v>
      </c>
      <c r="K398" s="45" t="s">
        <v>14</v>
      </c>
      <c r="L398" s="97">
        <v>339700.5</v>
      </c>
      <c r="M398" s="97">
        <v>320472.17</v>
      </c>
      <c r="N398" s="97">
        <v>19228.33</v>
      </c>
      <c r="O398" s="45" t="s">
        <v>2311</v>
      </c>
      <c r="P398" s="29"/>
      <c r="Q398" s="27"/>
      <c r="T398" s="29"/>
      <c r="U398" s="32"/>
      <c r="V398" s="91"/>
      <c r="X398" s="29"/>
      <c r="Y398" s="27"/>
      <c r="Z398" s="30"/>
      <c r="AD398" s="29"/>
    </row>
    <row r="399" hidden="1" customHeight="1" spans="1:30">
      <c r="A399" s="45" t="s">
        <v>637</v>
      </c>
      <c r="B399" s="96">
        <v>45107</v>
      </c>
      <c r="C399" s="45" t="s">
        <v>646</v>
      </c>
      <c r="D399" s="45" t="s">
        <v>740</v>
      </c>
      <c r="E399" s="45" t="s">
        <v>1898</v>
      </c>
      <c r="F399" s="45" t="s">
        <v>641</v>
      </c>
      <c r="G399" s="45" t="s">
        <v>1899</v>
      </c>
      <c r="H399" s="45" t="s">
        <v>643</v>
      </c>
      <c r="I399" s="45" t="s">
        <v>466</v>
      </c>
      <c r="J399" s="45" t="s">
        <v>656</v>
      </c>
      <c r="K399" s="45" t="s">
        <v>14</v>
      </c>
      <c r="L399" s="97">
        <v>1542028.1</v>
      </c>
      <c r="M399" s="97">
        <v>1454743.49</v>
      </c>
      <c r="N399" s="97">
        <v>87284.61</v>
      </c>
      <c r="O399" s="45" t="s">
        <v>2312</v>
      </c>
      <c r="P399" s="29"/>
      <c r="Q399" s="27"/>
      <c r="T399" s="29"/>
      <c r="U399" s="32"/>
      <c r="V399" s="91"/>
      <c r="X399" s="29"/>
      <c r="Y399" s="27"/>
      <c r="Z399" s="30"/>
      <c r="AD399" s="29"/>
    </row>
    <row r="400" hidden="1" customHeight="1" spans="1:30">
      <c r="A400" s="45" t="s">
        <v>637</v>
      </c>
      <c r="B400" s="96">
        <v>45107</v>
      </c>
      <c r="C400" s="45" t="s">
        <v>646</v>
      </c>
      <c r="D400" s="45" t="s">
        <v>1902</v>
      </c>
      <c r="E400" s="45" t="s">
        <v>1898</v>
      </c>
      <c r="F400" s="45" t="s">
        <v>641</v>
      </c>
      <c r="G400" s="45" t="s">
        <v>1899</v>
      </c>
      <c r="H400" s="45" t="s">
        <v>650</v>
      </c>
      <c r="I400" s="45" t="s">
        <v>779</v>
      </c>
      <c r="J400" s="45" t="s">
        <v>644</v>
      </c>
      <c r="K400" s="45" t="s">
        <v>14</v>
      </c>
      <c r="L400" s="97">
        <v>20000</v>
      </c>
      <c r="M400" s="97">
        <v>18867.92</v>
      </c>
      <c r="N400" s="97">
        <v>1132.08</v>
      </c>
      <c r="O400" s="45" t="s">
        <v>2313</v>
      </c>
      <c r="P400" s="29"/>
      <c r="Q400" s="27"/>
      <c r="T400" s="29"/>
      <c r="U400" s="32"/>
      <c r="V400" s="91"/>
      <c r="X400" s="29"/>
      <c r="Y400" s="27"/>
      <c r="Z400" s="30"/>
      <c r="AD400" s="29"/>
    </row>
    <row r="401" hidden="1" customHeight="1" spans="1:30">
      <c r="A401" s="45" t="s">
        <v>637</v>
      </c>
      <c r="B401" s="96">
        <v>45107</v>
      </c>
      <c r="C401" s="45" t="s">
        <v>646</v>
      </c>
      <c r="D401" s="45" t="s">
        <v>1902</v>
      </c>
      <c r="E401" s="45" t="s">
        <v>1898</v>
      </c>
      <c r="F401" s="45" t="s">
        <v>641</v>
      </c>
      <c r="G401" s="45" t="s">
        <v>1899</v>
      </c>
      <c r="H401" s="45" t="s">
        <v>643</v>
      </c>
      <c r="I401" s="45" t="s">
        <v>466</v>
      </c>
      <c r="J401" s="45" t="s">
        <v>656</v>
      </c>
      <c r="K401" s="45" t="s">
        <v>14</v>
      </c>
      <c r="L401" s="97">
        <v>246857.37</v>
      </c>
      <c r="M401" s="97">
        <v>232884.31</v>
      </c>
      <c r="N401" s="97">
        <v>13973.06</v>
      </c>
      <c r="O401" s="45" t="s">
        <v>2314</v>
      </c>
      <c r="P401" s="29"/>
      <c r="Q401" s="27"/>
      <c r="T401" s="29"/>
      <c r="U401" s="32"/>
      <c r="V401" s="91"/>
      <c r="X401" s="29"/>
      <c r="Y401" s="27"/>
      <c r="Z401" s="30"/>
      <c r="AD401" s="29"/>
    </row>
    <row r="402" hidden="1" customHeight="1" spans="1:30">
      <c r="A402" s="45" t="s">
        <v>637</v>
      </c>
      <c r="B402" s="96">
        <v>45107</v>
      </c>
      <c r="C402" s="45" t="s">
        <v>646</v>
      </c>
      <c r="D402" s="45" t="s">
        <v>1284</v>
      </c>
      <c r="E402" s="45" t="s">
        <v>1898</v>
      </c>
      <c r="F402" s="45" t="s">
        <v>641</v>
      </c>
      <c r="G402" s="45" t="s">
        <v>1899</v>
      </c>
      <c r="H402" s="45" t="s">
        <v>650</v>
      </c>
      <c r="I402" s="45" t="s">
        <v>779</v>
      </c>
      <c r="J402" s="45" t="s">
        <v>644</v>
      </c>
      <c r="K402" s="45" t="s">
        <v>14</v>
      </c>
      <c r="L402" s="97">
        <v>20000</v>
      </c>
      <c r="M402" s="97">
        <v>18867.92</v>
      </c>
      <c r="N402" s="97">
        <v>1132.08</v>
      </c>
      <c r="O402" s="45" t="s">
        <v>2315</v>
      </c>
      <c r="P402" s="29"/>
      <c r="Q402" s="27"/>
      <c r="T402" s="29"/>
      <c r="U402" s="32"/>
      <c r="V402" s="91"/>
      <c r="X402" s="29"/>
      <c r="Y402" s="27"/>
      <c r="Z402" s="30"/>
      <c r="AD402" s="29"/>
    </row>
    <row r="403" hidden="1" customHeight="1" spans="1:30">
      <c r="A403" s="45" t="s">
        <v>637</v>
      </c>
      <c r="B403" s="96">
        <v>45107</v>
      </c>
      <c r="C403" s="45" t="s">
        <v>646</v>
      </c>
      <c r="D403" s="45" t="s">
        <v>726</v>
      </c>
      <c r="E403" s="45" t="s">
        <v>1898</v>
      </c>
      <c r="F403" s="45" t="s">
        <v>641</v>
      </c>
      <c r="G403" s="45" t="s">
        <v>1899</v>
      </c>
      <c r="H403" s="45" t="s">
        <v>643</v>
      </c>
      <c r="I403" s="45" t="s">
        <v>466</v>
      </c>
      <c r="J403" s="45" t="s">
        <v>656</v>
      </c>
      <c r="K403" s="45" t="s">
        <v>14</v>
      </c>
      <c r="L403" s="97">
        <v>1061290.74</v>
      </c>
      <c r="M403" s="97">
        <v>1001217.68</v>
      </c>
      <c r="N403" s="97">
        <v>60073.06</v>
      </c>
      <c r="O403" s="45" t="s">
        <v>2316</v>
      </c>
      <c r="P403" s="29"/>
      <c r="Q403" s="27"/>
      <c r="T403" s="29"/>
      <c r="U403" s="32"/>
      <c r="V403" s="91"/>
      <c r="X403" s="29"/>
      <c r="Y403" s="27"/>
      <c r="Z403" s="30"/>
      <c r="AD403" s="29"/>
    </row>
    <row r="404" hidden="1" customHeight="1" spans="1:30">
      <c r="A404" s="45" t="s">
        <v>637</v>
      </c>
      <c r="B404" s="96">
        <v>45107</v>
      </c>
      <c r="C404" s="45" t="s">
        <v>700</v>
      </c>
      <c r="D404" s="45" t="s">
        <v>2134</v>
      </c>
      <c r="E404" s="45" t="s">
        <v>640</v>
      </c>
      <c r="F404" s="45" t="s">
        <v>641</v>
      </c>
      <c r="G404" s="45" t="s">
        <v>1899</v>
      </c>
      <c r="H404" s="45" t="s">
        <v>643</v>
      </c>
      <c r="I404" s="45" t="s">
        <v>442</v>
      </c>
      <c r="J404" s="45" t="s">
        <v>656</v>
      </c>
      <c r="K404" s="45" t="s">
        <v>14</v>
      </c>
      <c r="L404" s="97">
        <v>6239.24</v>
      </c>
      <c r="M404" s="97">
        <v>5886.08</v>
      </c>
      <c r="N404" s="97">
        <v>353.16</v>
      </c>
      <c r="O404" s="45" t="s">
        <v>2317</v>
      </c>
      <c r="P404" s="29"/>
      <c r="Q404" s="27"/>
      <c r="T404" s="29"/>
      <c r="U404" s="32"/>
      <c r="V404" s="91"/>
      <c r="X404" s="29"/>
      <c r="Y404" s="27"/>
      <c r="Z404" s="30"/>
      <c r="AD404" s="29"/>
    </row>
    <row r="405" hidden="1" customHeight="1" spans="1:30">
      <c r="A405" s="45" t="s">
        <v>637</v>
      </c>
      <c r="B405" s="96">
        <v>45107</v>
      </c>
      <c r="C405" s="45" t="s">
        <v>700</v>
      </c>
      <c r="D405" s="45" t="s">
        <v>2134</v>
      </c>
      <c r="E405" s="45" t="s">
        <v>640</v>
      </c>
      <c r="F405" s="45" t="s">
        <v>641</v>
      </c>
      <c r="G405" s="45" t="s">
        <v>1899</v>
      </c>
      <c r="H405" s="45" t="s">
        <v>697</v>
      </c>
      <c r="I405" s="45" t="s">
        <v>442</v>
      </c>
      <c r="J405" s="45" t="s">
        <v>656</v>
      </c>
      <c r="K405" s="45" t="s">
        <v>14</v>
      </c>
      <c r="L405" s="97">
        <v>10137.1</v>
      </c>
      <c r="M405" s="97">
        <v>9563.3</v>
      </c>
      <c r="N405" s="97">
        <v>573.8</v>
      </c>
      <c r="O405" s="45" t="s">
        <v>2318</v>
      </c>
      <c r="P405" s="29"/>
      <c r="Q405" s="27"/>
      <c r="T405" s="29"/>
      <c r="U405" s="32"/>
      <c r="V405" s="91"/>
      <c r="X405" s="29"/>
      <c r="Y405" s="27"/>
      <c r="Z405" s="30"/>
      <c r="AD405" s="29"/>
    </row>
    <row r="406" hidden="1" customHeight="1" spans="1:30">
      <c r="A406" s="45" t="s">
        <v>637</v>
      </c>
      <c r="B406" s="96">
        <v>45107</v>
      </c>
      <c r="C406" s="45" t="s">
        <v>700</v>
      </c>
      <c r="D406" s="45" t="s">
        <v>1902</v>
      </c>
      <c r="E406" s="45" t="s">
        <v>640</v>
      </c>
      <c r="F406" s="45" t="s">
        <v>641</v>
      </c>
      <c r="G406" s="44" t="s">
        <v>1901</v>
      </c>
      <c r="H406" s="45" t="s">
        <v>650</v>
      </c>
      <c r="I406" s="45" t="s">
        <v>442</v>
      </c>
      <c r="J406" s="45" t="s">
        <v>656</v>
      </c>
      <c r="K406" s="45" t="s">
        <v>14</v>
      </c>
      <c r="L406" s="97">
        <v>7184.22</v>
      </c>
      <c r="M406" s="97">
        <v>6777.57</v>
      </c>
      <c r="N406" s="97">
        <v>406.65</v>
      </c>
      <c r="O406" s="45" t="s">
        <v>2319</v>
      </c>
      <c r="P406" s="29"/>
      <c r="Q406" s="27"/>
      <c r="T406" s="29"/>
      <c r="U406" s="32"/>
      <c r="V406" s="91"/>
      <c r="X406" s="29"/>
      <c r="Y406" s="27"/>
      <c r="Z406" s="30"/>
      <c r="AD406" s="29"/>
    </row>
    <row r="407" hidden="1" customHeight="1" spans="1:30">
      <c r="A407" s="45" t="s">
        <v>637</v>
      </c>
      <c r="B407" s="96">
        <v>45107</v>
      </c>
      <c r="C407" s="45" t="s">
        <v>700</v>
      </c>
      <c r="D407" s="45" t="s">
        <v>1902</v>
      </c>
      <c r="E407" s="45" t="s">
        <v>1898</v>
      </c>
      <c r="F407" s="45" t="s">
        <v>641</v>
      </c>
      <c r="G407" s="45" t="s">
        <v>1899</v>
      </c>
      <c r="H407" s="45" t="s">
        <v>643</v>
      </c>
      <c r="I407" s="45" t="s">
        <v>442</v>
      </c>
      <c r="J407" s="45" t="s">
        <v>656</v>
      </c>
      <c r="K407" s="45" t="s">
        <v>14</v>
      </c>
      <c r="L407" s="97">
        <v>80563.77</v>
      </c>
      <c r="M407" s="97">
        <v>76003.56</v>
      </c>
      <c r="N407" s="97">
        <v>4560.21</v>
      </c>
      <c r="O407" s="45" t="s">
        <v>2320</v>
      </c>
      <c r="P407" s="29"/>
      <c r="Q407" s="27"/>
      <c r="T407" s="29"/>
      <c r="U407" s="32"/>
      <c r="V407" s="91"/>
      <c r="X407" s="29"/>
      <c r="Y407" s="27"/>
      <c r="Z407" s="30"/>
      <c r="AD407" s="29"/>
    </row>
    <row r="408" hidden="1" customHeight="1" spans="1:30">
      <c r="A408" s="45" t="s">
        <v>637</v>
      </c>
      <c r="B408" s="96">
        <v>45107</v>
      </c>
      <c r="C408" s="45" t="s">
        <v>1273</v>
      </c>
      <c r="D408" s="45" t="s">
        <v>653</v>
      </c>
      <c r="E408" s="45" t="s">
        <v>640</v>
      </c>
      <c r="F408" s="45" t="s">
        <v>641</v>
      </c>
      <c r="G408" s="45" t="s">
        <v>1899</v>
      </c>
      <c r="H408" s="45" t="s">
        <v>650</v>
      </c>
      <c r="I408" s="45" t="s">
        <v>1944</v>
      </c>
      <c r="J408" s="45" t="s">
        <v>656</v>
      </c>
      <c r="K408" s="45" t="s">
        <v>166</v>
      </c>
      <c r="L408" s="97">
        <v>40289.54</v>
      </c>
      <c r="M408" s="97">
        <v>38009</v>
      </c>
      <c r="N408" s="97">
        <v>2280.54</v>
      </c>
      <c r="O408" s="45" t="s">
        <v>2321</v>
      </c>
      <c r="P408" s="29"/>
      <c r="Q408" s="27"/>
      <c r="T408" s="29"/>
      <c r="U408" s="32"/>
      <c r="V408" s="91"/>
      <c r="X408" s="29"/>
      <c r="Y408" s="27"/>
      <c r="Z408" s="30"/>
      <c r="AD408" s="29"/>
    </row>
    <row r="409" hidden="1" customHeight="1" spans="1:30">
      <c r="A409" s="45" t="s">
        <v>637</v>
      </c>
      <c r="B409" s="96">
        <v>45107</v>
      </c>
      <c r="C409" s="45" t="s">
        <v>1273</v>
      </c>
      <c r="D409" s="45" t="s">
        <v>653</v>
      </c>
      <c r="E409" s="45" t="s">
        <v>640</v>
      </c>
      <c r="F409" s="45" t="s">
        <v>641</v>
      </c>
      <c r="G409" s="45" t="s">
        <v>1899</v>
      </c>
      <c r="H409" s="45" t="s">
        <v>650</v>
      </c>
      <c r="I409" s="45" t="s">
        <v>1946</v>
      </c>
      <c r="J409" s="45" t="s">
        <v>656</v>
      </c>
      <c r="K409" s="45" t="s">
        <v>166</v>
      </c>
      <c r="L409" s="97">
        <v>4985.52</v>
      </c>
      <c r="M409" s="97">
        <v>4703.32</v>
      </c>
      <c r="N409" s="97">
        <v>282.2</v>
      </c>
      <c r="O409" s="45" t="s">
        <v>2322</v>
      </c>
      <c r="P409" s="29"/>
      <c r="Q409" s="27"/>
      <c r="T409" s="29"/>
      <c r="U409" s="32"/>
      <c r="V409" s="91"/>
      <c r="X409" s="29"/>
      <c r="Y409" s="27"/>
      <c r="Z409" s="30"/>
      <c r="AD409" s="29"/>
    </row>
    <row r="410" hidden="1" customHeight="1" spans="1:34">
      <c r="A410" s="39" t="s">
        <v>2323</v>
      </c>
      <c r="B410" s="99">
        <v>45107</v>
      </c>
      <c r="C410" s="93" t="s">
        <v>811</v>
      </c>
      <c r="D410" s="93"/>
      <c r="E410" s="93"/>
      <c r="F410" s="93"/>
      <c r="G410" s="71" t="s">
        <v>1899</v>
      </c>
      <c r="H410" s="93"/>
      <c r="I410" s="39" t="s">
        <v>433</v>
      </c>
      <c r="J410" s="42" t="s">
        <v>656</v>
      </c>
      <c r="K410" s="39" t="s">
        <v>166</v>
      </c>
      <c r="L410" s="90">
        <v>-1665920.46</v>
      </c>
      <c r="M410" s="90">
        <v>-1571623.07</v>
      </c>
      <c r="N410" s="90">
        <f t="shared" ref="N410:N422" si="8">L410-M410</f>
        <v>-94297.3899999999</v>
      </c>
      <c r="O410" s="27"/>
      <c r="P410" s="30"/>
      <c r="Q410" s="30"/>
      <c r="R410" s="31"/>
      <c r="S410" s="31"/>
      <c r="T410" s="31"/>
      <c r="X410" s="29"/>
      <c r="Y410" s="29"/>
      <c r="AB410" s="32"/>
      <c r="AD410" s="33"/>
      <c r="AF410" s="30"/>
      <c r="AG410" s="29"/>
      <c r="AH410" s="29"/>
    </row>
    <row r="411" hidden="1" customHeight="1" spans="1:34">
      <c r="A411" s="39" t="s">
        <v>2323</v>
      </c>
      <c r="B411" s="99">
        <v>45107</v>
      </c>
      <c r="C411" s="93" t="s">
        <v>811</v>
      </c>
      <c r="D411" s="93"/>
      <c r="E411" s="93"/>
      <c r="F411" s="93"/>
      <c r="G411" s="41" t="s">
        <v>1901</v>
      </c>
      <c r="H411" s="93"/>
      <c r="I411" s="39" t="s">
        <v>433</v>
      </c>
      <c r="J411" s="42" t="s">
        <v>656</v>
      </c>
      <c r="K411" s="39" t="s">
        <v>166</v>
      </c>
      <c r="L411" s="90">
        <v>325402.4</v>
      </c>
      <c r="M411" s="90">
        <v>306983.36</v>
      </c>
      <c r="N411" s="90">
        <f t="shared" si="8"/>
        <v>18419.04</v>
      </c>
      <c r="P411" s="30"/>
      <c r="Q411" s="30"/>
      <c r="R411" s="31"/>
      <c r="S411" s="31"/>
      <c r="T411" s="31"/>
      <c r="X411" s="29"/>
      <c r="Y411" s="29"/>
      <c r="AB411" s="32"/>
      <c r="AD411" s="33"/>
      <c r="AF411" s="30"/>
      <c r="AG411" s="29"/>
      <c r="AH411" s="29"/>
    </row>
    <row r="412" hidden="1" customHeight="1" spans="1:34">
      <c r="A412" s="39" t="s">
        <v>2323</v>
      </c>
      <c r="B412" s="99">
        <v>45107</v>
      </c>
      <c r="C412" s="93" t="s">
        <v>811</v>
      </c>
      <c r="D412" s="93"/>
      <c r="E412" s="93"/>
      <c r="F412" s="93"/>
      <c r="G412" s="71" t="s">
        <v>1899</v>
      </c>
      <c r="H412" s="93"/>
      <c r="I412" s="39" t="s">
        <v>435</v>
      </c>
      <c r="J412" s="42" t="s">
        <v>656</v>
      </c>
      <c r="K412" s="39" t="s">
        <v>166</v>
      </c>
      <c r="L412" s="90">
        <v>23716.82</v>
      </c>
      <c r="M412" s="90">
        <v>22374.35</v>
      </c>
      <c r="N412" s="90">
        <f t="shared" si="8"/>
        <v>1342.47</v>
      </c>
      <c r="O412" s="27"/>
      <c r="P412" s="30"/>
      <c r="Q412" s="30"/>
      <c r="R412" s="31"/>
      <c r="S412" s="31"/>
      <c r="T412" s="31"/>
      <c r="X412" s="29"/>
      <c r="Y412" s="29"/>
      <c r="AB412" s="32"/>
      <c r="AD412" s="33"/>
      <c r="AF412" s="30"/>
      <c r="AG412" s="29"/>
      <c r="AH412" s="29"/>
    </row>
    <row r="413" hidden="1" customHeight="1" spans="1:34">
      <c r="A413" s="39" t="s">
        <v>2323</v>
      </c>
      <c r="B413" s="99">
        <v>45107</v>
      </c>
      <c r="C413" s="93" t="s">
        <v>811</v>
      </c>
      <c r="D413" s="93"/>
      <c r="E413" s="93"/>
      <c r="F413" s="93"/>
      <c r="G413" s="41" t="s">
        <v>1901</v>
      </c>
      <c r="H413" s="93"/>
      <c r="I413" s="39" t="s">
        <v>435</v>
      </c>
      <c r="J413" s="42" t="s">
        <v>656</v>
      </c>
      <c r="K413" s="39" t="s">
        <v>166</v>
      </c>
      <c r="L413" s="90">
        <v>19444.8</v>
      </c>
      <c r="M413" s="90">
        <v>18344.17</v>
      </c>
      <c r="N413" s="90">
        <f t="shared" si="8"/>
        <v>1100.63</v>
      </c>
      <c r="P413" s="30"/>
      <c r="Q413" s="30"/>
      <c r="R413" s="31"/>
      <c r="S413" s="31"/>
      <c r="T413" s="31"/>
      <c r="X413" s="29"/>
      <c r="Y413" s="29"/>
      <c r="AB413" s="32"/>
      <c r="AD413" s="33"/>
      <c r="AF413" s="30"/>
      <c r="AG413" s="29"/>
      <c r="AH413" s="29"/>
    </row>
    <row r="414" hidden="1" customHeight="1" spans="1:34">
      <c r="A414" s="39" t="s">
        <v>1085</v>
      </c>
      <c r="B414" s="99">
        <v>45107</v>
      </c>
      <c r="C414" s="93" t="s">
        <v>646</v>
      </c>
      <c r="D414" s="93"/>
      <c r="E414" s="93"/>
      <c r="F414" s="93"/>
      <c r="G414" s="41" t="s">
        <v>1901</v>
      </c>
      <c r="H414" s="93"/>
      <c r="I414" s="39" t="s">
        <v>1999</v>
      </c>
      <c r="J414" s="42" t="s">
        <v>656</v>
      </c>
      <c r="K414" s="39" t="s">
        <v>14</v>
      </c>
      <c r="L414" s="90">
        <v>-5033.97</v>
      </c>
      <c r="M414" s="90">
        <v>-4749.03</v>
      </c>
      <c r="N414" s="90">
        <f t="shared" si="8"/>
        <v>-284.940000000001</v>
      </c>
      <c r="P414" s="30"/>
      <c r="Q414" s="30"/>
      <c r="R414" s="31"/>
      <c r="S414" s="31"/>
      <c r="T414" s="31"/>
      <c r="X414" s="29"/>
      <c r="Y414" s="29"/>
      <c r="AB414" s="32"/>
      <c r="AD414" s="33"/>
      <c r="AF414" s="30"/>
      <c r="AG414" s="29"/>
      <c r="AH414" s="29"/>
    </row>
    <row r="415" hidden="1" customHeight="1" spans="1:34">
      <c r="A415" s="39" t="s">
        <v>1085</v>
      </c>
      <c r="B415" s="99">
        <v>45107</v>
      </c>
      <c r="C415" s="93" t="s">
        <v>715</v>
      </c>
      <c r="D415" s="93"/>
      <c r="E415" s="93"/>
      <c r="F415" s="93"/>
      <c r="G415" s="71" t="s">
        <v>1899</v>
      </c>
      <c r="H415" s="93"/>
      <c r="I415" s="39" t="s">
        <v>1929</v>
      </c>
      <c r="J415" s="42" t="s">
        <v>656</v>
      </c>
      <c r="K415" s="39" t="s">
        <v>14</v>
      </c>
      <c r="L415" s="90">
        <v>1683684.71</v>
      </c>
      <c r="M415" s="90">
        <v>1588381.8</v>
      </c>
      <c r="N415" s="90">
        <f t="shared" si="8"/>
        <v>95302.9099999999</v>
      </c>
      <c r="O415" s="27"/>
      <c r="P415" s="30"/>
      <c r="Q415" s="30"/>
      <c r="R415" s="31"/>
      <c r="S415" s="31"/>
      <c r="T415" s="31"/>
      <c r="X415" s="29"/>
      <c r="Y415" s="29"/>
      <c r="AB415" s="32"/>
      <c r="AD415" s="33"/>
      <c r="AF415" s="30"/>
      <c r="AG415" s="29"/>
      <c r="AH415" s="29"/>
    </row>
    <row r="416" hidden="1" customHeight="1" spans="1:34">
      <c r="A416" s="39" t="s">
        <v>1085</v>
      </c>
      <c r="B416" s="99">
        <v>45107</v>
      </c>
      <c r="C416" s="93" t="s">
        <v>730</v>
      </c>
      <c r="D416" s="93"/>
      <c r="E416" s="93"/>
      <c r="F416" s="93"/>
      <c r="G416" s="71" t="s">
        <v>1899</v>
      </c>
      <c r="H416" s="93"/>
      <c r="I416" s="39" t="s">
        <v>473</v>
      </c>
      <c r="J416" s="42" t="s">
        <v>656</v>
      </c>
      <c r="K416" s="39" t="s">
        <v>14</v>
      </c>
      <c r="L416" s="90">
        <v>381397.12</v>
      </c>
      <c r="M416" s="90">
        <v>359808.6</v>
      </c>
      <c r="N416" s="90">
        <f t="shared" si="8"/>
        <v>21588.52</v>
      </c>
      <c r="O416" s="27"/>
      <c r="P416" s="30"/>
      <c r="Q416" s="30"/>
      <c r="R416" s="31"/>
      <c r="S416" s="31"/>
      <c r="T416" s="31"/>
      <c r="X416" s="29"/>
      <c r="Y416" s="29"/>
      <c r="AB416" s="32"/>
      <c r="AD416" s="33"/>
      <c r="AF416" s="30"/>
      <c r="AG416" s="29"/>
      <c r="AH416" s="29"/>
    </row>
    <row r="417" hidden="1" customHeight="1" spans="1:34">
      <c r="A417" s="39" t="s">
        <v>1085</v>
      </c>
      <c r="B417" s="99">
        <v>45107</v>
      </c>
      <c r="C417" s="93" t="s">
        <v>748</v>
      </c>
      <c r="D417" s="93"/>
      <c r="E417" s="93"/>
      <c r="F417" s="93"/>
      <c r="G417" s="71" t="s">
        <v>1899</v>
      </c>
      <c r="H417" s="93"/>
      <c r="I417" s="39" t="s">
        <v>128</v>
      </c>
      <c r="J417" s="42" t="s">
        <v>656</v>
      </c>
      <c r="K417" s="39" t="s">
        <v>14</v>
      </c>
      <c r="L417" s="90">
        <v>-69.5</v>
      </c>
      <c r="M417" s="90">
        <v>-65.57</v>
      </c>
      <c r="N417" s="90">
        <f t="shared" si="8"/>
        <v>-3.93000000000001</v>
      </c>
      <c r="O417" s="27"/>
      <c r="P417" s="30"/>
      <c r="Q417" s="30"/>
      <c r="R417" s="31"/>
      <c r="S417" s="31"/>
      <c r="T417" s="31"/>
      <c r="X417" s="29"/>
      <c r="Y417" s="29"/>
      <c r="AB417" s="32"/>
      <c r="AD417" s="33"/>
      <c r="AF417" s="30"/>
      <c r="AG417" s="29"/>
      <c r="AH417" s="29"/>
    </row>
    <row r="418" hidden="1" customHeight="1" spans="1:34">
      <c r="A418" s="39" t="s">
        <v>1085</v>
      </c>
      <c r="B418" s="99">
        <v>45107</v>
      </c>
      <c r="C418" s="93" t="s">
        <v>811</v>
      </c>
      <c r="D418" s="93"/>
      <c r="E418" s="93"/>
      <c r="F418" s="93"/>
      <c r="G418" s="71" t="s">
        <v>1899</v>
      </c>
      <c r="H418" s="93"/>
      <c r="I418" s="39" t="s">
        <v>433</v>
      </c>
      <c r="J418" s="42" t="s">
        <v>656</v>
      </c>
      <c r="K418" s="39" t="s">
        <v>166</v>
      </c>
      <c r="L418" s="90">
        <v>-39144.81</v>
      </c>
      <c r="M418" s="90">
        <v>-36929.07</v>
      </c>
      <c r="N418" s="90">
        <f t="shared" si="8"/>
        <v>-2215.74</v>
      </c>
      <c r="O418" s="27"/>
      <c r="P418" s="30"/>
      <c r="Q418" s="30"/>
      <c r="R418" s="31"/>
      <c r="S418" s="31"/>
      <c r="T418" s="31"/>
      <c r="X418" s="29"/>
      <c r="Y418" s="29"/>
      <c r="AB418" s="32"/>
      <c r="AD418" s="33"/>
      <c r="AF418" s="30"/>
      <c r="AG418" s="29"/>
      <c r="AH418" s="29"/>
    </row>
    <row r="419" hidden="1" customHeight="1" spans="1:34">
      <c r="A419" s="39" t="s">
        <v>1085</v>
      </c>
      <c r="B419" s="99">
        <v>45107</v>
      </c>
      <c r="C419" s="93" t="s">
        <v>811</v>
      </c>
      <c r="D419" s="93"/>
      <c r="E419" s="93"/>
      <c r="F419" s="93"/>
      <c r="G419" s="41" t="s">
        <v>1901</v>
      </c>
      <c r="H419" s="93"/>
      <c r="I419" s="39" t="s">
        <v>433</v>
      </c>
      <c r="J419" s="42" t="s">
        <v>656</v>
      </c>
      <c r="K419" s="39" t="s">
        <v>166</v>
      </c>
      <c r="L419" s="90">
        <v>1389.01</v>
      </c>
      <c r="M419" s="90">
        <v>1310.39</v>
      </c>
      <c r="N419" s="90">
        <f t="shared" si="8"/>
        <v>78.6199999999999</v>
      </c>
      <c r="P419" s="30"/>
      <c r="Q419" s="30"/>
      <c r="R419" s="31"/>
      <c r="S419" s="31"/>
      <c r="T419" s="31"/>
      <c r="X419" s="29"/>
      <c r="Y419" s="29"/>
      <c r="AB419" s="32"/>
      <c r="AD419" s="33"/>
      <c r="AF419" s="30"/>
      <c r="AG419" s="29"/>
      <c r="AH419" s="29"/>
    </row>
    <row r="420" customHeight="1" spans="1:34">
      <c r="A420" s="39" t="s">
        <v>1085</v>
      </c>
      <c r="B420" s="99">
        <v>45107</v>
      </c>
      <c r="C420" s="93" t="s">
        <v>811</v>
      </c>
      <c r="D420" s="93"/>
      <c r="E420" s="93"/>
      <c r="F420" s="93"/>
      <c r="G420" s="71" t="s">
        <v>1899</v>
      </c>
      <c r="H420" s="93"/>
      <c r="I420" s="39" t="s">
        <v>435</v>
      </c>
      <c r="J420" s="42" t="s">
        <v>656</v>
      </c>
      <c r="K420" s="39" t="s">
        <v>166</v>
      </c>
      <c r="L420" s="90">
        <v>-41048.55</v>
      </c>
      <c r="M420" s="90">
        <v>-38725.05</v>
      </c>
      <c r="N420" s="90">
        <f t="shared" si="8"/>
        <v>-2323.5</v>
      </c>
      <c r="O420" s="27"/>
      <c r="P420" s="30"/>
      <c r="Q420" s="30"/>
      <c r="R420" s="31"/>
      <c r="S420" s="31"/>
      <c r="T420" s="31"/>
      <c r="X420" s="29"/>
      <c r="Y420" s="29"/>
      <c r="AB420" s="32"/>
      <c r="AD420" s="33"/>
      <c r="AF420" s="30"/>
      <c r="AG420" s="29"/>
      <c r="AH420" s="29"/>
    </row>
    <row r="421" customHeight="1" spans="1:34">
      <c r="A421" s="39" t="s">
        <v>1085</v>
      </c>
      <c r="B421" s="99">
        <v>45107</v>
      </c>
      <c r="C421" s="93" t="s">
        <v>811</v>
      </c>
      <c r="D421" s="93"/>
      <c r="E421" s="93"/>
      <c r="F421" s="93"/>
      <c r="G421" s="71" t="s">
        <v>1899</v>
      </c>
      <c r="H421" s="93"/>
      <c r="I421" s="39" t="s">
        <v>435</v>
      </c>
      <c r="J421" s="42" t="s">
        <v>656</v>
      </c>
      <c r="K421" s="39" t="s">
        <v>14</v>
      </c>
      <c r="L421" s="90">
        <v>129409.42</v>
      </c>
      <c r="M421" s="90">
        <v>122084.36</v>
      </c>
      <c r="N421" s="90">
        <f t="shared" si="8"/>
        <v>7325.06</v>
      </c>
      <c r="O421" s="27"/>
      <c r="P421" s="30"/>
      <c r="Q421" s="30"/>
      <c r="R421" s="31"/>
      <c r="S421" s="31"/>
      <c r="T421" s="31"/>
      <c r="X421" s="29"/>
      <c r="Y421" s="29"/>
      <c r="AB421" s="32"/>
      <c r="AD421" s="33"/>
      <c r="AF421" s="30"/>
      <c r="AG421" s="29"/>
      <c r="AH421" s="29"/>
    </row>
    <row r="422" hidden="1" customHeight="1" spans="1:34">
      <c r="A422" s="39" t="s">
        <v>1085</v>
      </c>
      <c r="B422" s="99">
        <v>45107</v>
      </c>
      <c r="C422" s="93" t="s">
        <v>811</v>
      </c>
      <c r="D422" s="93"/>
      <c r="E422" s="93"/>
      <c r="F422" s="93"/>
      <c r="G422" s="41" t="s">
        <v>1901</v>
      </c>
      <c r="H422" s="93"/>
      <c r="I422" s="39" t="s">
        <v>435</v>
      </c>
      <c r="J422" s="42" t="s">
        <v>656</v>
      </c>
      <c r="K422" s="39" t="s">
        <v>14</v>
      </c>
      <c r="L422" s="90">
        <v>91121.48</v>
      </c>
      <c r="M422" s="90">
        <v>85963.66</v>
      </c>
      <c r="N422" s="90">
        <f t="shared" si="8"/>
        <v>5157.81999999999</v>
      </c>
      <c r="P422" s="30"/>
      <c r="Q422" s="30"/>
      <c r="R422" s="31"/>
      <c r="S422" s="31"/>
      <c r="T422" s="31"/>
      <c r="X422" s="29"/>
      <c r="Y422" s="29"/>
      <c r="AB422" s="32"/>
      <c r="AD422" s="33"/>
      <c r="AF422" s="30"/>
      <c r="AG422" s="29"/>
      <c r="AH422" s="29"/>
    </row>
    <row r="423" hidden="1" customHeight="1" spans="1:30">
      <c r="A423" s="37" t="s">
        <v>637</v>
      </c>
      <c r="B423" s="38">
        <v>45138</v>
      </c>
      <c r="C423" s="37" t="s">
        <v>646</v>
      </c>
      <c r="D423" s="37" t="s">
        <v>1296</v>
      </c>
      <c r="E423" s="37" t="s">
        <v>640</v>
      </c>
      <c r="F423" s="37" t="s">
        <v>641</v>
      </c>
      <c r="G423" s="37" t="s">
        <v>1899</v>
      </c>
      <c r="H423" s="37" t="s">
        <v>650</v>
      </c>
      <c r="I423" s="37" t="s">
        <v>1934</v>
      </c>
      <c r="J423" s="37" t="s">
        <v>656</v>
      </c>
      <c r="K423" s="37" t="s">
        <v>13</v>
      </c>
      <c r="L423" s="47">
        <v>31800</v>
      </c>
      <c r="M423" s="47">
        <v>30000</v>
      </c>
      <c r="N423" s="47">
        <v>1800</v>
      </c>
      <c r="O423" s="37" t="s">
        <v>2324</v>
      </c>
      <c r="W423" s="33"/>
      <c r="X423" s="33"/>
      <c r="AB423" s="27"/>
      <c r="AD423" s="29"/>
    </row>
    <row r="424" hidden="1" customHeight="1" spans="1:30">
      <c r="A424" s="37" t="s">
        <v>637</v>
      </c>
      <c r="B424" s="38">
        <v>45138</v>
      </c>
      <c r="C424" s="37" t="s">
        <v>646</v>
      </c>
      <c r="D424" s="37" t="s">
        <v>1296</v>
      </c>
      <c r="E424" s="37" t="s">
        <v>640</v>
      </c>
      <c r="F424" s="37" t="s">
        <v>641</v>
      </c>
      <c r="G424" s="37" t="s">
        <v>1899</v>
      </c>
      <c r="H424" s="37" t="s">
        <v>643</v>
      </c>
      <c r="I424" s="37" t="s">
        <v>1982</v>
      </c>
      <c r="J424" s="37" t="s">
        <v>644</v>
      </c>
      <c r="K424" s="37" t="s">
        <v>14</v>
      </c>
      <c r="L424" s="47">
        <v>-7868.73</v>
      </c>
      <c r="M424" s="47">
        <v>-7423.33</v>
      </c>
      <c r="N424" s="47">
        <v>-445.4</v>
      </c>
      <c r="O424" s="37" t="s">
        <v>2325</v>
      </c>
      <c r="W424" s="33"/>
      <c r="X424" s="33"/>
      <c r="AB424" s="27"/>
      <c r="AD424" s="29"/>
    </row>
    <row r="425" hidden="1" customHeight="1" spans="1:30">
      <c r="A425" s="37" t="s">
        <v>637</v>
      </c>
      <c r="B425" s="38">
        <v>45138</v>
      </c>
      <c r="C425" s="37" t="s">
        <v>646</v>
      </c>
      <c r="D425" s="37" t="s">
        <v>1296</v>
      </c>
      <c r="E425" s="37" t="s">
        <v>640</v>
      </c>
      <c r="F425" s="37" t="s">
        <v>641</v>
      </c>
      <c r="G425" s="37" t="s">
        <v>1899</v>
      </c>
      <c r="H425" s="37" t="s">
        <v>650</v>
      </c>
      <c r="I425" s="37" t="s">
        <v>2028</v>
      </c>
      <c r="J425" s="37" t="s">
        <v>656</v>
      </c>
      <c r="K425" s="37" t="s">
        <v>13</v>
      </c>
      <c r="L425" s="47">
        <v>14055.6</v>
      </c>
      <c r="M425" s="47">
        <v>13260</v>
      </c>
      <c r="N425" s="47">
        <v>795.6</v>
      </c>
      <c r="O425" s="37" t="s">
        <v>2326</v>
      </c>
      <c r="W425" s="33"/>
      <c r="X425" s="33"/>
      <c r="AB425" s="27"/>
      <c r="AD425" s="29"/>
    </row>
    <row r="426" hidden="1" customHeight="1" spans="1:30">
      <c r="A426" s="37" t="s">
        <v>637</v>
      </c>
      <c r="B426" s="38">
        <v>45138</v>
      </c>
      <c r="C426" s="37" t="s">
        <v>646</v>
      </c>
      <c r="D426" s="37" t="s">
        <v>2134</v>
      </c>
      <c r="E426" s="37" t="s">
        <v>640</v>
      </c>
      <c r="F426" s="37" t="s">
        <v>641</v>
      </c>
      <c r="G426" s="37" t="s">
        <v>1899</v>
      </c>
      <c r="H426" s="37" t="s">
        <v>643</v>
      </c>
      <c r="I426" s="37" t="s">
        <v>1906</v>
      </c>
      <c r="J426" s="37" t="s">
        <v>656</v>
      </c>
      <c r="K426" s="37" t="s">
        <v>14</v>
      </c>
      <c r="L426" s="47">
        <v>4940.6</v>
      </c>
      <c r="M426" s="47">
        <v>4660.94</v>
      </c>
      <c r="N426" s="47">
        <v>279.66</v>
      </c>
      <c r="O426" s="37" t="s">
        <v>2327</v>
      </c>
      <c r="P426" s="29"/>
      <c r="Q426" s="27"/>
      <c r="T426" s="29"/>
      <c r="U426" s="32"/>
      <c r="V426" s="91"/>
      <c r="X426" s="29"/>
      <c r="Y426" s="27"/>
      <c r="Z426" s="30"/>
      <c r="AD426" s="29"/>
    </row>
    <row r="427" hidden="1" customHeight="1" spans="1:30">
      <c r="A427" s="37" t="s">
        <v>637</v>
      </c>
      <c r="B427" s="38">
        <v>45138</v>
      </c>
      <c r="C427" s="37" t="s">
        <v>646</v>
      </c>
      <c r="D427" s="37" t="s">
        <v>2134</v>
      </c>
      <c r="E427" s="37" t="s">
        <v>640</v>
      </c>
      <c r="F427" s="37" t="s">
        <v>641</v>
      </c>
      <c r="G427" s="37" t="s">
        <v>1899</v>
      </c>
      <c r="H427" s="37" t="s">
        <v>643</v>
      </c>
      <c r="I427" s="37" t="s">
        <v>466</v>
      </c>
      <c r="J427" s="37" t="s">
        <v>656</v>
      </c>
      <c r="K427" s="37" t="s">
        <v>14</v>
      </c>
      <c r="L427" s="47">
        <v>14174.07</v>
      </c>
      <c r="M427" s="47">
        <v>13371.76</v>
      </c>
      <c r="N427" s="47">
        <v>802.31</v>
      </c>
      <c r="O427" s="37" t="s">
        <v>2328</v>
      </c>
      <c r="P427" s="29"/>
      <c r="Q427" s="27"/>
      <c r="T427" s="29"/>
      <c r="U427" s="32"/>
      <c r="V427" s="91"/>
      <c r="X427" s="29"/>
      <c r="Y427" s="27"/>
      <c r="Z427" s="30"/>
      <c r="AD427" s="29"/>
    </row>
    <row r="428" hidden="1" customHeight="1" spans="1:30">
      <c r="A428" s="37" t="s">
        <v>637</v>
      </c>
      <c r="B428" s="38">
        <v>45138</v>
      </c>
      <c r="C428" s="37" t="s">
        <v>646</v>
      </c>
      <c r="D428" s="37" t="s">
        <v>726</v>
      </c>
      <c r="E428" s="37" t="s">
        <v>640</v>
      </c>
      <c r="F428" s="37" t="s">
        <v>641</v>
      </c>
      <c r="G428" s="37" t="s">
        <v>1899</v>
      </c>
      <c r="H428" s="37" t="s">
        <v>650</v>
      </c>
      <c r="I428" s="37" t="s">
        <v>1938</v>
      </c>
      <c r="J428" s="37" t="s">
        <v>656</v>
      </c>
      <c r="K428" s="37" t="s">
        <v>14</v>
      </c>
      <c r="L428" s="47">
        <v>39239</v>
      </c>
      <c r="M428" s="47">
        <v>37017.92</v>
      </c>
      <c r="N428" s="47">
        <v>2221.08</v>
      </c>
      <c r="O428" s="37" t="s">
        <v>2329</v>
      </c>
      <c r="P428" s="29"/>
      <c r="Q428" s="27"/>
      <c r="T428" s="29"/>
      <c r="U428" s="32"/>
      <c r="V428" s="91"/>
      <c r="X428" s="29"/>
      <c r="Y428" s="27"/>
      <c r="Z428" s="30"/>
      <c r="AD428" s="29"/>
    </row>
    <row r="429" hidden="1" customHeight="1" spans="1:30">
      <c r="A429" s="37" t="s">
        <v>637</v>
      </c>
      <c r="B429" s="38">
        <v>45138</v>
      </c>
      <c r="C429" s="37" t="s">
        <v>646</v>
      </c>
      <c r="D429" s="37" t="s">
        <v>653</v>
      </c>
      <c r="E429" s="37" t="s">
        <v>640</v>
      </c>
      <c r="F429" s="37" t="s">
        <v>641</v>
      </c>
      <c r="G429" s="37" t="s">
        <v>1899</v>
      </c>
      <c r="H429" s="37" t="s">
        <v>650</v>
      </c>
      <c r="I429" s="37" t="s">
        <v>730</v>
      </c>
      <c r="J429" s="37" t="s">
        <v>656</v>
      </c>
      <c r="K429" s="37" t="s">
        <v>166</v>
      </c>
      <c r="L429" s="47">
        <v>2174.45</v>
      </c>
      <c r="M429" s="47">
        <v>2051.37</v>
      </c>
      <c r="N429" s="47">
        <v>123.08</v>
      </c>
      <c r="O429" s="37" t="s">
        <v>2330</v>
      </c>
      <c r="P429" s="29"/>
      <c r="Q429" s="27"/>
      <c r="T429" s="29"/>
      <c r="U429" s="32"/>
      <c r="V429" s="91"/>
      <c r="X429" s="29"/>
      <c r="Y429" s="27"/>
      <c r="Z429" s="30"/>
      <c r="AD429" s="29"/>
    </row>
    <row r="430" hidden="1" customHeight="1" spans="1:30">
      <c r="A430" s="37" t="s">
        <v>637</v>
      </c>
      <c r="B430" s="38">
        <v>45138</v>
      </c>
      <c r="C430" s="37" t="s">
        <v>646</v>
      </c>
      <c r="D430" s="37" t="s">
        <v>2134</v>
      </c>
      <c r="E430" s="37" t="s">
        <v>640</v>
      </c>
      <c r="F430" s="37" t="s">
        <v>641</v>
      </c>
      <c r="G430" s="37" t="s">
        <v>1899</v>
      </c>
      <c r="H430" s="37" t="s">
        <v>643</v>
      </c>
      <c r="I430" s="37" t="s">
        <v>1989</v>
      </c>
      <c r="J430" s="37" t="s">
        <v>656</v>
      </c>
      <c r="K430" s="37" t="s">
        <v>14</v>
      </c>
      <c r="L430" s="47">
        <v>172.25</v>
      </c>
      <c r="M430" s="47">
        <v>162.5</v>
      </c>
      <c r="N430" s="47">
        <v>9.75</v>
      </c>
      <c r="O430" s="37" t="s">
        <v>2331</v>
      </c>
      <c r="P430" s="29"/>
      <c r="Q430" s="27"/>
      <c r="T430" s="29"/>
      <c r="U430" s="32"/>
      <c r="V430" s="91"/>
      <c r="X430" s="29"/>
      <c r="Y430" s="27"/>
      <c r="Z430" s="30"/>
      <c r="AD430" s="29"/>
    </row>
    <row r="431" hidden="1" customHeight="1" spans="1:30">
      <c r="A431" s="37" t="s">
        <v>637</v>
      </c>
      <c r="B431" s="38">
        <v>45138</v>
      </c>
      <c r="C431" s="37" t="s">
        <v>646</v>
      </c>
      <c r="D431" s="37" t="s">
        <v>1296</v>
      </c>
      <c r="E431" s="37" t="s">
        <v>640</v>
      </c>
      <c r="F431" s="37" t="s">
        <v>641</v>
      </c>
      <c r="G431" s="37" t="s">
        <v>1899</v>
      </c>
      <c r="H431" s="37" t="s">
        <v>650</v>
      </c>
      <c r="I431" s="37" t="s">
        <v>2037</v>
      </c>
      <c r="J431" s="37" t="s">
        <v>644</v>
      </c>
      <c r="K431" s="37" t="s">
        <v>20</v>
      </c>
      <c r="L431" s="47">
        <v>510000</v>
      </c>
      <c r="M431" s="47">
        <v>481132.08</v>
      </c>
      <c r="N431" s="47">
        <v>28867.92</v>
      </c>
      <c r="O431" s="37" t="s">
        <v>2332</v>
      </c>
      <c r="P431" s="29"/>
      <c r="Q431" s="27"/>
      <c r="T431" s="29"/>
      <c r="U431" s="32"/>
      <c r="V431" s="91"/>
      <c r="X431" s="29"/>
      <c r="Y431" s="27"/>
      <c r="Z431" s="30"/>
      <c r="AD431" s="29"/>
    </row>
    <row r="432" hidden="1" customHeight="1" spans="1:30">
      <c r="A432" s="37" t="s">
        <v>637</v>
      </c>
      <c r="B432" s="38">
        <v>45138</v>
      </c>
      <c r="C432" s="37" t="s">
        <v>646</v>
      </c>
      <c r="D432" s="37" t="s">
        <v>1296</v>
      </c>
      <c r="E432" s="37" t="s">
        <v>640</v>
      </c>
      <c r="F432" s="37" t="s">
        <v>641</v>
      </c>
      <c r="G432" s="37" t="s">
        <v>1899</v>
      </c>
      <c r="H432" s="37" t="s">
        <v>643</v>
      </c>
      <c r="I432" s="37" t="s">
        <v>1993</v>
      </c>
      <c r="J432" s="37" t="s">
        <v>644</v>
      </c>
      <c r="K432" s="37" t="s">
        <v>14</v>
      </c>
      <c r="L432" s="47">
        <v>76530.83</v>
      </c>
      <c r="M432" s="47">
        <v>72198.9</v>
      </c>
      <c r="N432" s="47">
        <v>4331.93</v>
      </c>
      <c r="O432" s="37" t="s">
        <v>2333</v>
      </c>
      <c r="P432" s="29"/>
      <c r="Q432" s="27"/>
      <c r="T432" s="29"/>
      <c r="U432" s="32"/>
      <c r="V432" s="91"/>
      <c r="X432" s="29"/>
      <c r="Y432" s="27"/>
      <c r="Z432" s="30"/>
      <c r="AD432" s="29"/>
    </row>
    <row r="433" hidden="1" customHeight="1" spans="1:30">
      <c r="A433" s="37" t="s">
        <v>637</v>
      </c>
      <c r="B433" s="38">
        <v>45138</v>
      </c>
      <c r="C433" s="37" t="s">
        <v>646</v>
      </c>
      <c r="D433" s="37" t="s">
        <v>1284</v>
      </c>
      <c r="E433" s="37" t="s">
        <v>640</v>
      </c>
      <c r="F433" s="37" t="s">
        <v>641</v>
      </c>
      <c r="G433" s="37" t="s">
        <v>1899</v>
      </c>
      <c r="H433" s="37" t="s">
        <v>643</v>
      </c>
      <c r="I433" s="37" t="s">
        <v>466</v>
      </c>
      <c r="J433" s="37" t="s">
        <v>656</v>
      </c>
      <c r="K433" s="37" t="s">
        <v>14</v>
      </c>
      <c r="L433" s="47">
        <v>-20000</v>
      </c>
      <c r="M433" s="47">
        <v>-18867.92</v>
      </c>
      <c r="N433" s="47">
        <v>-1132.08</v>
      </c>
      <c r="O433" s="37" t="s">
        <v>2334</v>
      </c>
      <c r="P433" s="29"/>
      <c r="Q433" s="27"/>
      <c r="T433" s="29"/>
      <c r="U433" s="32"/>
      <c r="V433" s="91"/>
      <c r="X433" s="29"/>
      <c r="Y433" s="27"/>
      <c r="Z433" s="30"/>
      <c r="AD433" s="29"/>
    </row>
    <row r="434" hidden="1" customHeight="1" spans="1:30">
      <c r="A434" s="37" t="s">
        <v>637</v>
      </c>
      <c r="B434" s="38">
        <v>45138</v>
      </c>
      <c r="C434" s="37" t="s">
        <v>646</v>
      </c>
      <c r="D434" s="37" t="s">
        <v>1296</v>
      </c>
      <c r="E434" s="37" t="s">
        <v>640</v>
      </c>
      <c r="F434" s="37" t="s">
        <v>641</v>
      </c>
      <c r="G434" s="37" t="s">
        <v>1899</v>
      </c>
      <c r="H434" s="37" t="s">
        <v>650</v>
      </c>
      <c r="I434" s="37" t="s">
        <v>461</v>
      </c>
      <c r="J434" s="37" t="s">
        <v>644</v>
      </c>
      <c r="K434" s="37" t="s">
        <v>14</v>
      </c>
      <c r="L434" s="47">
        <v>11515.18</v>
      </c>
      <c r="M434" s="47">
        <v>10863.38</v>
      </c>
      <c r="N434" s="47">
        <v>651.8</v>
      </c>
      <c r="O434" s="37" t="s">
        <v>2335</v>
      </c>
      <c r="P434" s="29"/>
      <c r="Q434" s="27"/>
      <c r="T434" s="29"/>
      <c r="U434" s="32"/>
      <c r="V434" s="91"/>
      <c r="X434" s="29"/>
      <c r="Y434" s="27"/>
      <c r="Z434" s="30"/>
      <c r="AD434" s="29"/>
    </row>
    <row r="435" hidden="1" customHeight="1" spans="1:30">
      <c r="A435" s="37" t="s">
        <v>637</v>
      </c>
      <c r="B435" s="38">
        <v>45138</v>
      </c>
      <c r="C435" s="37" t="s">
        <v>646</v>
      </c>
      <c r="D435" s="37" t="s">
        <v>1296</v>
      </c>
      <c r="E435" s="37" t="s">
        <v>640</v>
      </c>
      <c r="F435" s="37" t="s">
        <v>641</v>
      </c>
      <c r="G435" s="37" t="s">
        <v>1899</v>
      </c>
      <c r="H435" s="37" t="s">
        <v>643</v>
      </c>
      <c r="I435" s="37" t="s">
        <v>1982</v>
      </c>
      <c r="J435" s="37" t="s">
        <v>644</v>
      </c>
      <c r="K435" s="37" t="s">
        <v>14</v>
      </c>
      <c r="L435" s="47">
        <v>264479.53</v>
      </c>
      <c r="M435" s="47">
        <v>249508.99</v>
      </c>
      <c r="N435" s="47">
        <v>14970.54</v>
      </c>
      <c r="O435" s="37" t="s">
        <v>2336</v>
      </c>
      <c r="P435" s="29"/>
      <c r="Q435" s="27"/>
      <c r="T435" s="29"/>
      <c r="U435" s="32"/>
      <c r="V435" s="91"/>
      <c r="X435" s="29"/>
      <c r="Y435" s="27"/>
      <c r="Z435" s="30"/>
      <c r="AD435" s="29"/>
    </row>
    <row r="436" hidden="1" customHeight="1" spans="1:30">
      <c r="A436" s="37" t="s">
        <v>637</v>
      </c>
      <c r="B436" s="38">
        <v>45138</v>
      </c>
      <c r="C436" s="37" t="s">
        <v>646</v>
      </c>
      <c r="D436" s="37" t="s">
        <v>653</v>
      </c>
      <c r="E436" s="37" t="s">
        <v>640</v>
      </c>
      <c r="F436" s="37" t="s">
        <v>641</v>
      </c>
      <c r="G436" s="37" t="s">
        <v>1901</v>
      </c>
      <c r="H436" s="37" t="s">
        <v>650</v>
      </c>
      <c r="I436" s="37" t="s">
        <v>1949</v>
      </c>
      <c r="J436" s="37" t="s">
        <v>656</v>
      </c>
      <c r="K436" s="37" t="s">
        <v>166</v>
      </c>
      <c r="L436" s="47">
        <v>2174.45</v>
      </c>
      <c r="M436" s="47">
        <v>2051.37</v>
      </c>
      <c r="N436" s="47">
        <v>123.08</v>
      </c>
      <c r="O436" s="37" t="s">
        <v>2337</v>
      </c>
      <c r="P436" s="29"/>
      <c r="Q436" s="27"/>
      <c r="T436" s="29"/>
      <c r="U436" s="32"/>
      <c r="V436" s="91"/>
      <c r="X436" s="29"/>
      <c r="Y436" s="27"/>
      <c r="Z436" s="30"/>
      <c r="AD436" s="29"/>
    </row>
    <row r="437" hidden="1" customHeight="1" spans="1:30">
      <c r="A437" s="37" t="s">
        <v>637</v>
      </c>
      <c r="B437" s="38">
        <v>45138</v>
      </c>
      <c r="C437" s="37" t="s">
        <v>646</v>
      </c>
      <c r="D437" s="37" t="s">
        <v>1902</v>
      </c>
      <c r="E437" s="37" t="s">
        <v>1898</v>
      </c>
      <c r="F437" s="37" t="s">
        <v>641</v>
      </c>
      <c r="G437" s="37" t="s">
        <v>1899</v>
      </c>
      <c r="H437" s="37" t="s">
        <v>643</v>
      </c>
      <c r="I437" s="37" t="s">
        <v>466</v>
      </c>
      <c r="J437" s="37" t="s">
        <v>656</v>
      </c>
      <c r="K437" s="37" t="s">
        <v>14</v>
      </c>
      <c r="L437" s="47">
        <v>669.36</v>
      </c>
      <c r="M437" s="47">
        <v>631.47</v>
      </c>
      <c r="N437" s="47">
        <v>37.89</v>
      </c>
      <c r="O437" s="37" t="s">
        <v>2338</v>
      </c>
      <c r="P437" s="29"/>
      <c r="Q437" s="27"/>
      <c r="T437" s="29"/>
      <c r="U437" s="32"/>
      <c r="V437" s="91"/>
      <c r="X437" s="29"/>
      <c r="Y437" s="27"/>
      <c r="Z437" s="30"/>
      <c r="AD437" s="29"/>
    </row>
    <row r="438" hidden="1" customHeight="1" spans="1:30">
      <c r="A438" s="37" t="s">
        <v>637</v>
      </c>
      <c r="B438" s="38">
        <v>45138</v>
      </c>
      <c r="C438" s="37" t="s">
        <v>646</v>
      </c>
      <c r="D438" s="37" t="s">
        <v>1902</v>
      </c>
      <c r="E438" s="37" t="s">
        <v>1898</v>
      </c>
      <c r="F438" s="37" t="s">
        <v>641</v>
      </c>
      <c r="G438" s="37" t="s">
        <v>1899</v>
      </c>
      <c r="H438" s="37" t="s">
        <v>650</v>
      </c>
      <c r="I438" s="37" t="s">
        <v>779</v>
      </c>
      <c r="J438" s="37" t="s">
        <v>644</v>
      </c>
      <c r="K438" s="37" t="s">
        <v>14</v>
      </c>
      <c r="L438" s="47">
        <v>20000</v>
      </c>
      <c r="M438" s="47">
        <v>18867.92</v>
      </c>
      <c r="N438" s="47">
        <v>1132.08</v>
      </c>
      <c r="O438" s="37" t="s">
        <v>2339</v>
      </c>
      <c r="P438" s="29"/>
      <c r="Q438" s="27"/>
      <c r="T438" s="29"/>
      <c r="U438" s="32"/>
      <c r="V438" s="91"/>
      <c r="X438" s="29"/>
      <c r="Y438" s="27"/>
      <c r="Z438" s="30"/>
      <c r="AD438" s="29"/>
    </row>
    <row r="439" hidden="1" customHeight="1" spans="1:30">
      <c r="A439" s="37" t="s">
        <v>637</v>
      </c>
      <c r="B439" s="38">
        <v>45138</v>
      </c>
      <c r="C439" s="37" t="s">
        <v>646</v>
      </c>
      <c r="D439" s="37" t="s">
        <v>1902</v>
      </c>
      <c r="E439" s="37" t="s">
        <v>1898</v>
      </c>
      <c r="F439" s="37" t="s">
        <v>641</v>
      </c>
      <c r="G439" s="37" t="s">
        <v>1899</v>
      </c>
      <c r="H439" s="37" t="s">
        <v>650</v>
      </c>
      <c r="I439" s="37" t="s">
        <v>436</v>
      </c>
      <c r="J439" s="37" t="s">
        <v>644</v>
      </c>
      <c r="K439" s="37" t="s">
        <v>350</v>
      </c>
      <c r="L439" s="47">
        <v>7603.24</v>
      </c>
      <c r="M439" s="47">
        <v>7172.87</v>
      </c>
      <c r="N439" s="47">
        <v>430.37</v>
      </c>
      <c r="O439" s="37" t="s">
        <v>2340</v>
      </c>
      <c r="P439" s="29"/>
      <c r="Q439" s="27"/>
      <c r="T439" s="29"/>
      <c r="U439" s="32"/>
      <c r="V439" s="91"/>
      <c r="X439" s="29"/>
      <c r="Y439" s="27"/>
      <c r="Z439" s="30"/>
      <c r="AD439" s="29"/>
    </row>
    <row r="440" hidden="1" customHeight="1" spans="1:30">
      <c r="A440" s="37" t="s">
        <v>637</v>
      </c>
      <c r="B440" s="38">
        <v>45138</v>
      </c>
      <c r="C440" s="37" t="s">
        <v>646</v>
      </c>
      <c r="D440" s="37" t="s">
        <v>726</v>
      </c>
      <c r="E440" s="37" t="s">
        <v>1898</v>
      </c>
      <c r="F440" s="37" t="s">
        <v>641</v>
      </c>
      <c r="G440" s="37" t="s">
        <v>1899</v>
      </c>
      <c r="H440" s="37" t="s">
        <v>650</v>
      </c>
      <c r="I440" s="37" t="s">
        <v>461</v>
      </c>
      <c r="J440" s="37" t="s">
        <v>656</v>
      </c>
      <c r="K440" s="37" t="s">
        <v>14</v>
      </c>
      <c r="L440" s="47">
        <v>13526.71</v>
      </c>
      <c r="M440" s="47">
        <v>12761.05</v>
      </c>
      <c r="N440" s="47">
        <v>765.66</v>
      </c>
      <c r="O440" s="37" t="s">
        <v>2341</v>
      </c>
      <c r="P440" s="29"/>
      <c r="Q440" s="27"/>
      <c r="T440" s="29"/>
      <c r="U440" s="32"/>
      <c r="V440" s="91"/>
      <c r="X440" s="29"/>
      <c r="Y440" s="27"/>
      <c r="Z440" s="30"/>
      <c r="AD440" s="29"/>
    </row>
    <row r="441" hidden="1" customHeight="1" spans="1:30">
      <c r="A441" s="37" t="s">
        <v>637</v>
      </c>
      <c r="B441" s="38">
        <v>45138</v>
      </c>
      <c r="C441" s="37" t="s">
        <v>646</v>
      </c>
      <c r="D441" s="37" t="s">
        <v>1902</v>
      </c>
      <c r="E441" s="37" t="s">
        <v>1898</v>
      </c>
      <c r="F441" s="37" t="s">
        <v>641</v>
      </c>
      <c r="G441" s="37" t="s">
        <v>1899</v>
      </c>
      <c r="H441" s="37" t="s">
        <v>643</v>
      </c>
      <c r="I441" s="37" t="s">
        <v>466</v>
      </c>
      <c r="J441" s="37" t="s">
        <v>656</v>
      </c>
      <c r="K441" s="37" t="s">
        <v>14</v>
      </c>
      <c r="L441" s="47">
        <v>18760.44</v>
      </c>
      <c r="M441" s="47">
        <v>17698.53</v>
      </c>
      <c r="N441" s="47">
        <v>1061.91</v>
      </c>
      <c r="O441" s="37" t="s">
        <v>2342</v>
      </c>
      <c r="P441" s="29"/>
      <c r="Q441" s="27"/>
      <c r="T441" s="29"/>
      <c r="U441" s="32"/>
      <c r="V441" s="91"/>
      <c r="X441" s="29"/>
      <c r="Y441" s="27"/>
      <c r="Z441" s="30"/>
      <c r="AD441" s="29"/>
    </row>
    <row r="442" hidden="1" customHeight="1" spans="1:30">
      <c r="A442" s="37" t="s">
        <v>637</v>
      </c>
      <c r="B442" s="38">
        <v>45138</v>
      </c>
      <c r="C442" s="37" t="s">
        <v>646</v>
      </c>
      <c r="D442" s="37" t="s">
        <v>726</v>
      </c>
      <c r="E442" s="37" t="s">
        <v>1898</v>
      </c>
      <c r="F442" s="37" t="s">
        <v>641</v>
      </c>
      <c r="G442" s="37" t="s">
        <v>1899</v>
      </c>
      <c r="H442" s="37" t="s">
        <v>697</v>
      </c>
      <c r="I442" s="37" t="s">
        <v>1908</v>
      </c>
      <c r="J442" s="37" t="s">
        <v>656</v>
      </c>
      <c r="K442" s="37" t="s">
        <v>350</v>
      </c>
      <c r="L442" s="47">
        <v>6693.16</v>
      </c>
      <c r="M442" s="47">
        <v>6314.3</v>
      </c>
      <c r="N442" s="47">
        <v>378.86</v>
      </c>
      <c r="O442" s="37" t="s">
        <v>2343</v>
      </c>
      <c r="P442" s="29"/>
      <c r="Q442" s="27"/>
      <c r="T442" s="29"/>
      <c r="U442" s="32"/>
      <c r="V442" s="91"/>
      <c r="X442" s="29"/>
      <c r="Y442" s="27"/>
      <c r="Z442" s="30"/>
      <c r="AD442" s="29"/>
    </row>
    <row r="443" hidden="1" customHeight="1" spans="1:30">
      <c r="A443" s="37" t="s">
        <v>637</v>
      </c>
      <c r="B443" s="38">
        <v>45138</v>
      </c>
      <c r="C443" s="37" t="s">
        <v>646</v>
      </c>
      <c r="D443" s="37" t="s">
        <v>726</v>
      </c>
      <c r="E443" s="37" t="s">
        <v>1898</v>
      </c>
      <c r="F443" s="37" t="s">
        <v>641</v>
      </c>
      <c r="G443" s="37" t="s">
        <v>1899</v>
      </c>
      <c r="H443" s="37" t="s">
        <v>643</v>
      </c>
      <c r="I443" s="37" t="s">
        <v>466</v>
      </c>
      <c r="J443" s="37" t="s">
        <v>656</v>
      </c>
      <c r="K443" s="37" t="s">
        <v>14</v>
      </c>
      <c r="L443" s="47">
        <v>219536.84</v>
      </c>
      <c r="M443" s="47">
        <v>207110.23</v>
      </c>
      <c r="N443" s="47">
        <v>12426.61</v>
      </c>
      <c r="O443" s="37" t="s">
        <v>2344</v>
      </c>
      <c r="P443" s="29"/>
      <c r="Q443" s="27"/>
      <c r="T443" s="29"/>
      <c r="U443" s="32"/>
      <c r="V443" s="91"/>
      <c r="X443" s="29"/>
      <c r="Y443" s="27"/>
      <c r="Z443" s="30"/>
      <c r="AD443" s="29"/>
    </row>
    <row r="444" hidden="1" customHeight="1" spans="1:30">
      <c r="A444" s="37" t="s">
        <v>637</v>
      </c>
      <c r="B444" s="38">
        <v>45138</v>
      </c>
      <c r="C444" s="37" t="s">
        <v>646</v>
      </c>
      <c r="D444" s="37" t="s">
        <v>726</v>
      </c>
      <c r="E444" s="37" t="s">
        <v>1898</v>
      </c>
      <c r="F444" s="37" t="s">
        <v>641</v>
      </c>
      <c r="G444" s="37" t="s">
        <v>1899</v>
      </c>
      <c r="H444" s="37" t="s">
        <v>643</v>
      </c>
      <c r="I444" s="37" t="s">
        <v>1906</v>
      </c>
      <c r="J444" s="37" t="s">
        <v>644</v>
      </c>
      <c r="K444" s="37" t="s">
        <v>14</v>
      </c>
      <c r="L444" s="47">
        <v>50872.2</v>
      </c>
      <c r="M444" s="47">
        <v>47992.64</v>
      </c>
      <c r="N444" s="47">
        <v>2879.56</v>
      </c>
      <c r="O444" s="37" t="s">
        <v>2345</v>
      </c>
      <c r="P444" s="29"/>
      <c r="Q444" s="27"/>
      <c r="T444" s="29"/>
      <c r="U444" s="32"/>
      <c r="V444" s="91"/>
      <c r="X444" s="29"/>
      <c r="Y444" s="27"/>
      <c r="Z444" s="30"/>
      <c r="AD444" s="29"/>
    </row>
    <row r="445" hidden="1" customHeight="1" spans="1:30">
      <c r="A445" s="37" t="s">
        <v>637</v>
      </c>
      <c r="B445" s="38">
        <v>45138</v>
      </c>
      <c r="C445" s="37" t="s">
        <v>646</v>
      </c>
      <c r="D445" s="37" t="s">
        <v>1284</v>
      </c>
      <c r="E445" s="37" t="s">
        <v>1898</v>
      </c>
      <c r="F445" s="37" t="s">
        <v>641</v>
      </c>
      <c r="G445" s="37" t="s">
        <v>1899</v>
      </c>
      <c r="H445" s="37" t="s">
        <v>643</v>
      </c>
      <c r="I445" s="37" t="s">
        <v>466</v>
      </c>
      <c r="J445" s="37" t="s">
        <v>656</v>
      </c>
      <c r="K445" s="37" t="s">
        <v>14</v>
      </c>
      <c r="L445" s="47">
        <v>37396.51</v>
      </c>
      <c r="M445" s="47">
        <v>35279.73</v>
      </c>
      <c r="N445" s="47">
        <v>2116.78</v>
      </c>
      <c r="O445" s="37" t="s">
        <v>2346</v>
      </c>
      <c r="P445" s="29"/>
      <c r="Q445" s="27"/>
      <c r="T445" s="29"/>
      <c r="U445" s="32"/>
      <c r="V445" s="91"/>
      <c r="X445" s="29"/>
      <c r="Y445" s="27"/>
      <c r="Z445" s="30"/>
      <c r="AD445" s="29"/>
    </row>
    <row r="446" hidden="1" customHeight="1" spans="1:30">
      <c r="A446" s="37" t="s">
        <v>637</v>
      </c>
      <c r="B446" s="38">
        <v>45138</v>
      </c>
      <c r="C446" s="37" t="s">
        <v>646</v>
      </c>
      <c r="D446" s="37" t="s">
        <v>1284</v>
      </c>
      <c r="E446" s="37" t="s">
        <v>1898</v>
      </c>
      <c r="F446" s="37" t="s">
        <v>641</v>
      </c>
      <c r="G446" s="37" t="s">
        <v>1899</v>
      </c>
      <c r="H446" s="37" t="s">
        <v>650</v>
      </c>
      <c r="I446" s="37" t="s">
        <v>779</v>
      </c>
      <c r="J446" s="37" t="s">
        <v>644</v>
      </c>
      <c r="K446" s="37" t="s">
        <v>14</v>
      </c>
      <c r="L446" s="47">
        <v>20000</v>
      </c>
      <c r="M446" s="47">
        <v>18867.92</v>
      </c>
      <c r="N446" s="47">
        <v>1132.08</v>
      </c>
      <c r="O446" s="37" t="s">
        <v>2347</v>
      </c>
      <c r="P446" s="29"/>
      <c r="Q446" s="27"/>
      <c r="T446" s="29"/>
      <c r="U446" s="32"/>
      <c r="V446" s="91"/>
      <c r="X446" s="29"/>
      <c r="Y446" s="27"/>
      <c r="Z446" s="30"/>
      <c r="AD446" s="29"/>
    </row>
    <row r="447" hidden="1" customHeight="1" spans="1:30">
      <c r="A447" s="37" t="s">
        <v>637</v>
      </c>
      <c r="B447" s="38">
        <v>45138</v>
      </c>
      <c r="C447" s="37" t="s">
        <v>646</v>
      </c>
      <c r="D447" s="37" t="s">
        <v>726</v>
      </c>
      <c r="E447" s="37" t="s">
        <v>1898</v>
      </c>
      <c r="F447" s="37" t="s">
        <v>641</v>
      </c>
      <c r="G447" s="37" t="s">
        <v>1899</v>
      </c>
      <c r="H447" s="37" t="s">
        <v>650</v>
      </c>
      <c r="I447" s="37" t="s">
        <v>779</v>
      </c>
      <c r="J447" s="37" t="s">
        <v>644</v>
      </c>
      <c r="K447" s="37" t="s">
        <v>14</v>
      </c>
      <c r="L447" s="47">
        <v>117000</v>
      </c>
      <c r="M447" s="47">
        <v>110377.36</v>
      </c>
      <c r="N447" s="47">
        <v>6622.64</v>
      </c>
      <c r="O447" s="37" t="s">
        <v>2348</v>
      </c>
      <c r="P447" s="29"/>
      <c r="Q447" s="27"/>
      <c r="T447" s="29"/>
      <c r="U447" s="32"/>
      <c r="V447" s="91"/>
      <c r="X447" s="29"/>
      <c r="Y447" s="27"/>
      <c r="Z447" s="30"/>
      <c r="AD447" s="29"/>
    </row>
    <row r="448" hidden="1" customHeight="1" spans="1:30">
      <c r="A448" s="37" t="s">
        <v>637</v>
      </c>
      <c r="B448" s="38">
        <v>45138</v>
      </c>
      <c r="C448" s="37" t="s">
        <v>700</v>
      </c>
      <c r="D448" s="37" t="s">
        <v>1902</v>
      </c>
      <c r="E448" s="37" t="s">
        <v>640</v>
      </c>
      <c r="F448" s="37" t="s">
        <v>641</v>
      </c>
      <c r="G448" s="37" t="s">
        <v>1901</v>
      </c>
      <c r="H448" s="37" t="s">
        <v>650</v>
      </c>
      <c r="I448" s="37" t="s">
        <v>442</v>
      </c>
      <c r="J448" s="37" t="s">
        <v>656</v>
      </c>
      <c r="K448" s="37" t="s">
        <v>14</v>
      </c>
      <c r="L448" s="47">
        <v>5894.26</v>
      </c>
      <c r="M448" s="47">
        <v>5560.62</v>
      </c>
      <c r="N448" s="47">
        <v>333.64</v>
      </c>
      <c r="O448" s="37" t="s">
        <v>2349</v>
      </c>
      <c r="P448" s="29"/>
      <c r="Q448" s="27"/>
      <c r="T448" s="29"/>
      <c r="U448" s="32"/>
      <c r="V448" s="91"/>
      <c r="X448" s="29"/>
      <c r="Y448" s="27"/>
      <c r="Z448" s="30"/>
      <c r="AD448" s="29"/>
    </row>
    <row r="449" hidden="1" customHeight="1" spans="1:30">
      <c r="A449" s="37" t="s">
        <v>637</v>
      </c>
      <c r="B449" s="38">
        <v>45138</v>
      </c>
      <c r="C449" s="37" t="s">
        <v>700</v>
      </c>
      <c r="D449" s="37" t="s">
        <v>2134</v>
      </c>
      <c r="E449" s="37" t="s">
        <v>640</v>
      </c>
      <c r="F449" s="37" t="s">
        <v>641</v>
      </c>
      <c r="G449" s="37" t="s">
        <v>1899</v>
      </c>
      <c r="H449" s="37" t="s">
        <v>697</v>
      </c>
      <c r="I449" s="37" t="s">
        <v>442</v>
      </c>
      <c r="J449" s="37" t="s">
        <v>656</v>
      </c>
      <c r="K449" s="37" t="s">
        <v>14</v>
      </c>
      <c r="L449" s="47">
        <v>35163.7</v>
      </c>
      <c r="M449" s="47">
        <v>33173.3</v>
      </c>
      <c r="N449" s="47">
        <v>1990.4</v>
      </c>
      <c r="O449" s="37" t="s">
        <v>2350</v>
      </c>
      <c r="P449" s="29"/>
      <c r="Q449" s="27"/>
      <c r="T449" s="29"/>
      <c r="U449" s="32"/>
      <c r="V449" s="91"/>
      <c r="X449" s="29"/>
      <c r="Y449" s="27"/>
      <c r="Z449" s="30"/>
      <c r="AD449" s="29"/>
    </row>
    <row r="450" hidden="1" customHeight="1" spans="1:30">
      <c r="A450" s="37" t="s">
        <v>637</v>
      </c>
      <c r="B450" s="38">
        <v>45138</v>
      </c>
      <c r="C450" s="37" t="s">
        <v>700</v>
      </c>
      <c r="D450" s="37" t="s">
        <v>1902</v>
      </c>
      <c r="E450" s="37" t="s">
        <v>1898</v>
      </c>
      <c r="F450" s="37" t="s">
        <v>641</v>
      </c>
      <c r="G450" s="37" t="s">
        <v>1899</v>
      </c>
      <c r="H450" s="37" t="s">
        <v>643</v>
      </c>
      <c r="I450" s="37" t="s">
        <v>442</v>
      </c>
      <c r="J450" s="37" t="s">
        <v>656</v>
      </c>
      <c r="K450" s="37" t="s">
        <v>14</v>
      </c>
      <c r="L450" s="47">
        <v>54197.22</v>
      </c>
      <c r="M450" s="47">
        <v>51129.45</v>
      </c>
      <c r="N450" s="47">
        <v>3067.77</v>
      </c>
      <c r="O450" s="37" t="s">
        <v>2351</v>
      </c>
      <c r="P450" s="29"/>
      <c r="Q450" s="27"/>
      <c r="T450" s="29"/>
      <c r="U450" s="32"/>
      <c r="V450" s="91"/>
      <c r="X450" s="29"/>
      <c r="Y450" s="27"/>
      <c r="Z450" s="30"/>
      <c r="AD450" s="29"/>
    </row>
    <row r="451" hidden="1" customHeight="1" spans="1:30">
      <c r="A451" s="37" t="s">
        <v>637</v>
      </c>
      <c r="B451" s="38">
        <v>45138</v>
      </c>
      <c r="C451" s="37" t="s">
        <v>730</v>
      </c>
      <c r="D451" s="37" t="s">
        <v>653</v>
      </c>
      <c r="E451" s="37" t="s">
        <v>640</v>
      </c>
      <c r="F451" s="37" t="s">
        <v>641</v>
      </c>
      <c r="G451" s="37" t="s">
        <v>1901</v>
      </c>
      <c r="H451" s="37" t="s">
        <v>650</v>
      </c>
      <c r="I451" s="37" t="s">
        <v>646</v>
      </c>
      <c r="J451" s="37" t="s">
        <v>656</v>
      </c>
      <c r="K451" s="37" t="s">
        <v>166</v>
      </c>
      <c r="L451" s="47">
        <v>2174.45</v>
      </c>
      <c r="M451" s="47">
        <v>2051.37</v>
      </c>
      <c r="N451" s="47">
        <v>123.08</v>
      </c>
      <c r="O451" s="37" t="s">
        <v>2352</v>
      </c>
      <c r="P451" s="29"/>
      <c r="Q451" s="27"/>
      <c r="T451" s="29"/>
      <c r="U451" s="32"/>
      <c r="V451" s="91"/>
      <c r="X451" s="29"/>
      <c r="Y451" s="27"/>
      <c r="Z451" s="30"/>
      <c r="AD451" s="29"/>
    </row>
    <row r="452" hidden="1" customHeight="1" spans="1:30">
      <c r="A452" s="37" t="s">
        <v>637</v>
      </c>
      <c r="B452" s="38">
        <v>45138</v>
      </c>
      <c r="C452" s="37" t="s">
        <v>2102</v>
      </c>
      <c r="D452" s="37" t="s">
        <v>1296</v>
      </c>
      <c r="E452" s="37" t="s">
        <v>640</v>
      </c>
      <c r="F452" s="37" t="s">
        <v>641</v>
      </c>
      <c r="G452" s="37" t="s">
        <v>1899</v>
      </c>
      <c r="H452" s="37" t="s">
        <v>650</v>
      </c>
      <c r="I452" s="37" t="s">
        <v>486</v>
      </c>
      <c r="J452" s="37" t="s">
        <v>656</v>
      </c>
      <c r="K452" s="37" t="s">
        <v>14</v>
      </c>
      <c r="L452" s="47">
        <v>590677.3</v>
      </c>
      <c r="M452" s="47">
        <v>557242.74</v>
      </c>
      <c r="N452" s="47">
        <v>33434.56</v>
      </c>
      <c r="O452" s="37" t="s">
        <v>2353</v>
      </c>
      <c r="P452" s="29"/>
      <c r="Q452" s="27"/>
      <c r="T452" s="29"/>
      <c r="U452" s="32"/>
      <c r="V452" s="91"/>
      <c r="X452" s="29"/>
      <c r="Y452" s="27"/>
      <c r="Z452" s="30"/>
      <c r="AD452" s="29"/>
    </row>
    <row r="453" hidden="1" customHeight="1" spans="1:30">
      <c r="A453" s="37" t="s">
        <v>637</v>
      </c>
      <c r="B453" s="38">
        <v>45138</v>
      </c>
      <c r="C453" s="37" t="s">
        <v>730</v>
      </c>
      <c r="D453" s="37" t="s">
        <v>653</v>
      </c>
      <c r="E453" s="37" t="s">
        <v>640</v>
      </c>
      <c r="F453" s="37" t="s">
        <v>641</v>
      </c>
      <c r="G453" s="37" t="s">
        <v>1901</v>
      </c>
      <c r="H453" s="37" t="s">
        <v>650</v>
      </c>
      <c r="I453" s="37" t="s">
        <v>1949</v>
      </c>
      <c r="J453" s="37" t="s">
        <v>656</v>
      </c>
      <c r="K453" s="37" t="s">
        <v>166</v>
      </c>
      <c r="L453" s="47">
        <v>17268.03</v>
      </c>
      <c r="M453" s="47">
        <v>16290.59</v>
      </c>
      <c r="N453" s="47">
        <v>977.44</v>
      </c>
      <c r="O453" s="37" t="s">
        <v>2354</v>
      </c>
      <c r="P453" s="29"/>
      <c r="Q453" s="27"/>
      <c r="T453" s="29"/>
      <c r="U453" s="32"/>
      <c r="V453" s="91"/>
      <c r="X453" s="29"/>
      <c r="Y453" s="27"/>
      <c r="Z453" s="30"/>
      <c r="AD453" s="29"/>
    </row>
    <row r="454" hidden="1" customHeight="1" spans="1:30">
      <c r="A454" s="37" t="s">
        <v>637</v>
      </c>
      <c r="B454" s="38">
        <v>45138</v>
      </c>
      <c r="C454" s="37" t="s">
        <v>811</v>
      </c>
      <c r="D454" s="37" t="s">
        <v>653</v>
      </c>
      <c r="E454" s="37" t="s">
        <v>640</v>
      </c>
      <c r="F454" s="37" t="s">
        <v>641</v>
      </c>
      <c r="G454" s="37" t="s">
        <v>1901</v>
      </c>
      <c r="H454" s="37" t="s">
        <v>650</v>
      </c>
      <c r="I454" s="37" t="s">
        <v>435</v>
      </c>
      <c r="J454" s="37" t="s">
        <v>656</v>
      </c>
      <c r="K454" s="37" t="s">
        <v>166</v>
      </c>
      <c r="L454" s="47">
        <v>143115.92</v>
      </c>
      <c r="M454" s="47">
        <v>135015.02</v>
      </c>
      <c r="N454" s="47">
        <v>8100.9</v>
      </c>
      <c r="O454" s="37" t="s">
        <v>2355</v>
      </c>
      <c r="P454" s="29"/>
      <c r="Q454" s="27"/>
      <c r="T454" s="29"/>
      <c r="U454" s="32"/>
      <c r="V454" s="91"/>
      <c r="X454" s="29"/>
      <c r="Y454" s="27"/>
      <c r="Z454" s="30"/>
      <c r="AD454" s="29"/>
    </row>
    <row r="455" hidden="1" customHeight="1" spans="1:30">
      <c r="A455" s="37" t="s">
        <v>637</v>
      </c>
      <c r="B455" s="38">
        <v>45138</v>
      </c>
      <c r="C455" s="37" t="s">
        <v>811</v>
      </c>
      <c r="D455" s="37" t="s">
        <v>653</v>
      </c>
      <c r="E455" s="37" t="s">
        <v>640</v>
      </c>
      <c r="F455" s="37" t="s">
        <v>641</v>
      </c>
      <c r="G455" s="37" t="s">
        <v>1899</v>
      </c>
      <c r="H455" s="37" t="s">
        <v>650</v>
      </c>
      <c r="I455" s="37" t="s">
        <v>433</v>
      </c>
      <c r="J455" s="37" t="s">
        <v>656</v>
      </c>
      <c r="K455" s="37" t="s">
        <v>166</v>
      </c>
      <c r="L455" s="47">
        <v>-6753</v>
      </c>
      <c r="M455" s="47">
        <v>-6370.75</v>
      </c>
      <c r="N455" s="47">
        <v>-382.25</v>
      </c>
      <c r="O455" s="37" t="s">
        <v>2356</v>
      </c>
      <c r="P455" s="29"/>
      <c r="Q455" s="27"/>
      <c r="T455" s="29"/>
      <c r="U455" s="32"/>
      <c r="V455" s="91"/>
      <c r="X455" s="29"/>
      <c r="Y455" s="27"/>
      <c r="Z455" s="30"/>
      <c r="AD455" s="29"/>
    </row>
    <row r="456" hidden="1" customHeight="1" spans="1:30">
      <c r="A456" s="37" t="s">
        <v>637</v>
      </c>
      <c r="B456" s="38">
        <v>45138</v>
      </c>
      <c r="C456" s="37" t="s">
        <v>811</v>
      </c>
      <c r="D456" s="37" t="s">
        <v>653</v>
      </c>
      <c r="E456" s="37" t="s">
        <v>640</v>
      </c>
      <c r="F456" s="37" t="s">
        <v>641</v>
      </c>
      <c r="G456" s="37" t="s">
        <v>1899</v>
      </c>
      <c r="H456" s="37" t="s">
        <v>650</v>
      </c>
      <c r="I456" s="37" t="s">
        <v>433</v>
      </c>
      <c r="J456" s="37" t="s">
        <v>656</v>
      </c>
      <c r="K456" s="37" t="s">
        <v>166</v>
      </c>
      <c r="L456" s="47">
        <v>31730.88</v>
      </c>
      <c r="M456" s="47">
        <v>29934.79</v>
      </c>
      <c r="N456" s="47">
        <v>1796.09</v>
      </c>
      <c r="O456" s="37" t="s">
        <v>2357</v>
      </c>
      <c r="P456" s="29"/>
      <c r="Q456" s="27"/>
      <c r="T456" s="29"/>
      <c r="U456" s="32"/>
      <c r="V456" s="91"/>
      <c r="X456" s="29"/>
      <c r="Y456" s="27"/>
      <c r="Z456" s="30"/>
      <c r="AD456" s="29"/>
    </row>
    <row r="457" hidden="1" customHeight="1" spans="1:30">
      <c r="A457" s="37" t="s">
        <v>637</v>
      </c>
      <c r="B457" s="38">
        <v>45138</v>
      </c>
      <c r="C457" s="37" t="s">
        <v>811</v>
      </c>
      <c r="D457" s="37" t="s">
        <v>653</v>
      </c>
      <c r="E457" s="37" t="s">
        <v>1898</v>
      </c>
      <c r="F457" s="37" t="s">
        <v>641</v>
      </c>
      <c r="G457" s="37" t="s">
        <v>1899</v>
      </c>
      <c r="H457" s="37" t="s">
        <v>650</v>
      </c>
      <c r="I457" s="37" t="s">
        <v>433</v>
      </c>
      <c r="J457" s="37" t="s">
        <v>656</v>
      </c>
      <c r="K457" s="37" t="s">
        <v>166</v>
      </c>
      <c r="L457" s="47">
        <v>1123001.86</v>
      </c>
      <c r="M457" s="47">
        <v>1059435.72</v>
      </c>
      <c r="N457" s="47">
        <v>63566.14</v>
      </c>
      <c r="O457" s="37" t="s">
        <v>2358</v>
      </c>
      <c r="P457" s="29"/>
      <c r="Q457" s="27"/>
      <c r="T457" s="29"/>
      <c r="U457" s="32"/>
      <c r="V457" s="91"/>
      <c r="X457" s="29"/>
      <c r="Y457" s="27"/>
      <c r="Z457" s="30"/>
      <c r="AD457" s="29"/>
    </row>
    <row r="458" hidden="1" customHeight="1" spans="1:30">
      <c r="A458" s="37" t="s">
        <v>637</v>
      </c>
      <c r="B458" s="38">
        <v>45138</v>
      </c>
      <c r="C458" s="37" t="s">
        <v>811</v>
      </c>
      <c r="D458" s="37" t="s">
        <v>653</v>
      </c>
      <c r="E458" s="37" t="s">
        <v>640</v>
      </c>
      <c r="F458" s="37" t="s">
        <v>641</v>
      </c>
      <c r="G458" s="37" t="s">
        <v>1901</v>
      </c>
      <c r="H458" s="37" t="s">
        <v>650</v>
      </c>
      <c r="I458" s="37" t="s">
        <v>433</v>
      </c>
      <c r="J458" s="37" t="s">
        <v>656</v>
      </c>
      <c r="K458" s="37" t="s">
        <v>166</v>
      </c>
      <c r="L458" s="47">
        <v>17519.08</v>
      </c>
      <c r="M458" s="47">
        <v>16527.43</v>
      </c>
      <c r="N458" s="47">
        <v>991.65</v>
      </c>
      <c r="O458" s="37" t="s">
        <v>2359</v>
      </c>
      <c r="P458" s="29"/>
      <c r="Q458" s="27"/>
      <c r="T458" s="29"/>
      <c r="U458" s="32"/>
      <c r="V458" s="91"/>
      <c r="X458" s="29"/>
      <c r="Y458" s="27"/>
      <c r="Z458" s="30"/>
      <c r="AD458" s="29"/>
    </row>
    <row r="459" hidden="1" customHeight="1" spans="1:30">
      <c r="A459" s="37" t="s">
        <v>637</v>
      </c>
      <c r="B459" s="38">
        <v>45138</v>
      </c>
      <c r="C459" s="37" t="s">
        <v>811</v>
      </c>
      <c r="D459" s="37" t="s">
        <v>653</v>
      </c>
      <c r="E459" s="37" t="s">
        <v>1898</v>
      </c>
      <c r="F459" s="37" t="s">
        <v>641</v>
      </c>
      <c r="G459" s="37" t="s">
        <v>1899</v>
      </c>
      <c r="H459" s="37" t="s">
        <v>650</v>
      </c>
      <c r="I459" s="37" t="s">
        <v>435</v>
      </c>
      <c r="J459" s="37" t="s">
        <v>656</v>
      </c>
      <c r="K459" s="37" t="s">
        <v>166</v>
      </c>
      <c r="L459" s="47">
        <v>475273.53</v>
      </c>
      <c r="M459" s="47">
        <v>448371.25</v>
      </c>
      <c r="N459" s="47">
        <v>26902.28</v>
      </c>
      <c r="O459" s="37" t="s">
        <v>2360</v>
      </c>
      <c r="P459" s="29"/>
      <c r="Q459" s="27"/>
      <c r="T459" s="29"/>
      <c r="U459" s="32"/>
      <c r="V459" s="91"/>
      <c r="X459" s="29"/>
      <c r="Y459" s="27"/>
      <c r="Z459" s="30"/>
      <c r="AD459" s="29"/>
    </row>
    <row r="460" hidden="1" customHeight="1" spans="1:30">
      <c r="A460" s="37" t="s">
        <v>637</v>
      </c>
      <c r="B460" s="38">
        <v>45138</v>
      </c>
      <c r="C460" s="37" t="s">
        <v>811</v>
      </c>
      <c r="D460" s="37" t="s">
        <v>653</v>
      </c>
      <c r="E460" s="37" t="s">
        <v>640</v>
      </c>
      <c r="F460" s="37" t="s">
        <v>641</v>
      </c>
      <c r="G460" s="37" t="s">
        <v>1899</v>
      </c>
      <c r="H460" s="37" t="s">
        <v>650</v>
      </c>
      <c r="I460" s="37" t="s">
        <v>435</v>
      </c>
      <c r="J460" s="37" t="s">
        <v>656</v>
      </c>
      <c r="K460" s="37" t="s">
        <v>166</v>
      </c>
      <c r="L460" s="47">
        <v>-442849.05</v>
      </c>
      <c r="M460" s="47">
        <v>-417782.12</v>
      </c>
      <c r="N460" s="47">
        <v>-25066.93</v>
      </c>
      <c r="O460" s="37" t="s">
        <v>2361</v>
      </c>
      <c r="P460" s="29"/>
      <c r="Q460" s="27"/>
      <c r="T460" s="29"/>
      <c r="U460" s="32"/>
      <c r="V460" s="91"/>
      <c r="X460" s="29"/>
      <c r="Y460" s="27"/>
      <c r="Z460" s="30"/>
      <c r="AD460" s="29"/>
    </row>
    <row r="461" hidden="1" customHeight="1" spans="1:30">
      <c r="A461" s="37" t="s">
        <v>637</v>
      </c>
      <c r="B461" s="38">
        <v>45138</v>
      </c>
      <c r="C461" s="37" t="s">
        <v>748</v>
      </c>
      <c r="D461" s="37" t="s">
        <v>1915</v>
      </c>
      <c r="E461" s="37" t="s">
        <v>640</v>
      </c>
      <c r="F461" s="37" t="s">
        <v>641</v>
      </c>
      <c r="G461" s="37" t="s">
        <v>1899</v>
      </c>
      <c r="H461" s="37" t="s">
        <v>650</v>
      </c>
      <c r="I461" s="37" t="s">
        <v>779</v>
      </c>
      <c r="J461" s="37" t="s">
        <v>656</v>
      </c>
      <c r="K461" s="37" t="s">
        <v>14</v>
      </c>
      <c r="L461" s="47">
        <v>8284.86</v>
      </c>
      <c r="M461" s="47">
        <v>7815.91</v>
      </c>
      <c r="N461" s="47">
        <v>468.95</v>
      </c>
      <c r="O461" s="37" t="s">
        <v>2362</v>
      </c>
      <c r="P461" s="29"/>
      <c r="Q461" s="27"/>
      <c r="T461" s="29"/>
      <c r="U461" s="32"/>
      <c r="V461" s="91"/>
      <c r="X461" s="29"/>
      <c r="Y461" s="27"/>
      <c r="Z461" s="30"/>
      <c r="AD461" s="29"/>
    </row>
    <row r="462" hidden="1" customHeight="1" spans="1:30">
      <c r="A462" s="37" t="s">
        <v>637</v>
      </c>
      <c r="B462" s="38">
        <v>45138</v>
      </c>
      <c r="C462" s="37" t="s">
        <v>748</v>
      </c>
      <c r="D462" s="37" t="s">
        <v>653</v>
      </c>
      <c r="E462" s="37" t="s">
        <v>640</v>
      </c>
      <c r="F462" s="37" t="s">
        <v>641</v>
      </c>
      <c r="G462" s="37" t="s">
        <v>1901</v>
      </c>
      <c r="H462" s="37" t="s">
        <v>650</v>
      </c>
      <c r="I462" s="37" t="s">
        <v>463</v>
      </c>
      <c r="J462" s="37" t="s">
        <v>656</v>
      </c>
      <c r="K462" s="37" t="s">
        <v>166</v>
      </c>
      <c r="L462" s="47">
        <v>69045.55</v>
      </c>
      <c r="M462" s="47">
        <v>65137.31</v>
      </c>
      <c r="N462" s="47">
        <v>3908.24</v>
      </c>
      <c r="O462" s="37" t="s">
        <v>2363</v>
      </c>
      <c r="P462" s="29"/>
      <c r="Q462" s="27"/>
      <c r="T462" s="29"/>
      <c r="U462" s="32"/>
      <c r="V462" s="91"/>
      <c r="X462" s="29"/>
      <c r="Y462" s="27"/>
      <c r="Z462" s="30"/>
      <c r="AD462" s="29"/>
    </row>
    <row r="463" hidden="1" customHeight="1" spans="1:30">
      <c r="A463" s="37" t="s">
        <v>637</v>
      </c>
      <c r="B463" s="38">
        <v>45138</v>
      </c>
      <c r="C463" s="37" t="s">
        <v>748</v>
      </c>
      <c r="D463" s="37" t="s">
        <v>653</v>
      </c>
      <c r="E463" s="37" t="s">
        <v>640</v>
      </c>
      <c r="F463" s="37" t="s">
        <v>641</v>
      </c>
      <c r="G463" s="37" t="s">
        <v>1899</v>
      </c>
      <c r="H463" s="37" t="s">
        <v>650</v>
      </c>
      <c r="I463" s="37" t="s">
        <v>1273</v>
      </c>
      <c r="J463" s="37" t="s">
        <v>656</v>
      </c>
      <c r="K463" s="37" t="s">
        <v>166</v>
      </c>
      <c r="L463" s="47">
        <v>69045.55</v>
      </c>
      <c r="M463" s="47">
        <v>65137.31</v>
      </c>
      <c r="N463" s="47">
        <v>3908.24</v>
      </c>
      <c r="O463" s="37" t="s">
        <v>2364</v>
      </c>
      <c r="P463" s="29"/>
      <c r="Q463" s="27"/>
      <c r="T463" s="29"/>
      <c r="U463" s="32"/>
      <c r="V463" s="91"/>
      <c r="X463" s="29"/>
      <c r="Y463" s="27"/>
      <c r="Z463" s="30"/>
      <c r="AD463" s="29"/>
    </row>
    <row r="464" hidden="1" customHeight="1" spans="1:30">
      <c r="A464" s="37" t="s">
        <v>637</v>
      </c>
      <c r="B464" s="38">
        <v>45138</v>
      </c>
      <c r="C464" s="37" t="s">
        <v>748</v>
      </c>
      <c r="D464" s="37" t="s">
        <v>1284</v>
      </c>
      <c r="E464" s="37" t="s">
        <v>640</v>
      </c>
      <c r="F464" s="37" t="s">
        <v>641</v>
      </c>
      <c r="G464" s="37" t="s">
        <v>1901</v>
      </c>
      <c r="H464" s="37" t="s">
        <v>643</v>
      </c>
      <c r="I464" s="37" t="s">
        <v>444</v>
      </c>
      <c r="J464" s="37" t="s">
        <v>656</v>
      </c>
      <c r="K464" s="37" t="s">
        <v>14</v>
      </c>
      <c r="L464" s="47">
        <v>1170.46</v>
      </c>
      <c r="M464" s="47">
        <v>1104.21</v>
      </c>
      <c r="N464" s="47">
        <v>66.25</v>
      </c>
      <c r="O464" s="37" t="s">
        <v>2365</v>
      </c>
      <c r="P464" s="29"/>
      <c r="Q464" s="27"/>
      <c r="T464" s="29"/>
      <c r="U464" s="32"/>
      <c r="V464" s="91"/>
      <c r="X464" s="29"/>
      <c r="Y464" s="27"/>
      <c r="Z464" s="30"/>
      <c r="AD464" s="29"/>
    </row>
    <row r="465" hidden="1" customHeight="1" spans="1:30">
      <c r="A465" s="37" t="s">
        <v>637</v>
      </c>
      <c r="B465" s="38">
        <v>45138</v>
      </c>
      <c r="C465" s="37" t="s">
        <v>748</v>
      </c>
      <c r="D465" s="37" t="s">
        <v>1902</v>
      </c>
      <c r="E465" s="37" t="s">
        <v>640</v>
      </c>
      <c r="F465" s="37" t="s">
        <v>641</v>
      </c>
      <c r="G465" s="37" t="s">
        <v>1901</v>
      </c>
      <c r="H465" s="37" t="s">
        <v>643</v>
      </c>
      <c r="I465" s="37" t="s">
        <v>444</v>
      </c>
      <c r="J465" s="37" t="s">
        <v>656</v>
      </c>
      <c r="K465" s="37" t="s">
        <v>14</v>
      </c>
      <c r="L465" s="47">
        <v>1188.23</v>
      </c>
      <c r="M465" s="47">
        <v>1120.97</v>
      </c>
      <c r="N465" s="47">
        <v>67.26</v>
      </c>
      <c r="O465" s="37" t="s">
        <v>2366</v>
      </c>
      <c r="P465" s="29"/>
      <c r="Q465" s="27"/>
      <c r="T465" s="29"/>
      <c r="U465" s="32"/>
      <c r="V465" s="91"/>
      <c r="X465" s="29"/>
      <c r="Y465" s="27"/>
      <c r="Z465" s="30"/>
      <c r="AD465" s="29"/>
    </row>
    <row r="466" hidden="1" customHeight="1" spans="1:30">
      <c r="A466" s="37" t="s">
        <v>637</v>
      </c>
      <c r="B466" s="38">
        <v>45138</v>
      </c>
      <c r="C466" s="37" t="s">
        <v>748</v>
      </c>
      <c r="D466" s="37" t="s">
        <v>726</v>
      </c>
      <c r="E466" s="37" t="s">
        <v>640</v>
      </c>
      <c r="F466" s="37" t="s">
        <v>641</v>
      </c>
      <c r="G466" s="37" t="s">
        <v>1901</v>
      </c>
      <c r="H466" s="37" t="s">
        <v>643</v>
      </c>
      <c r="I466" s="37" t="s">
        <v>444</v>
      </c>
      <c r="J466" s="37" t="s">
        <v>656</v>
      </c>
      <c r="K466" s="37" t="s">
        <v>14</v>
      </c>
      <c r="L466" s="47">
        <v>16852.34</v>
      </c>
      <c r="M466" s="47">
        <v>15898.43</v>
      </c>
      <c r="N466" s="47">
        <v>953.91</v>
      </c>
      <c r="O466" s="37" t="s">
        <v>2367</v>
      </c>
      <c r="P466" s="29"/>
      <c r="Q466" s="27"/>
      <c r="T466" s="29"/>
      <c r="U466" s="32"/>
      <c r="V466" s="91"/>
      <c r="X466" s="29"/>
      <c r="Y466" s="27"/>
      <c r="Z466" s="30"/>
      <c r="AD466" s="29"/>
    </row>
    <row r="467" hidden="1" customHeight="1" spans="1:30">
      <c r="A467" s="37" t="s">
        <v>637</v>
      </c>
      <c r="B467" s="38">
        <v>45138</v>
      </c>
      <c r="C467" s="37" t="s">
        <v>748</v>
      </c>
      <c r="D467" s="37" t="s">
        <v>1902</v>
      </c>
      <c r="E467" s="37" t="s">
        <v>1898</v>
      </c>
      <c r="F467" s="37" t="s">
        <v>641</v>
      </c>
      <c r="G467" s="37" t="s">
        <v>1899</v>
      </c>
      <c r="H467" s="37" t="s">
        <v>643</v>
      </c>
      <c r="I467" s="37" t="s">
        <v>444</v>
      </c>
      <c r="J467" s="37" t="s">
        <v>656</v>
      </c>
      <c r="K467" s="37" t="s">
        <v>14</v>
      </c>
      <c r="L467" s="47">
        <v>3871.72</v>
      </c>
      <c r="M467" s="47">
        <v>3652.57</v>
      </c>
      <c r="N467" s="47">
        <v>219.15</v>
      </c>
      <c r="O467" s="37" t="s">
        <v>2368</v>
      </c>
      <c r="P467" s="29"/>
      <c r="Q467" s="27"/>
      <c r="T467" s="29"/>
      <c r="U467" s="32"/>
      <c r="V467" s="91"/>
      <c r="X467" s="29"/>
      <c r="Y467" s="27"/>
      <c r="Z467" s="30"/>
      <c r="AD467" s="29"/>
    </row>
    <row r="468" hidden="1" customHeight="1" spans="1:30">
      <c r="A468" s="37" t="s">
        <v>637</v>
      </c>
      <c r="B468" s="38">
        <v>45138</v>
      </c>
      <c r="C468" s="37" t="s">
        <v>748</v>
      </c>
      <c r="D468" s="37" t="s">
        <v>1284</v>
      </c>
      <c r="E468" s="37" t="s">
        <v>1898</v>
      </c>
      <c r="F468" s="37" t="s">
        <v>641</v>
      </c>
      <c r="G468" s="37" t="s">
        <v>1899</v>
      </c>
      <c r="H468" s="37" t="s">
        <v>643</v>
      </c>
      <c r="I468" s="37" t="s">
        <v>444</v>
      </c>
      <c r="J468" s="37" t="s">
        <v>656</v>
      </c>
      <c r="K468" s="37" t="s">
        <v>14</v>
      </c>
      <c r="L468" s="47">
        <v>1938.8</v>
      </c>
      <c r="M468" s="47">
        <v>1829.06</v>
      </c>
      <c r="N468" s="47">
        <v>109.74</v>
      </c>
      <c r="O468" s="37" t="s">
        <v>2369</v>
      </c>
      <c r="P468" s="29"/>
      <c r="Q468" s="27"/>
      <c r="T468" s="29"/>
      <c r="U468" s="32"/>
      <c r="V468" s="91"/>
      <c r="X468" s="29"/>
      <c r="Y468" s="27"/>
      <c r="Z468" s="30"/>
      <c r="AD468" s="29"/>
    </row>
    <row r="469" hidden="1" customHeight="1" spans="1:30">
      <c r="A469" s="37" t="s">
        <v>637</v>
      </c>
      <c r="B469" s="38">
        <v>45138</v>
      </c>
      <c r="C469" s="37" t="s">
        <v>748</v>
      </c>
      <c r="D469" s="37" t="s">
        <v>726</v>
      </c>
      <c r="E469" s="37" t="s">
        <v>1898</v>
      </c>
      <c r="F469" s="37" t="s">
        <v>641</v>
      </c>
      <c r="G469" s="37" t="s">
        <v>1899</v>
      </c>
      <c r="H469" s="37" t="s">
        <v>643</v>
      </c>
      <c r="I469" s="37" t="s">
        <v>444</v>
      </c>
      <c r="J469" s="37" t="s">
        <v>656</v>
      </c>
      <c r="K469" s="37" t="s">
        <v>14</v>
      </c>
      <c r="L469" s="47">
        <v>60871.64</v>
      </c>
      <c r="M469" s="47">
        <v>57426.08</v>
      </c>
      <c r="N469" s="47">
        <v>3445.56</v>
      </c>
      <c r="O469" s="37" t="s">
        <v>2370</v>
      </c>
      <c r="P469" s="29"/>
      <c r="Q469" s="27"/>
      <c r="T469" s="29"/>
      <c r="U469" s="32"/>
      <c r="V469" s="91"/>
      <c r="X469" s="29"/>
      <c r="Y469" s="27"/>
      <c r="Z469" s="30"/>
      <c r="AD469" s="29"/>
    </row>
    <row r="470" hidden="1" customHeight="1" spans="1:30">
      <c r="A470" s="37" t="s">
        <v>637</v>
      </c>
      <c r="B470" s="38">
        <v>45138</v>
      </c>
      <c r="C470" s="37" t="s">
        <v>748</v>
      </c>
      <c r="D470" s="37" t="s">
        <v>726</v>
      </c>
      <c r="E470" s="37" t="s">
        <v>1898</v>
      </c>
      <c r="F470" s="37" t="s">
        <v>641</v>
      </c>
      <c r="G470" s="37" t="s">
        <v>1899</v>
      </c>
      <c r="H470" s="37" t="s">
        <v>643</v>
      </c>
      <c r="I470" s="37" t="s">
        <v>1910</v>
      </c>
      <c r="J470" s="37" t="s">
        <v>644</v>
      </c>
      <c r="K470" s="37" t="s">
        <v>350</v>
      </c>
      <c r="L470" s="47">
        <v>285.02</v>
      </c>
      <c r="M470" s="47">
        <v>268.89</v>
      </c>
      <c r="N470" s="47">
        <v>16.13</v>
      </c>
      <c r="O470" s="37" t="s">
        <v>2371</v>
      </c>
      <c r="P470" s="29"/>
      <c r="Q470" s="27"/>
      <c r="T470" s="29"/>
      <c r="U470" s="32"/>
      <c r="V470" s="91"/>
      <c r="X470" s="29"/>
      <c r="Y470" s="27"/>
      <c r="Z470" s="30"/>
      <c r="AD470" s="29"/>
    </row>
    <row r="471" hidden="1" customHeight="1" spans="1:30">
      <c r="A471" s="37" t="s">
        <v>637</v>
      </c>
      <c r="B471" s="38">
        <v>45138</v>
      </c>
      <c r="C471" s="37" t="s">
        <v>1273</v>
      </c>
      <c r="D471" s="37" t="s">
        <v>653</v>
      </c>
      <c r="E471" s="37" t="s">
        <v>640</v>
      </c>
      <c r="F471" s="37" t="s">
        <v>641</v>
      </c>
      <c r="G471" s="37" t="s">
        <v>1901</v>
      </c>
      <c r="H471" s="37" t="s">
        <v>650</v>
      </c>
      <c r="I471" s="37" t="s">
        <v>748</v>
      </c>
      <c r="J471" s="37" t="s">
        <v>656</v>
      </c>
      <c r="K471" s="37" t="s">
        <v>166</v>
      </c>
      <c r="L471" s="47">
        <v>69045.55</v>
      </c>
      <c r="M471" s="47">
        <v>65137.31</v>
      </c>
      <c r="N471" s="47">
        <v>3908.24</v>
      </c>
      <c r="O471" s="37" t="s">
        <v>2372</v>
      </c>
      <c r="P471" s="29"/>
      <c r="Q471" s="27"/>
      <c r="T471" s="29"/>
      <c r="U471" s="32"/>
      <c r="V471" s="91"/>
      <c r="X471" s="29"/>
      <c r="Y471" s="27"/>
      <c r="Z471" s="30"/>
      <c r="AD471" s="29"/>
    </row>
    <row r="472" hidden="1" customHeight="1" spans="1:30">
      <c r="A472" s="37" t="s">
        <v>637</v>
      </c>
      <c r="B472" s="38">
        <v>45138</v>
      </c>
      <c r="C472" s="37" t="s">
        <v>1273</v>
      </c>
      <c r="D472" s="37" t="s">
        <v>653</v>
      </c>
      <c r="E472" s="37" t="s">
        <v>640</v>
      </c>
      <c r="F472" s="37" t="s">
        <v>641</v>
      </c>
      <c r="G472" s="37" t="s">
        <v>1899</v>
      </c>
      <c r="H472" s="37" t="s">
        <v>650</v>
      </c>
      <c r="I472" s="37" t="s">
        <v>737</v>
      </c>
      <c r="J472" s="37" t="s">
        <v>656</v>
      </c>
      <c r="K472" s="37" t="s">
        <v>166</v>
      </c>
      <c r="L472" s="47">
        <v>264250.38</v>
      </c>
      <c r="M472" s="47">
        <v>249292.81</v>
      </c>
      <c r="N472" s="47">
        <v>14957.57</v>
      </c>
      <c r="O472" s="37" t="s">
        <v>2373</v>
      </c>
      <c r="P472" s="29"/>
      <c r="Q472" s="27"/>
      <c r="T472" s="29"/>
      <c r="U472" s="32"/>
      <c r="V472" s="91"/>
      <c r="X472" s="29"/>
      <c r="Y472" s="27"/>
      <c r="Z472" s="30"/>
      <c r="AD472" s="29"/>
    </row>
    <row r="473" hidden="1" customHeight="1" spans="1:30">
      <c r="A473" s="37" t="s">
        <v>637</v>
      </c>
      <c r="B473" s="38">
        <v>45138</v>
      </c>
      <c r="C473" s="37" t="s">
        <v>1273</v>
      </c>
      <c r="D473" s="37" t="s">
        <v>653</v>
      </c>
      <c r="E473" s="37" t="s">
        <v>640</v>
      </c>
      <c r="F473" s="37" t="s">
        <v>641</v>
      </c>
      <c r="G473" s="37" t="s">
        <v>1899</v>
      </c>
      <c r="H473" s="37" t="s">
        <v>650</v>
      </c>
      <c r="I473" s="37" t="s">
        <v>737</v>
      </c>
      <c r="J473" s="37" t="s">
        <v>656</v>
      </c>
      <c r="K473" s="37" t="s">
        <v>166</v>
      </c>
      <c r="L473" s="47">
        <v>-23132.93</v>
      </c>
      <c r="M473" s="47">
        <v>-21823.52</v>
      </c>
      <c r="N473" s="47">
        <v>-1309.41</v>
      </c>
      <c r="O473" s="37" t="s">
        <v>2374</v>
      </c>
      <c r="P473" s="29"/>
      <c r="Q473" s="27"/>
      <c r="T473" s="29"/>
      <c r="U473" s="32"/>
      <c r="V473" s="91"/>
      <c r="X473" s="29"/>
      <c r="Y473" s="27"/>
      <c r="Z473" s="30"/>
      <c r="AD473" s="29"/>
    </row>
    <row r="474" hidden="1" customHeight="1" spans="1:30">
      <c r="A474" s="37" t="s">
        <v>637</v>
      </c>
      <c r="B474" s="38">
        <v>45138</v>
      </c>
      <c r="C474" s="37" t="s">
        <v>638</v>
      </c>
      <c r="D474" s="37" t="s">
        <v>1915</v>
      </c>
      <c r="E474" s="37" t="s">
        <v>640</v>
      </c>
      <c r="F474" s="37" t="s">
        <v>641</v>
      </c>
      <c r="G474" s="37" t="s">
        <v>1899</v>
      </c>
      <c r="H474" s="37" t="s">
        <v>643</v>
      </c>
      <c r="I474" s="37" t="s">
        <v>430</v>
      </c>
      <c r="J474" s="37" t="s">
        <v>656</v>
      </c>
      <c r="K474" s="37" t="s">
        <v>14</v>
      </c>
      <c r="L474" s="47">
        <v>-307045.37</v>
      </c>
      <c r="M474" s="47">
        <v>-289665.44</v>
      </c>
      <c r="N474" s="47">
        <v>-17379.93</v>
      </c>
      <c r="O474" s="37" t="s">
        <v>2375</v>
      </c>
      <c r="P474" s="29"/>
      <c r="Q474" s="27"/>
      <c r="T474" s="29"/>
      <c r="U474" s="32"/>
      <c r="V474" s="91"/>
      <c r="X474" s="29"/>
      <c r="Y474" s="27"/>
      <c r="Z474" s="30"/>
      <c r="AD474" s="29"/>
    </row>
    <row r="475" hidden="1" customHeight="1" spans="1:30">
      <c r="A475" s="37" t="s">
        <v>637</v>
      </c>
      <c r="B475" s="38">
        <v>45138</v>
      </c>
      <c r="C475" s="37" t="s">
        <v>1273</v>
      </c>
      <c r="D475" s="37" t="s">
        <v>653</v>
      </c>
      <c r="E475" s="37" t="s">
        <v>640</v>
      </c>
      <c r="F475" s="37" t="s">
        <v>641</v>
      </c>
      <c r="G475" s="37" t="s">
        <v>1901</v>
      </c>
      <c r="H475" s="37" t="s">
        <v>650</v>
      </c>
      <c r="I475" s="37" t="s">
        <v>1923</v>
      </c>
      <c r="J475" s="37" t="s">
        <v>656</v>
      </c>
      <c r="K475" s="37" t="s">
        <v>166</v>
      </c>
      <c r="L475" s="47">
        <v>17193.78</v>
      </c>
      <c r="M475" s="47">
        <v>16220.55</v>
      </c>
      <c r="N475" s="47">
        <v>973.23</v>
      </c>
      <c r="O475" s="37" t="s">
        <v>2376</v>
      </c>
      <c r="P475" s="29"/>
      <c r="Q475" s="27"/>
      <c r="T475" s="29"/>
      <c r="U475" s="32"/>
      <c r="V475" s="91"/>
      <c r="X475" s="29"/>
      <c r="Y475" s="27"/>
      <c r="Z475" s="30"/>
      <c r="AD475" s="29"/>
    </row>
    <row r="476" hidden="1" customHeight="1" spans="1:30">
      <c r="A476" s="37" t="s">
        <v>637</v>
      </c>
      <c r="B476" s="38">
        <v>45138</v>
      </c>
      <c r="C476" s="37" t="s">
        <v>646</v>
      </c>
      <c r="D476" s="37" t="s">
        <v>1296</v>
      </c>
      <c r="E476" s="37" t="s">
        <v>640</v>
      </c>
      <c r="F476" s="37" t="s">
        <v>641</v>
      </c>
      <c r="G476" s="37" t="s">
        <v>1899</v>
      </c>
      <c r="H476" s="37" t="s">
        <v>650</v>
      </c>
      <c r="I476" s="37" t="s">
        <v>779</v>
      </c>
      <c r="J476" s="37" t="s">
        <v>656</v>
      </c>
      <c r="K476" s="37" t="s">
        <v>14</v>
      </c>
      <c r="L476" s="47">
        <v>-12439.44</v>
      </c>
      <c r="M476" s="47">
        <v>-11735.32</v>
      </c>
      <c r="N476" s="47">
        <v>-704.12</v>
      </c>
      <c r="O476" s="37" t="s">
        <v>2377</v>
      </c>
      <c r="P476" s="29"/>
      <c r="Q476" s="27"/>
      <c r="T476" s="29"/>
      <c r="U476" s="32"/>
      <c r="V476" s="91"/>
      <c r="X476" s="29"/>
      <c r="Y476" s="27"/>
      <c r="Z476" s="30"/>
      <c r="AD476" s="29"/>
    </row>
    <row r="477" hidden="1" customHeight="1" spans="1:30">
      <c r="A477" s="37" t="s">
        <v>637</v>
      </c>
      <c r="B477" s="38">
        <v>45138</v>
      </c>
      <c r="C477" s="37" t="s">
        <v>646</v>
      </c>
      <c r="D477" s="37" t="s">
        <v>1296</v>
      </c>
      <c r="E477" s="37" t="s">
        <v>640</v>
      </c>
      <c r="F477" s="37" t="s">
        <v>641</v>
      </c>
      <c r="G477" s="37" t="s">
        <v>1899</v>
      </c>
      <c r="H477" s="37" t="s">
        <v>650</v>
      </c>
      <c r="I477" s="37" t="s">
        <v>2028</v>
      </c>
      <c r="J477" s="37" t="s">
        <v>656</v>
      </c>
      <c r="K477" s="37" t="s">
        <v>13</v>
      </c>
      <c r="L477" s="47">
        <v>-1686.67</v>
      </c>
      <c r="M477" s="47">
        <v>-1591.2</v>
      </c>
      <c r="N477" s="47">
        <v>-95.47</v>
      </c>
      <c r="O477" s="37" t="s">
        <v>2378</v>
      </c>
      <c r="P477" s="29"/>
      <c r="Q477" s="27"/>
      <c r="T477" s="29"/>
      <c r="U477" s="32"/>
      <c r="V477" s="91"/>
      <c r="X477" s="29"/>
      <c r="Y477" s="27"/>
      <c r="Z477" s="30"/>
      <c r="AD477" s="29"/>
    </row>
    <row r="478" hidden="1" customHeight="1" spans="1:30">
      <c r="A478" s="37" t="s">
        <v>637</v>
      </c>
      <c r="B478" s="38">
        <v>45138</v>
      </c>
      <c r="C478" s="37" t="s">
        <v>646</v>
      </c>
      <c r="D478" s="37" t="s">
        <v>2134</v>
      </c>
      <c r="E478" s="37" t="s">
        <v>640</v>
      </c>
      <c r="F478" s="37" t="s">
        <v>641</v>
      </c>
      <c r="G478" s="37" t="s">
        <v>1899</v>
      </c>
      <c r="H478" s="37" t="s">
        <v>643</v>
      </c>
      <c r="I478" s="37" t="s">
        <v>1989</v>
      </c>
      <c r="J478" s="37" t="s">
        <v>656</v>
      </c>
      <c r="K478" s="37" t="s">
        <v>14</v>
      </c>
      <c r="L478" s="47">
        <v>-103.4</v>
      </c>
      <c r="M478" s="47">
        <v>-97.55</v>
      </c>
      <c r="N478" s="47">
        <v>-5.85</v>
      </c>
      <c r="O478" s="37" t="s">
        <v>2379</v>
      </c>
      <c r="P478" s="29"/>
      <c r="Q478" s="27"/>
      <c r="T478" s="29"/>
      <c r="U478" s="32"/>
      <c r="V478" s="91"/>
      <c r="X478" s="29"/>
      <c r="Y478" s="27"/>
      <c r="Z478" s="30"/>
      <c r="AD478" s="29"/>
    </row>
    <row r="479" hidden="1" customHeight="1" spans="1:30">
      <c r="A479" s="37" t="s">
        <v>637</v>
      </c>
      <c r="B479" s="38">
        <v>45138</v>
      </c>
      <c r="C479" s="37" t="s">
        <v>646</v>
      </c>
      <c r="D479" s="37" t="s">
        <v>726</v>
      </c>
      <c r="E479" s="37" t="s">
        <v>640</v>
      </c>
      <c r="F479" s="37" t="s">
        <v>641</v>
      </c>
      <c r="G479" s="37" t="s">
        <v>1899</v>
      </c>
      <c r="H479" s="37" t="s">
        <v>697</v>
      </c>
      <c r="I479" s="37" t="s">
        <v>1908</v>
      </c>
      <c r="J479" s="37" t="s">
        <v>644</v>
      </c>
      <c r="K479" s="37" t="s">
        <v>14</v>
      </c>
      <c r="L479" s="47">
        <v>-6335.38</v>
      </c>
      <c r="M479" s="47">
        <v>-5976.77</v>
      </c>
      <c r="N479" s="47">
        <v>-358.61</v>
      </c>
      <c r="O479" s="37" t="s">
        <v>2380</v>
      </c>
      <c r="P479" s="29"/>
      <c r="Q479" s="27"/>
      <c r="T479" s="29"/>
      <c r="U479" s="32"/>
      <c r="V479" s="91"/>
      <c r="X479" s="29"/>
      <c r="Y479" s="27"/>
      <c r="Z479" s="30"/>
      <c r="AD479" s="29"/>
    </row>
    <row r="480" hidden="1" customHeight="1" spans="1:30">
      <c r="A480" s="37" t="s">
        <v>637</v>
      </c>
      <c r="B480" s="38">
        <v>45138</v>
      </c>
      <c r="C480" s="37" t="s">
        <v>646</v>
      </c>
      <c r="D480" s="37" t="s">
        <v>1296</v>
      </c>
      <c r="E480" s="37" t="s">
        <v>640</v>
      </c>
      <c r="F480" s="37" t="s">
        <v>641</v>
      </c>
      <c r="G480" s="37" t="s">
        <v>1899</v>
      </c>
      <c r="H480" s="37" t="s">
        <v>650</v>
      </c>
      <c r="I480" s="37" t="s">
        <v>1936</v>
      </c>
      <c r="J480" s="37" t="s">
        <v>656</v>
      </c>
      <c r="K480" s="37" t="s">
        <v>13</v>
      </c>
      <c r="L480" s="47">
        <v>-10176</v>
      </c>
      <c r="M480" s="47">
        <v>-9600</v>
      </c>
      <c r="N480" s="47">
        <v>-576</v>
      </c>
      <c r="O480" s="37" t="s">
        <v>2381</v>
      </c>
      <c r="P480" s="29"/>
      <c r="Q480" s="27"/>
      <c r="T480" s="29"/>
      <c r="U480" s="32"/>
      <c r="V480" s="91"/>
      <c r="X480" s="29"/>
      <c r="Y480" s="27"/>
      <c r="Z480" s="30"/>
      <c r="AD480" s="29"/>
    </row>
    <row r="481" hidden="1" customHeight="1" spans="1:30">
      <c r="A481" s="37" t="s">
        <v>637</v>
      </c>
      <c r="B481" s="38">
        <v>45138</v>
      </c>
      <c r="C481" s="37" t="s">
        <v>730</v>
      </c>
      <c r="D481" s="37" t="s">
        <v>653</v>
      </c>
      <c r="E481" s="37" t="s">
        <v>640</v>
      </c>
      <c r="F481" s="37" t="s">
        <v>641</v>
      </c>
      <c r="G481" s="37" t="s">
        <v>1899</v>
      </c>
      <c r="H481" s="37" t="s">
        <v>650</v>
      </c>
      <c r="I481" s="37" t="s">
        <v>1941</v>
      </c>
      <c r="J481" s="37" t="s">
        <v>656</v>
      </c>
      <c r="K481" s="37" t="s">
        <v>166</v>
      </c>
      <c r="L481" s="47">
        <v>54748.09</v>
      </c>
      <c r="M481" s="47">
        <v>51649.14</v>
      </c>
      <c r="N481" s="47">
        <v>3098.95</v>
      </c>
      <c r="O481" s="37" t="s">
        <v>2382</v>
      </c>
      <c r="P481" s="29"/>
      <c r="Q481" s="27"/>
      <c r="T481" s="29"/>
      <c r="U481" s="32"/>
      <c r="V481" s="91"/>
      <c r="X481" s="29"/>
      <c r="Y481" s="27"/>
      <c r="Z481" s="30"/>
      <c r="AD481" s="29"/>
    </row>
    <row r="482" hidden="1" customHeight="1" spans="1:30">
      <c r="A482" s="37" t="s">
        <v>637</v>
      </c>
      <c r="B482" s="38">
        <v>45138</v>
      </c>
      <c r="C482" s="37" t="s">
        <v>730</v>
      </c>
      <c r="D482" s="37" t="s">
        <v>653</v>
      </c>
      <c r="E482" s="37" t="s">
        <v>640</v>
      </c>
      <c r="F482" s="37" t="s">
        <v>641</v>
      </c>
      <c r="G482" s="37" t="s">
        <v>1899</v>
      </c>
      <c r="H482" s="37" t="s">
        <v>650</v>
      </c>
      <c r="I482" s="37" t="s">
        <v>1941</v>
      </c>
      <c r="J482" s="37" t="s">
        <v>656</v>
      </c>
      <c r="K482" s="37" t="s">
        <v>166</v>
      </c>
      <c r="L482" s="47">
        <v>65000</v>
      </c>
      <c r="M482" s="47">
        <v>61320.75</v>
      </c>
      <c r="N482" s="47">
        <v>3679.25</v>
      </c>
      <c r="O482" s="37" t="s">
        <v>2383</v>
      </c>
      <c r="P482" s="29"/>
      <c r="Q482" s="27"/>
      <c r="T482" s="29"/>
      <c r="U482" s="32"/>
      <c r="V482" s="91"/>
      <c r="X482" s="29"/>
      <c r="Y482" s="27"/>
      <c r="Z482" s="30"/>
      <c r="AD482" s="29"/>
    </row>
    <row r="483" hidden="1" customHeight="1" spans="1:30">
      <c r="A483" s="37" t="s">
        <v>637</v>
      </c>
      <c r="B483" s="38">
        <v>45138</v>
      </c>
      <c r="C483" s="37" t="s">
        <v>1273</v>
      </c>
      <c r="D483" s="37" t="s">
        <v>653</v>
      </c>
      <c r="E483" s="37" t="s">
        <v>640</v>
      </c>
      <c r="F483" s="37" t="s">
        <v>641</v>
      </c>
      <c r="G483" s="37" t="s">
        <v>1901</v>
      </c>
      <c r="H483" s="37" t="s">
        <v>650</v>
      </c>
      <c r="I483" s="37" t="s">
        <v>1946</v>
      </c>
      <c r="J483" s="37" t="s">
        <v>656</v>
      </c>
      <c r="K483" s="37" t="s">
        <v>166</v>
      </c>
      <c r="L483" s="47">
        <v>12740.5</v>
      </c>
      <c r="M483" s="47">
        <v>12019.34</v>
      </c>
      <c r="N483" s="47">
        <v>721.16</v>
      </c>
      <c r="O483" s="37" t="s">
        <v>2384</v>
      </c>
      <c r="P483" s="29"/>
      <c r="Q483" s="27"/>
      <c r="T483" s="29"/>
      <c r="U483" s="32"/>
      <c r="V483" s="91"/>
      <c r="X483" s="29"/>
      <c r="Y483" s="27"/>
      <c r="Z483" s="30"/>
      <c r="AD483" s="29"/>
    </row>
    <row r="484" hidden="1" customHeight="1" spans="1:30">
      <c r="A484" s="37" t="s">
        <v>637</v>
      </c>
      <c r="B484" s="38">
        <v>45138</v>
      </c>
      <c r="C484" s="37" t="s">
        <v>1273</v>
      </c>
      <c r="D484" s="37" t="s">
        <v>653</v>
      </c>
      <c r="E484" s="37" t="s">
        <v>640</v>
      </c>
      <c r="F484" s="37" t="s">
        <v>641</v>
      </c>
      <c r="G484" s="37" t="s">
        <v>1899</v>
      </c>
      <c r="H484" s="37" t="s">
        <v>650</v>
      </c>
      <c r="I484" s="37" t="s">
        <v>1946</v>
      </c>
      <c r="J484" s="37" t="s">
        <v>656</v>
      </c>
      <c r="K484" s="37" t="s">
        <v>166</v>
      </c>
      <c r="L484" s="47">
        <v>9381.4</v>
      </c>
      <c r="M484" s="47">
        <v>8850.38</v>
      </c>
      <c r="N484" s="47">
        <v>531.02</v>
      </c>
      <c r="O484" s="37" t="s">
        <v>2385</v>
      </c>
      <c r="P484" s="29"/>
      <c r="Q484" s="27"/>
      <c r="T484" s="29"/>
      <c r="U484" s="32"/>
      <c r="V484" s="91"/>
      <c r="X484" s="29"/>
      <c r="Y484" s="27"/>
      <c r="Z484" s="30"/>
      <c r="AD484" s="29"/>
    </row>
    <row r="485" hidden="1" customHeight="1" spans="1:30">
      <c r="A485" s="37" t="s">
        <v>637</v>
      </c>
      <c r="B485" s="38">
        <v>45138</v>
      </c>
      <c r="C485" s="37" t="s">
        <v>1273</v>
      </c>
      <c r="D485" s="37" t="s">
        <v>653</v>
      </c>
      <c r="E485" s="37" t="s">
        <v>640</v>
      </c>
      <c r="F485" s="37" t="s">
        <v>641</v>
      </c>
      <c r="G485" s="37" t="s">
        <v>1899</v>
      </c>
      <c r="H485" s="37" t="s">
        <v>650</v>
      </c>
      <c r="I485" s="37" t="s">
        <v>1944</v>
      </c>
      <c r="J485" s="37" t="s">
        <v>656</v>
      </c>
      <c r="K485" s="37" t="s">
        <v>166</v>
      </c>
      <c r="L485" s="47">
        <v>15803.81</v>
      </c>
      <c r="M485" s="47">
        <v>14909.25</v>
      </c>
      <c r="N485" s="47">
        <v>894.56</v>
      </c>
      <c r="O485" s="37" t="s">
        <v>2386</v>
      </c>
      <c r="P485" s="29"/>
      <c r="Q485" s="27"/>
      <c r="T485" s="29"/>
      <c r="U485" s="32"/>
      <c r="V485" s="91"/>
      <c r="X485" s="29"/>
      <c r="Y485" s="27"/>
      <c r="Z485" s="30"/>
      <c r="AD485" s="29"/>
    </row>
    <row r="486" hidden="1" customHeight="1" spans="1:30">
      <c r="A486" s="37" t="s">
        <v>637</v>
      </c>
      <c r="B486" s="38">
        <v>45138</v>
      </c>
      <c r="C486" s="37" t="s">
        <v>1273</v>
      </c>
      <c r="D486" s="37" t="s">
        <v>653</v>
      </c>
      <c r="E486" s="37" t="s">
        <v>640</v>
      </c>
      <c r="F486" s="37" t="s">
        <v>641</v>
      </c>
      <c r="G486" s="37" t="s">
        <v>1899</v>
      </c>
      <c r="H486" s="37" t="s">
        <v>650</v>
      </c>
      <c r="I486" s="37" t="s">
        <v>1944</v>
      </c>
      <c r="J486" s="37" t="s">
        <v>656</v>
      </c>
      <c r="K486" s="37" t="s">
        <v>166</v>
      </c>
      <c r="L486" s="47">
        <v>29113.56</v>
      </c>
      <c r="M486" s="47">
        <v>27465.62</v>
      </c>
      <c r="N486" s="47">
        <v>1647.94</v>
      </c>
      <c r="O486" s="37" t="s">
        <v>2387</v>
      </c>
      <c r="P486" s="29"/>
      <c r="Q486" s="27"/>
      <c r="T486" s="29"/>
      <c r="U486" s="32"/>
      <c r="V486" s="91"/>
      <c r="X486" s="29"/>
      <c r="Y486" s="27"/>
      <c r="Z486" s="30"/>
      <c r="AD486" s="29"/>
    </row>
    <row r="487" hidden="1" customHeight="1" spans="1:30">
      <c r="A487" s="37" t="s">
        <v>637</v>
      </c>
      <c r="B487" s="38">
        <v>45138</v>
      </c>
      <c r="C487" s="37" t="s">
        <v>730</v>
      </c>
      <c r="D487" s="37" t="s">
        <v>653</v>
      </c>
      <c r="E487" s="37" t="s">
        <v>640</v>
      </c>
      <c r="F487" s="37" t="s">
        <v>641</v>
      </c>
      <c r="G487" s="37" t="s">
        <v>1899</v>
      </c>
      <c r="H487" s="37" t="s">
        <v>650</v>
      </c>
      <c r="I487" s="37" t="s">
        <v>1951</v>
      </c>
      <c r="J487" s="37" t="s">
        <v>656</v>
      </c>
      <c r="K487" s="37" t="s">
        <v>166</v>
      </c>
      <c r="L487" s="47">
        <v>13555.96</v>
      </c>
      <c r="M487" s="47">
        <v>12788.64</v>
      </c>
      <c r="N487" s="47">
        <v>767.32</v>
      </c>
      <c r="O487" s="37" t="s">
        <v>2388</v>
      </c>
      <c r="P487" s="29"/>
      <c r="Q487" s="27"/>
      <c r="T487" s="29"/>
      <c r="U487" s="32"/>
      <c r="V487" s="91"/>
      <c r="X487" s="29"/>
      <c r="Y487" s="27"/>
      <c r="Z487" s="30"/>
      <c r="AD487" s="29"/>
    </row>
    <row r="488" hidden="1" customHeight="1" spans="1:30">
      <c r="A488" s="37" t="s">
        <v>637</v>
      </c>
      <c r="B488" s="38">
        <v>45138</v>
      </c>
      <c r="C488" s="37" t="s">
        <v>646</v>
      </c>
      <c r="D488" s="37" t="s">
        <v>1296</v>
      </c>
      <c r="E488" s="37" t="s">
        <v>1898</v>
      </c>
      <c r="F488" s="37" t="s">
        <v>641</v>
      </c>
      <c r="G488" s="37" t="s">
        <v>1899</v>
      </c>
      <c r="H488" s="37" t="s">
        <v>643</v>
      </c>
      <c r="I488" s="37" t="s">
        <v>466</v>
      </c>
      <c r="J488" s="37" t="s">
        <v>656</v>
      </c>
      <c r="K488" s="37" t="s">
        <v>14</v>
      </c>
      <c r="L488" s="47">
        <v>126816.01</v>
      </c>
      <c r="M488" s="47">
        <v>119637.75</v>
      </c>
      <c r="N488" s="47">
        <v>7178.26</v>
      </c>
      <c r="O488" s="37" t="s">
        <v>2389</v>
      </c>
      <c r="P488" s="29"/>
      <c r="Q488" s="27"/>
      <c r="T488" s="29"/>
      <c r="U488" s="32"/>
      <c r="V488" s="91"/>
      <c r="X488" s="29"/>
      <c r="Y488" s="27"/>
      <c r="Z488" s="30"/>
      <c r="AD488" s="29"/>
    </row>
    <row r="489" hidden="1" customHeight="1" spans="1:30">
      <c r="A489" s="37" t="s">
        <v>637</v>
      </c>
      <c r="B489" s="38">
        <v>45138</v>
      </c>
      <c r="C489" s="37" t="s">
        <v>646</v>
      </c>
      <c r="D489" s="37" t="s">
        <v>726</v>
      </c>
      <c r="E489" s="37" t="s">
        <v>640</v>
      </c>
      <c r="F489" s="37" t="s">
        <v>641</v>
      </c>
      <c r="G489" s="37" t="s">
        <v>1899</v>
      </c>
      <c r="H489" s="37" t="s">
        <v>643</v>
      </c>
      <c r="I489" s="37" t="s">
        <v>441</v>
      </c>
      <c r="J489" s="37" t="s">
        <v>656</v>
      </c>
      <c r="K489" s="37" t="s">
        <v>14</v>
      </c>
      <c r="L489" s="47">
        <v>1098192.35</v>
      </c>
      <c r="M489" s="47">
        <v>1036030.52</v>
      </c>
      <c r="N489" s="47">
        <v>62161.83</v>
      </c>
      <c r="O489" s="37" t="s">
        <v>2390</v>
      </c>
      <c r="P489" s="29"/>
      <c r="Q489" s="27"/>
      <c r="T489" s="29"/>
      <c r="U489" s="32"/>
      <c r="V489" s="91"/>
      <c r="X489" s="29"/>
      <c r="Y489" s="27"/>
      <c r="Z489" s="30"/>
      <c r="AD489" s="29"/>
    </row>
    <row r="490" hidden="1" customHeight="1" spans="1:30">
      <c r="A490" s="37" t="s">
        <v>637</v>
      </c>
      <c r="B490" s="38">
        <v>45138</v>
      </c>
      <c r="C490" s="37" t="s">
        <v>646</v>
      </c>
      <c r="D490" s="37" t="s">
        <v>726</v>
      </c>
      <c r="E490" s="37" t="s">
        <v>640</v>
      </c>
      <c r="F490" s="37" t="s">
        <v>641</v>
      </c>
      <c r="G490" s="37" t="s">
        <v>1899</v>
      </c>
      <c r="H490" s="37" t="s">
        <v>643</v>
      </c>
      <c r="I490" s="37" t="s">
        <v>441</v>
      </c>
      <c r="J490" s="37" t="s">
        <v>656</v>
      </c>
      <c r="K490" s="37" t="s">
        <v>14</v>
      </c>
      <c r="L490" s="47">
        <v>30000</v>
      </c>
      <c r="M490" s="47">
        <v>28301.89</v>
      </c>
      <c r="N490" s="47">
        <v>1698.11</v>
      </c>
      <c r="O490" s="37" t="s">
        <v>2391</v>
      </c>
      <c r="P490" s="29"/>
      <c r="Q490" s="27"/>
      <c r="T490" s="29"/>
      <c r="U490" s="32"/>
      <c r="V490" s="91"/>
      <c r="X490" s="29"/>
      <c r="Y490" s="27"/>
      <c r="Z490" s="30"/>
      <c r="AD490" s="29"/>
    </row>
    <row r="491" hidden="1" customHeight="1" spans="1:30">
      <c r="A491" s="37" t="s">
        <v>637</v>
      </c>
      <c r="B491" s="38">
        <v>45138</v>
      </c>
      <c r="C491" s="37" t="s">
        <v>646</v>
      </c>
      <c r="D491" s="37" t="s">
        <v>726</v>
      </c>
      <c r="E491" s="37" t="s">
        <v>640</v>
      </c>
      <c r="F491" s="37" t="s">
        <v>641</v>
      </c>
      <c r="G491" s="37" t="s">
        <v>1901</v>
      </c>
      <c r="H491" s="37" t="s">
        <v>697</v>
      </c>
      <c r="I491" s="37" t="s">
        <v>441</v>
      </c>
      <c r="J491" s="37" t="s">
        <v>656</v>
      </c>
      <c r="K491" s="37" t="s">
        <v>14</v>
      </c>
      <c r="L491" s="47">
        <v>1098192.35</v>
      </c>
      <c r="M491" s="47">
        <v>1036030.52</v>
      </c>
      <c r="N491" s="47">
        <v>62161.83</v>
      </c>
      <c r="O491" s="37" t="s">
        <v>2392</v>
      </c>
      <c r="P491" s="29"/>
      <c r="Q491" s="27"/>
      <c r="T491" s="29"/>
      <c r="U491" s="32"/>
      <c r="V491" s="91"/>
      <c r="X491" s="29"/>
      <c r="Y491" s="27"/>
      <c r="Z491" s="30"/>
      <c r="AD491" s="29"/>
    </row>
    <row r="492" hidden="1" customHeight="1" spans="1:30">
      <c r="A492" s="37" t="s">
        <v>637</v>
      </c>
      <c r="B492" s="38">
        <v>45138</v>
      </c>
      <c r="C492" s="37" t="s">
        <v>748</v>
      </c>
      <c r="D492" s="37" t="s">
        <v>653</v>
      </c>
      <c r="E492" s="37" t="s">
        <v>640</v>
      </c>
      <c r="F492" s="37" t="s">
        <v>641</v>
      </c>
      <c r="G492" s="37" t="s">
        <v>1899</v>
      </c>
      <c r="H492" s="37" t="s">
        <v>650</v>
      </c>
      <c r="I492" s="37" t="s">
        <v>463</v>
      </c>
      <c r="J492" s="37" t="s">
        <v>656</v>
      </c>
      <c r="K492" s="37" t="s">
        <v>166</v>
      </c>
      <c r="L492" s="47">
        <v>3855.18</v>
      </c>
      <c r="M492" s="47">
        <v>3636.96</v>
      </c>
      <c r="N492" s="47">
        <v>218.22</v>
      </c>
      <c r="O492" s="37" t="s">
        <v>2393</v>
      </c>
      <c r="P492" s="29"/>
      <c r="Q492" s="27"/>
      <c r="T492" s="29"/>
      <c r="U492" s="32"/>
      <c r="V492" s="91"/>
      <c r="X492" s="29"/>
      <c r="Y492" s="27"/>
      <c r="Z492" s="30"/>
      <c r="AD492" s="29"/>
    </row>
    <row r="493" hidden="1" customHeight="1" spans="1:30">
      <c r="A493" s="37" t="s">
        <v>637</v>
      </c>
      <c r="B493" s="38">
        <v>45138</v>
      </c>
      <c r="C493" s="37" t="s">
        <v>811</v>
      </c>
      <c r="D493" s="37" t="s">
        <v>653</v>
      </c>
      <c r="E493" s="37" t="s">
        <v>640</v>
      </c>
      <c r="F493" s="37" t="s">
        <v>641</v>
      </c>
      <c r="G493" s="37" t="s">
        <v>1899</v>
      </c>
      <c r="H493" s="37" t="s">
        <v>650</v>
      </c>
      <c r="I493" s="37" t="s">
        <v>433</v>
      </c>
      <c r="J493" s="37" t="s">
        <v>656</v>
      </c>
      <c r="K493" s="37" t="s">
        <v>166</v>
      </c>
      <c r="L493" s="47">
        <v>3000000</v>
      </c>
      <c r="M493" s="47">
        <v>2830188.68</v>
      </c>
      <c r="N493" s="47">
        <v>169811.32</v>
      </c>
      <c r="O493" s="37" t="s">
        <v>2394</v>
      </c>
      <c r="P493" s="29"/>
      <c r="Q493" s="27"/>
      <c r="T493" s="29"/>
      <c r="U493" s="32"/>
      <c r="V493" s="91"/>
      <c r="X493" s="29"/>
      <c r="Y493" s="27"/>
      <c r="Z493" s="30"/>
      <c r="AD493" s="29"/>
    </row>
    <row r="494" hidden="1" customHeight="1" spans="1:30">
      <c r="A494" s="39" t="s">
        <v>2323</v>
      </c>
      <c r="B494" s="38">
        <v>45138</v>
      </c>
      <c r="C494" s="100" t="s">
        <v>811</v>
      </c>
      <c r="D494" s="37" t="s">
        <v>653</v>
      </c>
      <c r="E494" s="37" t="s">
        <v>640</v>
      </c>
      <c r="F494" s="101" t="s">
        <v>166</v>
      </c>
      <c r="G494" s="101" t="s">
        <v>1899</v>
      </c>
      <c r="H494" s="37" t="s">
        <v>650</v>
      </c>
      <c r="I494" s="101" t="s">
        <v>433</v>
      </c>
      <c r="J494" s="37" t="s">
        <v>656</v>
      </c>
      <c r="K494" s="37" t="s">
        <v>166</v>
      </c>
      <c r="L494" s="102">
        <v>-1468990.86</v>
      </c>
      <c r="M494" s="102">
        <v>-1385840.42</v>
      </c>
      <c r="N494" s="31">
        <f t="shared" ref="N494:N501" si="9">L494-M494</f>
        <v>-83150.4400000002</v>
      </c>
      <c r="P494" s="29"/>
      <c r="Q494" s="27"/>
      <c r="T494" s="29"/>
      <c r="U494" s="32"/>
      <c r="V494" s="91"/>
      <c r="X494" s="29"/>
      <c r="Y494" s="27"/>
      <c r="Z494" s="30"/>
      <c r="AD494" s="29"/>
    </row>
    <row r="495" hidden="1" customHeight="1" spans="1:30">
      <c r="A495" s="39" t="s">
        <v>2323</v>
      </c>
      <c r="B495" s="38">
        <v>45138</v>
      </c>
      <c r="C495" s="100" t="s">
        <v>811</v>
      </c>
      <c r="D495" s="37" t="s">
        <v>653</v>
      </c>
      <c r="E495" s="37" t="s">
        <v>640</v>
      </c>
      <c r="F495" s="101" t="s">
        <v>166</v>
      </c>
      <c r="G495" s="101" t="s">
        <v>1901</v>
      </c>
      <c r="H495" s="37" t="s">
        <v>650</v>
      </c>
      <c r="I495" s="101" t="s">
        <v>433</v>
      </c>
      <c r="J495" s="37" t="s">
        <v>656</v>
      </c>
      <c r="K495" s="37" t="s">
        <v>166</v>
      </c>
      <c r="L495" s="102">
        <v>296028.76</v>
      </c>
      <c r="M495" s="102">
        <v>279272.38</v>
      </c>
      <c r="N495" s="31">
        <f t="shared" si="9"/>
        <v>16756.38</v>
      </c>
      <c r="P495" s="29"/>
      <c r="Q495" s="27"/>
      <c r="T495" s="29"/>
      <c r="U495" s="32"/>
      <c r="V495" s="91"/>
      <c r="X495" s="29"/>
      <c r="Y495" s="27"/>
      <c r="Z495" s="30"/>
      <c r="AD495" s="29"/>
    </row>
    <row r="496" hidden="1" customHeight="1" spans="1:30">
      <c r="A496" s="39" t="s">
        <v>1085</v>
      </c>
      <c r="B496" s="38">
        <v>45138</v>
      </c>
      <c r="C496" s="100" t="s">
        <v>811</v>
      </c>
      <c r="D496" s="37" t="s">
        <v>653</v>
      </c>
      <c r="E496" s="37" t="s">
        <v>640</v>
      </c>
      <c r="F496" s="101" t="s">
        <v>166</v>
      </c>
      <c r="G496" s="101" t="s">
        <v>1901</v>
      </c>
      <c r="H496" s="37" t="s">
        <v>650</v>
      </c>
      <c r="I496" s="101" t="s">
        <v>435</v>
      </c>
      <c r="J496" s="37" t="s">
        <v>656</v>
      </c>
      <c r="K496" s="37" t="s">
        <v>166</v>
      </c>
      <c r="L496" s="102">
        <v>1500.24</v>
      </c>
      <c r="M496" s="102">
        <v>1415.32</v>
      </c>
      <c r="N496" s="31">
        <f t="shared" si="9"/>
        <v>84.9200000000001</v>
      </c>
      <c r="P496" s="29"/>
      <c r="Q496" s="27"/>
      <c r="T496" s="29"/>
      <c r="U496" s="32"/>
      <c r="V496" s="91"/>
      <c r="X496" s="29"/>
      <c r="Y496" s="27"/>
      <c r="Z496" s="30"/>
      <c r="AD496" s="29"/>
    </row>
    <row r="497" hidden="1" customHeight="1" spans="1:30">
      <c r="A497" s="39" t="s">
        <v>1085</v>
      </c>
      <c r="B497" s="38">
        <v>45138</v>
      </c>
      <c r="C497" s="100" t="s">
        <v>715</v>
      </c>
      <c r="D497" s="37" t="s">
        <v>653</v>
      </c>
      <c r="E497" s="37" t="s">
        <v>640</v>
      </c>
      <c r="F497" s="101" t="s">
        <v>14</v>
      </c>
      <c r="G497" s="101" t="s">
        <v>1899</v>
      </c>
      <c r="H497" s="37" t="s">
        <v>650</v>
      </c>
      <c r="I497" s="101" t="s">
        <v>1929</v>
      </c>
      <c r="J497" s="37" t="s">
        <v>656</v>
      </c>
      <c r="K497" s="37" t="s">
        <v>166</v>
      </c>
      <c r="L497" s="102">
        <v>118746.75</v>
      </c>
      <c r="M497" s="102">
        <v>112025.24</v>
      </c>
      <c r="N497" s="31">
        <f t="shared" si="9"/>
        <v>6721.50999999999</v>
      </c>
      <c r="P497" s="29"/>
      <c r="Q497" s="27"/>
      <c r="T497" s="29"/>
      <c r="U497" s="32"/>
      <c r="V497" s="91"/>
      <c r="X497" s="29"/>
      <c r="Y497" s="27"/>
      <c r="Z497" s="30"/>
      <c r="AD497" s="29"/>
    </row>
    <row r="498" hidden="1" customHeight="1" spans="1:30">
      <c r="A498" s="39" t="s">
        <v>1085</v>
      </c>
      <c r="B498" s="38">
        <v>45138</v>
      </c>
      <c r="C498" s="100" t="s">
        <v>730</v>
      </c>
      <c r="D498" s="37" t="s">
        <v>653</v>
      </c>
      <c r="E498" s="37" t="s">
        <v>640</v>
      </c>
      <c r="F498" s="101" t="s">
        <v>14</v>
      </c>
      <c r="G498" s="101" t="s">
        <v>1899</v>
      </c>
      <c r="H498" s="37" t="s">
        <v>650</v>
      </c>
      <c r="I498" s="101" t="s">
        <v>473</v>
      </c>
      <c r="J498" s="37" t="s">
        <v>656</v>
      </c>
      <c r="K498" s="37" t="s">
        <v>166</v>
      </c>
      <c r="L498" s="102">
        <v>-293994.61</v>
      </c>
      <c r="M498" s="102">
        <v>-277353.41</v>
      </c>
      <c r="N498" s="31">
        <f t="shared" si="9"/>
        <v>-16641.2</v>
      </c>
      <c r="P498" s="29"/>
      <c r="Q498" s="27"/>
      <c r="T498" s="29"/>
      <c r="U498" s="32"/>
      <c r="V498" s="91"/>
      <c r="X498" s="29"/>
      <c r="Y498" s="27"/>
      <c r="Z498" s="30"/>
      <c r="AD498" s="29"/>
    </row>
    <row r="499" customHeight="1" spans="1:30">
      <c r="A499" s="39" t="s">
        <v>1085</v>
      </c>
      <c r="B499" s="38">
        <v>45138</v>
      </c>
      <c r="C499" s="100" t="s">
        <v>811</v>
      </c>
      <c r="D499" s="37" t="s">
        <v>653</v>
      </c>
      <c r="E499" s="37" t="s">
        <v>640</v>
      </c>
      <c r="F499" s="101" t="s">
        <v>14</v>
      </c>
      <c r="G499" s="101" t="s">
        <v>1899</v>
      </c>
      <c r="H499" s="37" t="s">
        <v>650</v>
      </c>
      <c r="I499" s="101" t="s">
        <v>435</v>
      </c>
      <c r="J499" s="37" t="s">
        <v>656</v>
      </c>
      <c r="K499" s="37" t="s">
        <v>166</v>
      </c>
      <c r="L499" s="102">
        <v>4117.67</v>
      </c>
      <c r="M499" s="102">
        <v>3884.59</v>
      </c>
      <c r="N499" s="31">
        <f t="shared" si="9"/>
        <v>233.08</v>
      </c>
      <c r="P499" s="29"/>
      <c r="Q499" s="27"/>
      <c r="T499" s="29"/>
      <c r="U499" s="32"/>
      <c r="V499" s="91"/>
      <c r="X499" s="29"/>
      <c r="Y499" s="27"/>
      <c r="Z499" s="30"/>
      <c r="AD499" s="29"/>
    </row>
    <row r="500" hidden="1" customHeight="1" spans="1:30">
      <c r="A500" s="39" t="s">
        <v>1085</v>
      </c>
      <c r="B500" s="38">
        <v>45138</v>
      </c>
      <c r="C500" s="100" t="s">
        <v>811</v>
      </c>
      <c r="D500" s="37" t="s">
        <v>653</v>
      </c>
      <c r="E500" s="37" t="s">
        <v>640</v>
      </c>
      <c r="F500" s="101" t="s">
        <v>166</v>
      </c>
      <c r="G500" s="101" t="s">
        <v>1901</v>
      </c>
      <c r="H500" s="37" t="s">
        <v>650</v>
      </c>
      <c r="I500" s="101" t="s">
        <v>435</v>
      </c>
      <c r="J500" s="37" t="s">
        <v>656</v>
      </c>
      <c r="K500" s="37" t="s">
        <v>166</v>
      </c>
      <c r="L500" s="102">
        <v>-1500.24</v>
      </c>
      <c r="M500" s="102">
        <v>-1415.32</v>
      </c>
      <c r="N500" s="31">
        <f t="shared" si="9"/>
        <v>-84.9200000000001</v>
      </c>
      <c r="P500" s="29"/>
      <c r="Q500" s="27"/>
      <c r="T500" s="29"/>
      <c r="U500" s="32"/>
      <c r="V500" s="91"/>
      <c r="X500" s="29"/>
      <c r="Y500" s="27"/>
      <c r="Z500" s="30"/>
      <c r="AD500" s="29"/>
    </row>
    <row r="501" hidden="1" customHeight="1" spans="1:30">
      <c r="A501" s="39" t="s">
        <v>1085</v>
      </c>
      <c r="B501" s="38">
        <v>45138</v>
      </c>
      <c r="C501" s="100" t="s">
        <v>811</v>
      </c>
      <c r="D501" s="37" t="s">
        <v>653</v>
      </c>
      <c r="E501" s="37" t="s">
        <v>640</v>
      </c>
      <c r="F501" s="101" t="s">
        <v>14</v>
      </c>
      <c r="G501" s="101" t="s">
        <v>1901</v>
      </c>
      <c r="H501" s="37" t="s">
        <v>650</v>
      </c>
      <c r="I501" s="101" t="s">
        <v>435</v>
      </c>
      <c r="J501" s="37" t="s">
        <v>656</v>
      </c>
      <c r="K501" s="37" t="s">
        <v>166</v>
      </c>
      <c r="L501" s="102">
        <v>1706.45</v>
      </c>
      <c r="M501" s="102">
        <v>1609.86</v>
      </c>
      <c r="N501" s="31">
        <f t="shared" si="9"/>
        <v>96.5900000000001</v>
      </c>
      <c r="P501" s="29"/>
      <c r="Q501" s="27"/>
      <c r="T501" s="29"/>
      <c r="U501" s="32"/>
      <c r="V501" s="91"/>
      <c r="X501" s="29"/>
      <c r="Y501" s="27"/>
      <c r="Z501" s="30"/>
      <c r="AD501" s="29"/>
    </row>
    <row r="502" hidden="1" customHeight="1" spans="1:30">
      <c r="A502" s="37" t="s">
        <v>637</v>
      </c>
      <c r="B502" s="38">
        <v>45169</v>
      </c>
      <c r="C502" s="37" t="s">
        <v>1273</v>
      </c>
      <c r="D502" s="37" t="s">
        <v>653</v>
      </c>
      <c r="E502" s="37" t="s">
        <v>640</v>
      </c>
      <c r="F502" s="37" t="s">
        <v>641</v>
      </c>
      <c r="G502" s="37" t="s">
        <v>1899</v>
      </c>
      <c r="H502" s="37" t="s">
        <v>650</v>
      </c>
      <c r="I502" s="37" t="s">
        <v>1946</v>
      </c>
      <c r="J502" s="37" t="s">
        <v>656</v>
      </c>
      <c r="K502" s="37" t="s">
        <v>166</v>
      </c>
      <c r="L502" s="47">
        <v>757.04</v>
      </c>
      <c r="M502" s="47">
        <v>714.19</v>
      </c>
      <c r="N502" s="47">
        <v>42.85</v>
      </c>
      <c r="O502" s="37" t="s">
        <v>2395</v>
      </c>
      <c r="P502" s="29"/>
      <c r="Q502" s="27"/>
      <c r="T502" s="29"/>
      <c r="U502" s="32"/>
      <c r="V502" s="91"/>
      <c r="X502" s="29"/>
      <c r="Y502" s="27"/>
      <c r="Z502" s="30"/>
      <c r="AD502" s="29"/>
    </row>
    <row r="503" hidden="1" customHeight="1" spans="1:30">
      <c r="A503" s="37" t="s">
        <v>637</v>
      </c>
      <c r="B503" s="38">
        <v>45169</v>
      </c>
      <c r="C503" s="37" t="s">
        <v>1273</v>
      </c>
      <c r="D503" s="37" t="s">
        <v>653</v>
      </c>
      <c r="E503" s="37" t="s">
        <v>640</v>
      </c>
      <c r="F503" s="37" t="s">
        <v>641</v>
      </c>
      <c r="G503" s="37" t="s">
        <v>1899</v>
      </c>
      <c r="H503" s="37" t="s">
        <v>650</v>
      </c>
      <c r="I503" s="37" t="s">
        <v>737</v>
      </c>
      <c r="J503" s="37" t="s">
        <v>656</v>
      </c>
      <c r="K503" s="37" t="s">
        <v>166</v>
      </c>
      <c r="L503" s="47">
        <v>-23557.82</v>
      </c>
      <c r="M503" s="47">
        <v>-22224.36</v>
      </c>
      <c r="N503" s="47">
        <v>-1333.46</v>
      </c>
      <c r="O503" s="37" t="s">
        <v>2396</v>
      </c>
      <c r="P503" s="29"/>
      <c r="Q503" s="27"/>
      <c r="T503" s="29"/>
      <c r="U503" s="32"/>
      <c r="V503" s="91"/>
      <c r="X503" s="29"/>
      <c r="Y503" s="27"/>
      <c r="Z503" s="30"/>
      <c r="AD503" s="29"/>
    </row>
    <row r="504" hidden="1" customHeight="1" spans="1:30">
      <c r="A504" s="37" t="s">
        <v>637</v>
      </c>
      <c r="B504" s="38">
        <v>45169</v>
      </c>
      <c r="C504" s="37" t="s">
        <v>1273</v>
      </c>
      <c r="D504" s="37" t="s">
        <v>653</v>
      </c>
      <c r="E504" s="37" t="s">
        <v>640</v>
      </c>
      <c r="F504" s="37" t="s">
        <v>641</v>
      </c>
      <c r="G504" s="37" t="s">
        <v>1899</v>
      </c>
      <c r="H504" s="37" t="s">
        <v>650</v>
      </c>
      <c r="I504" s="37" t="s">
        <v>1944</v>
      </c>
      <c r="J504" s="37" t="s">
        <v>656</v>
      </c>
      <c r="K504" s="37" t="s">
        <v>166</v>
      </c>
      <c r="L504" s="47">
        <v>39849.5</v>
      </c>
      <c r="M504" s="47">
        <v>37593.87</v>
      </c>
      <c r="N504" s="47">
        <v>2255.63</v>
      </c>
      <c r="O504" s="37" t="s">
        <v>2397</v>
      </c>
      <c r="P504" s="29"/>
      <c r="Q504" s="27"/>
      <c r="T504" s="29"/>
      <c r="U504" s="32"/>
      <c r="V504" s="91"/>
      <c r="X504" s="29"/>
      <c r="Y504" s="27"/>
      <c r="Z504" s="30"/>
      <c r="AD504" s="29"/>
    </row>
    <row r="505" hidden="1" customHeight="1" spans="1:30">
      <c r="A505" s="37" t="s">
        <v>637</v>
      </c>
      <c r="B505" s="38">
        <v>45169</v>
      </c>
      <c r="C505" s="37" t="s">
        <v>646</v>
      </c>
      <c r="D505" s="37" t="s">
        <v>726</v>
      </c>
      <c r="E505" s="37" t="s">
        <v>640</v>
      </c>
      <c r="F505" s="37" t="s">
        <v>641</v>
      </c>
      <c r="G505" s="37" t="s">
        <v>1899</v>
      </c>
      <c r="H505" s="37" t="s">
        <v>643</v>
      </c>
      <c r="I505" s="37" t="s">
        <v>1906</v>
      </c>
      <c r="J505" s="37" t="s">
        <v>644</v>
      </c>
      <c r="K505" s="37" t="s">
        <v>14</v>
      </c>
      <c r="L505" s="47">
        <v>-461.42</v>
      </c>
      <c r="M505" s="47">
        <v>-435.3</v>
      </c>
      <c r="N505" s="47">
        <v>-26.12</v>
      </c>
      <c r="O505" s="37" t="s">
        <v>2398</v>
      </c>
      <c r="P505" s="29"/>
      <c r="Q505" s="27"/>
      <c r="T505" s="29"/>
      <c r="U505" s="32"/>
      <c r="V505" s="91"/>
      <c r="X505" s="29"/>
      <c r="Y505" s="27"/>
      <c r="Z505" s="30"/>
      <c r="AD505" s="29"/>
    </row>
    <row r="506" hidden="1" customHeight="1" spans="1:30">
      <c r="A506" s="37" t="s">
        <v>637</v>
      </c>
      <c r="B506" s="38">
        <v>45169</v>
      </c>
      <c r="C506" s="37" t="s">
        <v>646</v>
      </c>
      <c r="D506" s="37" t="s">
        <v>653</v>
      </c>
      <c r="E506" s="37" t="s">
        <v>640</v>
      </c>
      <c r="F506" s="37" t="s">
        <v>641</v>
      </c>
      <c r="G506" s="37" t="s">
        <v>1899</v>
      </c>
      <c r="H506" s="37" t="s">
        <v>650</v>
      </c>
      <c r="I506" s="37" t="s">
        <v>1953</v>
      </c>
      <c r="J506" s="37" t="s">
        <v>656</v>
      </c>
      <c r="K506" s="37" t="s">
        <v>166</v>
      </c>
      <c r="L506" s="47">
        <v>26993.18</v>
      </c>
      <c r="M506" s="47">
        <v>25465.26</v>
      </c>
      <c r="N506" s="47">
        <v>1527.92</v>
      </c>
      <c r="O506" s="37" t="s">
        <v>2399</v>
      </c>
      <c r="P506" s="29"/>
      <c r="Q506" s="27"/>
      <c r="T506" s="29"/>
      <c r="U506" s="32"/>
      <c r="V506" s="91"/>
      <c r="X506" s="29"/>
      <c r="Y506" s="27"/>
      <c r="Z506" s="30"/>
      <c r="AD506" s="29"/>
    </row>
    <row r="507" hidden="1" customHeight="1" spans="1:30">
      <c r="A507" s="37" t="s">
        <v>637</v>
      </c>
      <c r="B507" s="38">
        <v>45169</v>
      </c>
      <c r="C507" s="37" t="s">
        <v>646</v>
      </c>
      <c r="D507" s="37" t="s">
        <v>2134</v>
      </c>
      <c r="E507" s="37" t="s">
        <v>640</v>
      </c>
      <c r="F507" s="37" t="s">
        <v>641</v>
      </c>
      <c r="G507" s="37" t="s">
        <v>1899</v>
      </c>
      <c r="H507" s="37" t="s">
        <v>643</v>
      </c>
      <c r="I507" s="37" t="s">
        <v>1906</v>
      </c>
      <c r="J507" s="37" t="s">
        <v>656</v>
      </c>
      <c r="K507" s="37" t="s">
        <v>14</v>
      </c>
      <c r="L507" s="47">
        <v>-473</v>
      </c>
      <c r="M507" s="47">
        <v>-446.23</v>
      </c>
      <c r="N507" s="47">
        <v>-26.77</v>
      </c>
      <c r="O507" s="37" t="s">
        <v>2400</v>
      </c>
      <c r="P507" s="29"/>
      <c r="Q507" s="27"/>
      <c r="T507" s="29"/>
      <c r="U507" s="32"/>
      <c r="V507" s="91"/>
      <c r="X507" s="29"/>
      <c r="Y507" s="27"/>
      <c r="Z507" s="30"/>
      <c r="AD507" s="29"/>
    </row>
    <row r="508" hidden="1" customHeight="1" spans="1:30">
      <c r="A508" s="37" t="s">
        <v>637</v>
      </c>
      <c r="B508" s="38">
        <v>45169</v>
      </c>
      <c r="C508" s="37" t="s">
        <v>646</v>
      </c>
      <c r="D508" s="37" t="s">
        <v>726</v>
      </c>
      <c r="E508" s="37" t="s">
        <v>640</v>
      </c>
      <c r="F508" s="37" t="s">
        <v>641</v>
      </c>
      <c r="G508" s="37" t="s">
        <v>1899</v>
      </c>
      <c r="H508" s="37" t="s">
        <v>650</v>
      </c>
      <c r="I508" s="37" t="s">
        <v>1938</v>
      </c>
      <c r="J508" s="37" t="s">
        <v>656</v>
      </c>
      <c r="K508" s="37" t="s">
        <v>14</v>
      </c>
      <c r="L508" s="47">
        <v>-40232.48</v>
      </c>
      <c r="M508" s="47">
        <v>-37955.17</v>
      </c>
      <c r="N508" s="47">
        <v>-2277.31</v>
      </c>
      <c r="O508" s="37" t="s">
        <v>2401</v>
      </c>
      <c r="P508" s="29"/>
      <c r="Q508" s="27"/>
      <c r="T508" s="29"/>
      <c r="U508" s="32"/>
      <c r="V508" s="91"/>
      <c r="X508" s="29"/>
      <c r="Y508" s="27"/>
      <c r="Z508" s="30"/>
      <c r="AD508" s="29"/>
    </row>
    <row r="509" hidden="1" customHeight="1" spans="1:30">
      <c r="A509" s="37" t="s">
        <v>637</v>
      </c>
      <c r="B509" s="38">
        <v>45169</v>
      </c>
      <c r="C509" s="37" t="s">
        <v>646</v>
      </c>
      <c r="D509" s="37" t="s">
        <v>2134</v>
      </c>
      <c r="E509" s="37" t="s">
        <v>640</v>
      </c>
      <c r="F509" s="37" t="s">
        <v>641</v>
      </c>
      <c r="G509" s="37" t="s">
        <v>1899</v>
      </c>
      <c r="H509" s="37" t="s">
        <v>643</v>
      </c>
      <c r="I509" s="37" t="s">
        <v>1989</v>
      </c>
      <c r="J509" s="37" t="s">
        <v>656</v>
      </c>
      <c r="K509" s="37" t="s">
        <v>14</v>
      </c>
      <c r="L509" s="47">
        <v>194.65</v>
      </c>
      <c r="M509" s="47">
        <v>183.63</v>
      </c>
      <c r="N509" s="47">
        <v>11.02</v>
      </c>
      <c r="O509" s="37" t="s">
        <v>2402</v>
      </c>
      <c r="P509" s="29"/>
      <c r="Q509" s="27"/>
      <c r="T509" s="29"/>
      <c r="U509" s="32"/>
      <c r="V509" s="91"/>
      <c r="X509" s="29"/>
      <c r="Y509" s="27"/>
      <c r="Z509" s="30"/>
      <c r="AD509" s="29"/>
    </row>
    <row r="510" hidden="1" customHeight="1" spans="1:30">
      <c r="A510" s="37" t="s">
        <v>637</v>
      </c>
      <c r="B510" s="38">
        <v>45169</v>
      </c>
      <c r="C510" s="37" t="s">
        <v>646</v>
      </c>
      <c r="D510" s="37" t="s">
        <v>653</v>
      </c>
      <c r="E510" s="37" t="s">
        <v>640</v>
      </c>
      <c r="F510" s="37" t="s">
        <v>641</v>
      </c>
      <c r="G510" s="37" t="s">
        <v>1899</v>
      </c>
      <c r="H510" s="37" t="s">
        <v>650</v>
      </c>
      <c r="I510" s="37" t="s">
        <v>1955</v>
      </c>
      <c r="J510" s="37" t="s">
        <v>656</v>
      </c>
      <c r="K510" s="37" t="s">
        <v>166</v>
      </c>
      <c r="L510" s="47">
        <v>709.76</v>
      </c>
      <c r="M510" s="47">
        <v>669.58</v>
      </c>
      <c r="N510" s="47">
        <v>40.18</v>
      </c>
      <c r="O510" s="37" t="s">
        <v>2403</v>
      </c>
      <c r="P510" s="29"/>
      <c r="Q510" s="27"/>
      <c r="T510" s="29"/>
      <c r="U510" s="32"/>
      <c r="V510" s="91"/>
      <c r="X510" s="29"/>
      <c r="Y510" s="27"/>
      <c r="Z510" s="30"/>
      <c r="AD510" s="29"/>
    </row>
    <row r="511" hidden="1" customHeight="1" spans="1:30">
      <c r="A511" s="37" t="s">
        <v>637</v>
      </c>
      <c r="B511" s="38">
        <v>45169</v>
      </c>
      <c r="C511" s="37" t="s">
        <v>646</v>
      </c>
      <c r="D511" s="37" t="s">
        <v>2134</v>
      </c>
      <c r="E511" s="37" t="s">
        <v>640</v>
      </c>
      <c r="F511" s="37" t="s">
        <v>641</v>
      </c>
      <c r="G511" s="37" t="s">
        <v>1899</v>
      </c>
      <c r="H511" s="37" t="s">
        <v>643</v>
      </c>
      <c r="I511" s="37" t="s">
        <v>466</v>
      </c>
      <c r="J511" s="37" t="s">
        <v>656</v>
      </c>
      <c r="K511" s="37" t="s">
        <v>14</v>
      </c>
      <c r="L511" s="47">
        <v>17293</v>
      </c>
      <c r="M511" s="47">
        <v>16314.15</v>
      </c>
      <c r="N511" s="47">
        <v>978.85</v>
      </c>
      <c r="O511" s="37" t="s">
        <v>2404</v>
      </c>
      <c r="P511" s="29"/>
      <c r="Q511" s="27"/>
      <c r="T511" s="29"/>
      <c r="U511" s="32"/>
      <c r="V511" s="91"/>
      <c r="X511" s="29"/>
      <c r="Y511" s="27"/>
      <c r="Z511" s="30"/>
      <c r="AD511" s="29"/>
    </row>
    <row r="512" hidden="1" customHeight="1" spans="1:30">
      <c r="A512" s="37" t="s">
        <v>637</v>
      </c>
      <c r="B512" s="38">
        <v>45169</v>
      </c>
      <c r="C512" s="37" t="s">
        <v>646</v>
      </c>
      <c r="D512" s="37" t="s">
        <v>1902</v>
      </c>
      <c r="E512" s="37" t="s">
        <v>1898</v>
      </c>
      <c r="F512" s="37" t="s">
        <v>641</v>
      </c>
      <c r="G512" s="37" t="s">
        <v>1899</v>
      </c>
      <c r="H512" s="37" t="s">
        <v>643</v>
      </c>
      <c r="I512" s="37" t="s">
        <v>436</v>
      </c>
      <c r="J512" s="37" t="s">
        <v>644</v>
      </c>
      <c r="K512" s="37" t="s">
        <v>350</v>
      </c>
      <c r="L512" s="47">
        <v>4650.31</v>
      </c>
      <c r="M512" s="47">
        <v>4387.08</v>
      </c>
      <c r="N512" s="47">
        <v>263.23</v>
      </c>
      <c r="O512" s="37" t="s">
        <v>2405</v>
      </c>
      <c r="P512" s="29"/>
      <c r="Q512" s="27"/>
      <c r="T512" s="29"/>
      <c r="U512" s="32"/>
      <c r="V512" s="91"/>
      <c r="X512" s="29"/>
      <c r="Y512" s="27"/>
      <c r="Z512" s="30"/>
      <c r="AD512" s="29"/>
    </row>
    <row r="513" hidden="1" customHeight="1" spans="1:30">
      <c r="A513" s="37" t="s">
        <v>637</v>
      </c>
      <c r="B513" s="38">
        <v>45169</v>
      </c>
      <c r="C513" s="37" t="s">
        <v>646</v>
      </c>
      <c r="D513" s="37" t="s">
        <v>726</v>
      </c>
      <c r="E513" s="37" t="s">
        <v>1898</v>
      </c>
      <c r="F513" s="37" t="s">
        <v>641</v>
      </c>
      <c r="G513" s="37" t="s">
        <v>1899</v>
      </c>
      <c r="H513" s="37" t="s">
        <v>650</v>
      </c>
      <c r="I513" s="37" t="s">
        <v>461</v>
      </c>
      <c r="J513" s="37" t="s">
        <v>656</v>
      </c>
      <c r="K513" s="37" t="s">
        <v>14</v>
      </c>
      <c r="L513" s="47">
        <v>28893.76</v>
      </c>
      <c r="M513" s="47">
        <v>27258.26</v>
      </c>
      <c r="N513" s="47">
        <v>1635.5</v>
      </c>
      <c r="O513" s="37" t="s">
        <v>2406</v>
      </c>
      <c r="P513" s="29"/>
      <c r="Q513" s="27"/>
      <c r="T513" s="29"/>
      <c r="U513" s="32"/>
      <c r="V513" s="91"/>
      <c r="X513" s="29"/>
      <c r="Y513" s="27"/>
      <c r="Z513" s="30"/>
      <c r="AD513" s="29"/>
    </row>
    <row r="514" hidden="1" customHeight="1" spans="1:30">
      <c r="A514" s="37" t="s">
        <v>637</v>
      </c>
      <c r="B514" s="38">
        <v>45169</v>
      </c>
      <c r="C514" s="37" t="s">
        <v>646</v>
      </c>
      <c r="D514" s="37" t="s">
        <v>1902</v>
      </c>
      <c r="E514" s="37" t="s">
        <v>1898</v>
      </c>
      <c r="F514" s="37" t="s">
        <v>641</v>
      </c>
      <c r="G514" s="37" t="s">
        <v>1899</v>
      </c>
      <c r="H514" s="37" t="s">
        <v>643</v>
      </c>
      <c r="I514" s="37" t="s">
        <v>466</v>
      </c>
      <c r="J514" s="37" t="s">
        <v>656</v>
      </c>
      <c r="K514" s="37" t="s">
        <v>14</v>
      </c>
      <c r="L514" s="47">
        <v>859.12</v>
      </c>
      <c r="M514" s="47">
        <v>810.49</v>
      </c>
      <c r="N514" s="47">
        <v>48.63</v>
      </c>
      <c r="O514" s="37" t="s">
        <v>2407</v>
      </c>
      <c r="P514" s="29"/>
      <c r="Q514" s="27"/>
      <c r="T514" s="29"/>
      <c r="U514" s="32"/>
      <c r="V514" s="91"/>
      <c r="X514" s="29"/>
      <c r="Y514" s="27"/>
      <c r="Z514" s="30"/>
      <c r="AD514" s="29"/>
    </row>
    <row r="515" hidden="1" customHeight="1" spans="1:30">
      <c r="A515" s="37" t="s">
        <v>637</v>
      </c>
      <c r="B515" s="38">
        <v>45169</v>
      </c>
      <c r="C515" s="37" t="s">
        <v>646</v>
      </c>
      <c r="D515" s="37" t="s">
        <v>1902</v>
      </c>
      <c r="E515" s="37" t="s">
        <v>1898</v>
      </c>
      <c r="F515" s="37" t="s">
        <v>641</v>
      </c>
      <c r="G515" s="37" t="s">
        <v>1899</v>
      </c>
      <c r="H515" s="37" t="s">
        <v>643</v>
      </c>
      <c r="I515" s="37" t="s">
        <v>466</v>
      </c>
      <c r="J515" s="37" t="s">
        <v>656</v>
      </c>
      <c r="K515" s="37" t="s">
        <v>14</v>
      </c>
      <c r="L515" s="47">
        <v>43339.9</v>
      </c>
      <c r="M515" s="47">
        <v>40886.7</v>
      </c>
      <c r="N515" s="47">
        <v>2453.2</v>
      </c>
      <c r="O515" s="37" t="s">
        <v>2408</v>
      </c>
      <c r="P515" s="29"/>
      <c r="Q515" s="27"/>
      <c r="T515" s="29"/>
      <c r="U515" s="32"/>
      <c r="V515" s="91"/>
      <c r="X515" s="29"/>
      <c r="Y515" s="27"/>
      <c r="Z515" s="30"/>
      <c r="AD515" s="29"/>
    </row>
    <row r="516" hidden="1" customHeight="1" spans="1:30">
      <c r="A516" s="37" t="s">
        <v>637</v>
      </c>
      <c r="B516" s="38">
        <v>45169</v>
      </c>
      <c r="C516" s="37" t="s">
        <v>646</v>
      </c>
      <c r="D516" s="37" t="s">
        <v>1284</v>
      </c>
      <c r="E516" s="37" t="s">
        <v>1898</v>
      </c>
      <c r="F516" s="37" t="s">
        <v>641</v>
      </c>
      <c r="G516" s="37" t="s">
        <v>1899</v>
      </c>
      <c r="H516" s="37" t="s">
        <v>643</v>
      </c>
      <c r="I516" s="37" t="s">
        <v>466</v>
      </c>
      <c r="J516" s="37" t="s">
        <v>656</v>
      </c>
      <c r="K516" s="37" t="s">
        <v>14</v>
      </c>
      <c r="L516" s="47">
        <v>97605.9</v>
      </c>
      <c r="M516" s="47">
        <v>92081.04</v>
      </c>
      <c r="N516" s="47">
        <v>5524.86</v>
      </c>
      <c r="O516" s="37" t="s">
        <v>2409</v>
      </c>
      <c r="P516" s="29"/>
      <c r="Q516" s="27"/>
      <c r="T516" s="29"/>
      <c r="U516" s="32"/>
      <c r="V516" s="91"/>
      <c r="X516" s="29"/>
      <c r="Y516" s="27"/>
      <c r="Z516" s="30"/>
      <c r="AD516" s="29"/>
    </row>
    <row r="517" hidden="1" customHeight="1" spans="1:30">
      <c r="A517" s="37" t="s">
        <v>637</v>
      </c>
      <c r="B517" s="38">
        <v>45169</v>
      </c>
      <c r="C517" s="37" t="s">
        <v>730</v>
      </c>
      <c r="D517" s="37" t="s">
        <v>653</v>
      </c>
      <c r="E517" s="37" t="s">
        <v>640</v>
      </c>
      <c r="F517" s="37" t="s">
        <v>641</v>
      </c>
      <c r="G517" s="37" t="s">
        <v>1899</v>
      </c>
      <c r="H517" s="37" t="s">
        <v>650</v>
      </c>
      <c r="I517" s="37" t="s">
        <v>1951</v>
      </c>
      <c r="J517" s="37" t="s">
        <v>656</v>
      </c>
      <c r="K517" s="37" t="s">
        <v>166</v>
      </c>
      <c r="L517" s="47">
        <v>20328.89</v>
      </c>
      <c r="M517" s="47">
        <v>19178.2</v>
      </c>
      <c r="N517" s="47">
        <v>1150.69</v>
      </c>
      <c r="O517" s="37" t="s">
        <v>2410</v>
      </c>
      <c r="P517" s="29"/>
      <c r="Q517" s="27"/>
      <c r="T517" s="29"/>
      <c r="U517" s="32"/>
      <c r="V517" s="91"/>
      <c r="X517" s="29"/>
      <c r="Y517" s="27"/>
      <c r="Z517" s="30"/>
      <c r="AD517" s="29"/>
    </row>
    <row r="518" hidden="1" customHeight="1" spans="1:30">
      <c r="A518" s="37" t="s">
        <v>637</v>
      </c>
      <c r="B518" s="38">
        <v>45169</v>
      </c>
      <c r="C518" s="37" t="s">
        <v>811</v>
      </c>
      <c r="D518" s="37" t="s">
        <v>653</v>
      </c>
      <c r="E518" s="37" t="s">
        <v>1898</v>
      </c>
      <c r="F518" s="37" t="s">
        <v>641</v>
      </c>
      <c r="G518" s="37" t="s">
        <v>1899</v>
      </c>
      <c r="H518" s="37" t="s">
        <v>650</v>
      </c>
      <c r="I518" s="37" t="s">
        <v>435</v>
      </c>
      <c r="J518" s="37" t="s">
        <v>656</v>
      </c>
      <c r="K518" s="37" t="s">
        <v>166</v>
      </c>
      <c r="L518" s="47">
        <v>672054.82</v>
      </c>
      <c r="M518" s="47">
        <v>634013.98</v>
      </c>
      <c r="N518" s="47">
        <v>38040.84</v>
      </c>
      <c r="O518" s="37" t="s">
        <v>2411</v>
      </c>
      <c r="P518" s="29"/>
      <c r="Q518" s="27"/>
      <c r="T518" s="29"/>
      <c r="U518" s="32"/>
      <c r="V518" s="91"/>
      <c r="X518" s="29"/>
      <c r="Y518" s="27"/>
      <c r="Z518" s="30"/>
      <c r="AD518" s="29"/>
    </row>
    <row r="519" hidden="1" customHeight="1" spans="1:30">
      <c r="A519" s="37" t="s">
        <v>637</v>
      </c>
      <c r="B519" s="38">
        <v>45169</v>
      </c>
      <c r="C519" s="37" t="s">
        <v>811</v>
      </c>
      <c r="D519" s="37" t="s">
        <v>653</v>
      </c>
      <c r="E519" s="37" t="s">
        <v>1898</v>
      </c>
      <c r="F519" s="37" t="s">
        <v>641</v>
      </c>
      <c r="G519" s="37" t="s">
        <v>1899</v>
      </c>
      <c r="H519" s="37" t="s">
        <v>650</v>
      </c>
      <c r="I519" s="37" t="s">
        <v>433</v>
      </c>
      <c r="J519" s="37" t="s">
        <v>656</v>
      </c>
      <c r="K519" s="37" t="s">
        <v>166</v>
      </c>
      <c r="L519" s="47">
        <v>325976.73</v>
      </c>
      <c r="M519" s="47">
        <v>307525.22</v>
      </c>
      <c r="N519" s="47">
        <v>18451.51</v>
      </c>
      <c r="O519" s="37" t="s">
        <v>2412</v>
      </c>
      <c r="P519" s="29"/>
      <c r="Q519" s="27"/>
      <c r="T519" s="29"/>
      <c r="U519" s="32"/>
      <c r="V519" s="91"/>
      <c r="X519" s="29"/>
      <c r="Y519" s="27"/>
      <c r="Z519" s="30"/>
      <c r="AD519" s="29"/>
    </row>
    <row r="520" hidden="1" customHeight="1" spans="1:30">
      <c r="A520" s="37" t="s">
        <v>637</v>
      </c>
      <c r="B520" s="38">
        <v>45169</v>
      </c>
      <c r="C520" s="37" t="s">
        <v>811</v>
      </c>
      <c r="D520" s="37" t="s">
        <v>653</v>
      </c>
      <c r="E520" s="37" t="s">
        <v>640</v>
      </c>
      <c r="F520" s="37" t="s">
        <v>641</v>
      </c>
      <c r="G520" s="37" t="s">
        <v>1899</v>
      </c>
      <c r="H520" s="37" t="s">
        <v>650</v>
      </c>
      <c r="I520" s="37" t="s">
        <v>435</v>
      </c>
      <c r="J520" s="37" t="s">
        <v>656</v>
      </c>
      <c r="K520" s="37" t="s">
        <v>166</v>
      </c>
      <c r="L520" s="47">
        <v>1300000</v>
      </c>
      <c r="M520" s="47">
        <v>1226415.09</v>
      </c>
      <c r="N520" s="47">
        <v>73584.91</v>
      </c>
      <c r="O520" s="37" t="s">
        <v>2413</v>
      </c>
      <c r="P520" s="29"/>
      <c r="Q520" s="27"/>
      <c r="T520" s="29"/>
      <c r="U520" s="32"/>
      <c r="V520" s="91"/>
      <c r="X520" s="29"/>
      <c r="Y520" s="27"/>
      <c r="Z520" s="30"/>
      <c r="AD520" s="29"/>
    </row>
    <row r="521" hidden="1" customHeight="1" spans="1:30">
      <c r="A521" s="37" t="s">
        <v>637</v>
      </c>
      <c r="B521" s="38">
        <v>45169</v>
      </c>
      <c r="C521" s="37" t="s">
        <v>811</v>
      </c>
      <c r="D521" s="37" t="s">
        <v>653</v>
      </c>
      <c r="E521" s="37" t="s">
        <v>640</v>
      </c>
      <c r="F521" s="37" t="s">
        <v>641</v>
      </c>
      <c r="G521" s="37" t="s">
        <v>1899</v>
      </c>
      <c r="H521" s="37" t="s">
        <v>650</v>
      </c>
      <c r="I521" s="37" t="s">
        <v>433</v>
      </c>
      <c r="J521" s="37" t="s">
        <v>656</v>
      </c>
      <c r="K521" s="37" t="s">
        <v>166</v>
      </c>
      <c r="L521" s="47">
        <v>-1000000</v>
      </c>
      <c r="M521" s="47">
        <v>-943396.23</v>
      </c>
      <c r="N521" s="47">
        <v>-56603.77</v>
      </c>
      <c r="O521" s="37" t="s">
        <v>2414</v>
      </c>
      <c r="P521" s="29"/>
      <c r="Q521" s="27"/>
      <c r="T521" s="29"/>
      <c r="U521" s="32"/>
      <c r="V521" s="91"/>
      <c r="X521" s="29"/>
      <c r="Y521" s="27"/>
      <c r="Z521" s="30"/>
      <c r="AD521" s="29"/>
    </row>
    <row r="522" hidden="1" customHeight="1" spans="1:30">
      <c r="A522" s="37" t="s">
        <v>637</v>
      </c>
      <c r="B522" s="38">
        <v>45169</v>
      </c>
      <c r="C522" s="37" t="s">
        <v>748</v>
      </c>
      <c r="D522" s="37" t="s">
        <v>726</v>
      </c>
      <c r="E522" s="37" t="s">
        <v>640</v>
      </c>
      <c r="F522" s="37" t="s">
        <v>641</v>
      </c>
      <c r="G522" s="37" t="s">
        <v>1899</v>
      </c>
      <c r="H522" s="37" t="s">
        <v>650</v>
      </c>
      <c r="I522" s="37" t="s">
        <v>779</v>
      </c>
      <c r="J522" s="37" t="s">
        <v>656</v>
      </c>
      <c r="K522" s="37" t="s">
        <v>14</v>
      </c>
      <c r="L522" s="47">
        <v>283013.4</v>
      </c>
      <c r="M522" s="47">
        <v>266993.77</v>
      </c>
      <c r="N522" s="47">
        <v>16019.63</v>
      </c>
      <c r="O522" s="37" t="s">
        <v>2415</v>
      </c>
      <c r="P522" s="29"/>
      <c r="Q522" s="27"/>
      <c r="T522" s="29"/>
      <c r="U522" s="32"/>
      <c r="V522" s="91"/>
      <c r="X522" s="29"/>
      <c r="Y522" s="27"/>
      <c r="Z522" s="30"/>
      <c r="AD522" s="29"/>
    </row>
    <row r="523" hidden="1" customHeight="1" spans="1:30">
      <c r="A523" s="37" t="s">
        <v>637</v>
      </c>
      <c r="B523" s="38">
        <v>45169</v>
      </c>
      <c r="C523" s="37" t="s">
        <v>748</v>
      </c>
      <c r="D523" s="37" t="s">
        <v>653</v>
      </c>
      <c r="E523" s="37" t="s">
        <v>640</v>
      </c>
      <c r="F523" s="37" t="s">
        <v>641</v>
      </c>
      <c r="G523" s="37" t="s">
        <v>1899</v>
      </c>
      <c r="H523" s="37" t="s">
        <v>697</v>
      </c>
      <c r="I523" s="37" t="s">
        <v>1927</v>
      </c>
      <c r="J523" s="37" t="s">
        <v>656</v>
      </c>
      <c r="K523" s="37" t="s">
        <v>166</v>
      </c>
      <c r="L523" s="47">
        <v>4889.39</v>
      </c>
      <c r="M523" s="47">
        <v>4612.63</v>
      </c>
      <c r="N523" s="47">
        <v>276.76</v>
      </c>
      <c r="O523" s="37" t="s">
        <v>2416</v>
      </c>
      <c r="P523" s="29"/>
      <c r="Q523" s="27"/>
      <c r="T523" s="29"/>
      <c r="U523" s="32"/>
      <c r="V523" s="91"/>
      <c r="X523" s="29"/>
      <c r="Y523" s="27"/>
      <c r="Z523" s="30"/>
      <c r="AD523" s="29"/>
    </row>
    <row r="524" hidden="1" customHeight="1" spans="1:30">
      <c r="A524" s="37" t="s">
        <v>637</v>
      </c>
      <c r="B524" s="38">
        <v>45169</v>
      </c>
      <c r="C524" s="37" t="s">
        <v>748</v>
      </c>
      <c r="D524" s="37" t="s">
        <v>653</v>
      </c>
      <c r="E524" s="37" t="s">
        <v>640</v>
      </c>
      <c r="F524" s="37" t="s">
        <v>641</v>
      </c>
      <c r="G524" s="37" t="s">
        <v>1899</v>
      </c>
      <c r="H524" s="37" t="s">
        <v>650</v>
      </c>
      <c r="I524" s="37" t="s">
        <v>463</v>
      </c>
      <c r="J524" s="37" t="s">
        <v>656</v>
      </c>
      <c r="K524" s="37" t="s">
        <v>166</v>
      </c>
      <c r="L524" s="47">
        <v>1728.39</v>
      </c>
      <c r="M524" s="47">
        <v>1630.56</v>
      </c>
      <c r="N524" s="47">
        <v>97.83</v>
      </c>
      <c r="O524" s="37" t="s">
        <v>2417</v>
      </c>
      <c r="P524" s="29"/>
      <c r="Q524" s="27"/>
      <c r="T524" s="29"/>
      <c r="U524" s="32"/>
      <c r="V524" s="91"/>
      <c r="X524" s="29"/>
      <c r="Y524" s="27"/>
      <c r="Z524" s="30"/>
      <c r="AD524" s="29"/>
    </row>
    <row r="525" hidden="1" customHeight="1" spans="1:30">
      <c r="A525" s="37" t="s">
        <v>637</v>
      </c>
      <c r="B525" s="38">
        <v>45169</v>
      </c>
      <c r="C525" s="37" t="s">
        <v>748</v>
      </c>
      <c r="D525" s="37" t="s">
        <v>653</v>
      </c>
      <c r="E525" s="37" t="s">
        <v>640</v>
      </c>
      <c r="F525" s="37" t="s">
        <v>641</v>
      </c>
      <c r="G525" s="37" t="s">
        <v>1899</v>
      </c>
      <c r="H525" s="37" t="s">
        <v>697</v>
      </c>
      <c r="I525" s="37" t="s">
        <v>463</v>
      </c>
      <c r="J525" s="37" t="s">
        <v>656</v>
      </c>
      <c r="K525" s="37" t="s">
        <v>166</v>
      </c>
      <c r="L525" s="47">
        <v>4754.33</v>
      </c>
      <c r="M525" s="47">
        <v>4485.22</v>
      </c>
      <c r="N525" s="47">
        <v>269.11</v>
      </c>
      <c r="O525" s="37" t="s">
        <v>2418</v>
      </c>
      <c r="P525" s="29"/>
      <c r="Q525" s="27"/>
      <c r="T525" s="29"/>
      <c r="U525" s="32"/>
      <c r="V525" s="91"/>
      <c r="X525" s="29"/>
      <c r="Y525" s="27"/>
      <c r="Z525" s="30"/>
      <c r="AD525" s="29"/>
    </row>
    <row r="526" hidden="1" customHeight="1" spans="1:30">
      <c r="A526" s="37" t="s">
        <v>637</v>
      </c>
      <c r="B526" s="38">
        <v>45169</v>
      </c>
      <c r="C526" s="37" t="s">
        <v>748</v>
      </c>
      <c r="D526" s="37" t="s">
        <v>1296</v>
      </c>
      <c r="E526" s="37" t="s">
        <v>640</v>
      </c>
      <c r="F526" s="37" t="s">
        <v>641</v>
      </c>
      <c r="G526" s="37" t="s">
        <v>1899</v>
      </c>
      <c r="H526" s="37" t="s">
        <v>650</v>
      </c>
      <c r="I526" s="37" t="s">
        <v>1913</v>
      </c>
      <c r="J526" s="37" t="s">
        <v>644</v>
      </c>
      <c r="K526" s="37" t="s">
        <v>350</v>
      </c>
      <c r="L526" s="47">
        <v>37818.7</v>
      </c>
      <c r="M526" s="47">
        <v>35678.02</v>
      </c>
      <c r="N526" s="47">
        <v>2140.68</v>
      </c>
      <c r="O526" s="37" t="s">
        <v>2419</v>
      </c>
      <c r="P526" s="29"/>
      <c r="Q526" s="27"/>
      <c r="T526" s="29"/>
      <c r="U526" s="32"/>
      <c r="V526" s="91"/>
      <c r="X526" s="29"/>
      <c r="Y526" s="27"/>
      <c r="Z526" s="30"/>
      <c r="AD526" s="29"/>
    </row>
    <row r="527" hidden="1" customHeight="1" spans="1:30">
      <c r="A527" s="37" t="s">
        <v>637</v>
      </c>
      <c r="B527" s="38">
        <v>45169</v>
      </c>
      <c r="C527" s="37" t="s">
        <v>748</v>
      </c>
      <c r="D527" s="37" t="s">
        <v>653</v>
      </c>
      <c r="E527" s="37" t="s">
        <v>640</v>
      </c>
      <c r="F527" s="37" t="s">
        <v>641</v>
      </c>
      <c r="G527" s="37" t="s">
        <v>1899</v>
      </c>
      <c r="H527" s="37" t="s">
        <v>650</v>
      </c>
      <c r="I527" s="37" t="s">
        <v>463</v>
      </c>
      <c r="J527" s="37" t="s">
        <v>656</v>
      </c>
      <c r="K527" s="37" t="s">
        <v>166</v>
      </c>
      <c r="L527" s="47">
        <v>30655.35</v>
      </c>
      <c r="M527" s="47">
        <v>28920.14</v>
      </c>
      <c r="N527" s="47">
        <v>1735.21</v>
      </c>
      <c r="O527" s="37" t="s">
        <v>2420</v>
      </c>
      <c r="P527" s="29"/>
      <c r="Q527" s="27"/>
      <c r="T527" s="29"/>
      <c r="U527" s="32"/>
      <c r="V527" s="91"/>
      <c r="X527" s="29"/>
      <c r="Y527" s="27"/>
      <c r="Z527" s="30"/>
      <c r="AD527" s="29"/>
    </row>
    <row r="528" hidden="1" customHeight="1" spans="1:30">
      <c r="A528" s="37" t="s">
        <v>637</v>
      </c>
      <c r="B528" s="38">
        <v>45169</v>
      </c>
      <c r="C528" s="37" t="s">
        <v>748</v>
      </c>
      <c r="D528" s="37" t="s">
        <v>653</v>
      </c>
      <c r="E528" s="37" t="s">
        <v>640</v>
      </c>
      <c r="F528" s="37" t="s">
        <v>641</v>
      </c>
      <c r="G528" s="37" t="s">
        <v>1901</v>
      </c>
      <c r="H528" s="37" t="s">
        <v>650</v>
      </c>
      <c r="I528" s="37" t="s">
        <v>463</v>
      </c>
      <c r="J528" s="37" t="s">
        <v>656</v>
      </c>
      <c r="K528" s="37" t="s">
        <v>166</v>
      </c>
      <c r="L528" s="47">
        <v>3368.85</v>
      </c>
      <c r="M528" s="47">
        <v>3178.16</v>
      </c>
      <c r="N528" s="47">
        <v>190.69</v>
      </c>
      <c r="O528" s="37" t="s">
        <v>2421</v>
      </c>
      <c r="P528" s="29"/>
      <c r="Q528" s="27"/>
      <c r="T528" s="29"/>
      <c r="U528" s="32"/>
      <c r="V528" s="91"/>
      <c r="X528" s="29"/>
      <c r="Y528" s="27"/>
      <c r="Z528" s="30"/>
      <c r="AD528" s="29"/>
    </row>
    <row r="529" hidden="1" customHeight="1" spans="1:30">
      <c r="A529" s="37" t="s">
        <v>637</v>
      </c>
      <c r="B529" s="38">
        <v>45169</v>
      </c>
      <c r="C529" s="37" t="s">
        <v>748</v>
      </c>
      <c r="D529" s="37" t="s">
        <v>653</v>
      </c>
      <c r="E529" s="37" t="s">
        <v>640</v>
      </c>
      <c r="F529" s="37" t="s">
        <v>641</v>
      </c>
      <c r="G529" s="37" t="s">
        <v>1899</v>
      </c>
      <c r="H529" s="37" t="s">
        <v>650</v>
      </c>
      <c r="I529" s="37" t="s">
        <v>463</v>
      </c>
      <c r="J529" s="37" t="s">
        <v>656</v>
      </c>
      <c r="K529" s="37" t="s">
        <v>166</v>
      </c>
      <c r="L529" s="47">
        <v>3801</v>
      </c>
      <c r="M529" s="47">
        <v>3585.85</v>
      </c>
      <c r="N529" s="47">
        <v>215.15</v>
      </c>
      <c r="O529" s="37" t="s">
        <v>2422</v>
      </c>
      <c r="P529" s="29"/>
      <c r="Q529" s="27"/>
      <c r="T529" s="29"/>
      <c r="U529" s="32"/>
      <c r="V529" s="91"/>
      <c r="X529" s="29"/>
      <c r="Y529" s="27"/>
      <c r="Z529" s="30"/>
      <c r="AD529" s="29"/>
    </row>
    <row r="530" hidden="1" customHeight="1" spans="1:30">
      <c r="A530" s="37" t="s">
        <v>637</v>
      </c>
      <c r="B530" s="38">
        <v>45169</v>
      </c>
      <c r="C530" s="37" t="s">
        <v>811</v>
      </c>
      <c r="D530" s="37" t="s">
        <v>653</v>
      </c>
      <c r="E530" s="37" t="s">
        <v>640</v>
      </c>
      <c r="F530" s="37" t="s">
        <v>641</v>
      </c>
      <c r="G530" s="37" t="s">
        <v>1899</v>
      </c>
      <c r="H530" s="37" t="s">
        <v>650</v>
      </c>
      <c r="I530" s="37" t="s">
        <v>435</v>
      </c>
      <c r="J530" s="37" t="s">
        <v>656</v>
      </c>
      <c r="K530" s="37" t="s">
        <v>166</v>
      </c>
      <c r="L530" s="47">
        <v>-690621.47</v>
      </c>
      <c r="M530" s="47">
        <v>-651529.69</v>
      </c>
      <c r="N530" s="47">
        <v>-39091.78</v>
      </c>
      <c r="O530" s="37" t="s">
        <v>2423</v>
      </c>
      <c r="P530" s="29"/>
      <c r="Q530" s="27"/>
      <c r="T530" s="29"/>
      <c r="U530" s="32"/>
      <c r="V530" s="91"/>
      <c r="X530" s="29"/>
      <c r="Y530" s="27"/>
      <c r="Z530" s="30"/>
      <c r="AD530" s="29"/>
    </row>
    <row r="531" hidden="1" customHeight="1" spans="1:30">
      <c r="A531" s="37" t="s">
        <v>637</v>
      </c>
      <c r="B531" s="38">
        <v>45169</v>
      </c>
      <c r="C531" s="37" t="s">
        <v>811</v>
      </c>
      <c r="D531" s="37" t="s">
        <v>653</v>
      </c>
      <c r="E531" s="37" t="s">
        <v>640</v>
      </c>
      <c r="F531" s="37" t="s">
        <v>641</v>
      </c>
      <c r="G531" s="37" t="s">
        <v>1899</v>
      </c>
      <c r="H531" s="37" t="s">
        <v>650</v>
      </c>
      <c r="I531" s="37" t="s">
        <v>433</v>
      </c>
      <c r="J531" s="37" t="s">
        <v>656</v>
      </c>
      <c r="K531" s="37" t="s">
        <v>166</v>
      </c>
      <c r="L531" s="47">
        <v>-18532</v>
      </c>
      <c r="M531" s="47">
        <v>-17483.02</v>
      </c>
      <c r="N531" s="47">
        <v>-1048.98</v>
      </c>
      <c r="O531" s="37" t="s">
        <v>2424</v>
      </c>
      <c r="P531" s="29"/>
      <c r="Q531" s="27"/>
      <c r="T531" s="29"/>
      <c r="U531" s="32"/>
      <c r="V531" s="91"/>
      <c r="X531" s="29"/>
      <c r="Y531" s="27"/>
      <c r="Z531" s="30"/>
      <c r="AD531" s="29"/>
    </row>
    <row r="532" hidden="1" customHeight="1" spans="1:30">
      <c r="A532" s="37" t="s">
        <v>637</v>
      </c>
      <c r="B532" s="38">
        <v>45169</v>
      </c>
      <c r="C532" s="37" t="s">
        <v>811</v>
      </c>
      <c r="D532" s="37" t="s">
        <v>653</v>
      </c>
      <c r="E532" s="37" t="s">
        <v>640</v>
      </c>
      <c r="F532" s="37" t="s">
        <v>641</v>
      </c>
      <c r="G532" s="37" t="s">
        <v>1901</v>
      </c>
      <c r="H532" s="37" t="s">
        <v>650</v>
      </c>
      <c r="I532" s="37" t="s">
        <v>435</v>
      </c>
      <c r="J532" s="37" t="s">
        <v>656</v>
      </c>
      <c r="K532" s="37" t="s">
        <v>166</v>
      </c>
      <c r="L532" s="47">
        <v>204640.58</v>
      </c>
      <c r="M532" s="47">
        <v>193057.15</v>
      </c>
      <c r="N532" s="47">
        <v>11583.43</v>
      </c>
      <c r="O532" s="37" t="s">
        <v>2425</v>
      </c>
      <c r="P532" s="29"/>
      <c r="Q532" s="27"/>
      <c r="T532" s="29"/>
      <c r="U532" s="32"/>
      <c r="V532" s="91"/>
      <c r="X532" s="29"/>
      <c r="Y532" s="27"/>
      <c r="Z532" s="30"/>
      <c r="AD532" s="29"/>
    </row>
    <row r="533" hidden="1" customHeight="1" spans="1:30">
      <c r="A533" s="37" t="s">
        <v>637</v>
      </c>
      <c r="B533" s="38">
        <v>45169</v>
      </c>
      <c r="C533" s="37" t="s">
        <v>811</v>
      </c>
      <c r="D533" s="37" t="s">
        <v>653</v>
      </c>
      <c r="E533" s="37" t="s">
        <v>640</v>
      </c>
      <c r="F533" s="37" t="s">
        <v>641</v>
      </c>
      <c r="G533" s="37" t="s">
        <v>1901</v>
      </c>
      <c r="H533" s="37" t="s">
        <v>650</v>
      </c>
      <c r="I533" s="37" t="s">
        <v>433</v>
      </c>
      <c r="J533" s="37" t="s">
        <v>656</v>
      </c>
      <c r="K533" s="37" t="s">
        <v>166</v>
      </c>
      <c r="L533" s="47">
        <v>20220.13</v>
      </c>
      <c r="M533" s="47">
        <v>19075.59</v>
      </c>
      <c r="N533" s="47">
        <v>1144.54</v>
      </c>
      <c r="O533" s="37" t="s">
        <v>2426</v>
      </c>
      <c r="P533" s="29"/>
      <c r="Q533" s="27"/>
      <c r="T533" s="29"/>
      <c r="U533" s="32"/>
      <c r="V533" s="91"/>
      <c r="X533" s="29"/>
      <c r="Y533" s="27"/>
      <c r="Z533" s="30"/>
      <c r="AD533" s="29"/>
    </row>
    <row r="534" hidden="1" customHeight="1" spans="1:30">
      <c r="A534" s="37" t="s">
        <v>637</v>
      </c>
      <c r="B534" s="38">
        <v>45169</v>
      </c>
      <c r="C534" s="37" t="s">
        <v>748</v>
      </c>
      <c r="D534" s="37" t="s">
        <v>653</v>
      </c>
      <c r="E534" s="37" t="s">
        <v>640</v>
      </c>
      <c r="F534" s="37" t="s">
        <v>641</v>
      </c>
      <c r="G534" s="37" t="s">
        <v>1901</v>
      </c>
      <c r="H534" s="37" t="s">
        <v>650</v>
      </c>
      <c r="I534" s="37" t="s">
        <v>463</v>
      </c>
      <c r="J534" s="37" t="s">
        <v>656</v>
      </c>
      <c r="K534" s="37" t="s">
        <v>166</v>
      </c>
      <c r="L534" s="47">
        <v>85388.93</v>
      </c>
      <c r="M534" s="47">
        <v>80555.59</v>
      </c>
      <c r="N534" s="47">
        <v>4833.34</v>
      </c>
      <c r="O534" s="37" t="s">
        <v>2427</v>
      </c>
      <c r="P534" s="29"/>
      <c r="Q534" s="27"/>
      <c r="T534" s="29"/>
      <c r="U534" s="32"/>
      <c r="V534" s="91"/>
      <c r="X534" s="29"/>
      <c r="Y534" s="27"/>
      <c r="Z534" s="30"/>
      <c r="AD534" s="29"/>
    </row>
    <row r="535" hidden="1" customHeight="1" spans="1:30">
      <c r="A535" s="37" t="s">
        <v>637</v>
      </c>
      <c r="B535" s="38">
        <v>45169</v>
      </c>
      <c r="C535" s="37" t="s">
        <v>811</v>
      </c>
      <c r="D535" s="37" t="s">
        <v>653</v>
      </c>
      <c r="E535" s="37" t="s">
        <v>640</v>
      </c>
      <c r="F535" s="37" t="s">
        <v>641</v>
      </c>
      <c r="G535" s="37" t="s">
        <v>1899</v>
      </c>
      <c r="H535" s="37" t="s">
        <v>650</v>
      </c>
      <c r="I535" s="37" t="s">
        <v>433</v>
      </c>
      <c r="J535" s="37" t="s">
        <v>656</v>
      </c>
      <c r="K535" s="37" t="s">
        <v>166</v>
      </c>
      <c r="L535" s="47">
        <v>40833.48</v>
      </c>
      <c r="M535" s="47">
        <v>38522.15</v>
      </c>
      <c r="N535" s="47">
        <v>2311.33</v>
      </c>
      <c r="O535" s="37" t="s">
        <v>2428</v>
      </c>
      <c r="P535" s="29"/>
      <c r="Q535" s="27"/>
      <c r="T535" s="29"/>
      <c r="U535" s="32"/>
      <c r="V535" s="91"/>
      <c r="X535" s="29"/>
      <c r="Y535" s="27"/>
      <c r="Z535" s="30"/>
      <c r="AD535" s="29"/>
    </row>
    <row r="536" hidden="1" customHeight="1" spans="1:30">
      <c r="A536" s="37" t="s">
        <v>637</v>
      </c>
      <c r="B536" s="38">
        <v>45169</v>
      </c>
      <c r="C536" s="37" t="s">
        <v>730</v>
      </c>
      <c r="D536" s="37" t="s">
        <v>653</v>
      </c>
      <c r="E536" s="37" t="s">
        <v>640</v>
      </c>
      <c r="F536" s="37" t="s">
        <v>641</v>
      </c>
      <c r="G536" s="37" t="s">
        <v>1899</v>
      </c>
      <c r="H536" s="37" t="s">
        <v>650</v>
      </c>
      <c r="I536" s="37" t="s">
        <v>1941</v>
      </c>
      <c r="J536" s="37" t="s">
        <v>656</v>
      </c>
      <c r="K536" s="37" t="s">
        <v>166</v>
      </c>
      <c r="L536" s="47">
        <v>45000</v>
      </c>
      <c r="M536" s="47">
        <v>42452.83</v>
      </c>
      <c r="N536" s="47">
        <v>2547.17</v>
      </c>
      <c r="O536" s="37" t="s">
        <v>2429</v>
      </c>
      <c r="P536" s="29"/>
      <c r="Q536" s="27"/>
      <c r="T536" s="29"/>
      <c r="U536" s="32"/>
      <c r="V536" s="91"/>
      <c r="X536" s="29"/>
      <c r="Y536" s="27"/>
      <c r="Z536" s="30"/>
      <c r="AD536" s="29"/>
    </row>
    <row r="537" hidden="1" customHeight="1" spans="1:30">
      <c r="A537" s="37" t="s">
        <v>637</v>
      </c>
      <c r="B537" s="38">
        <v>45169</v>
      </c>
      <c r="C537" s="37" t="s">
        <v>2102</v>
      </c>
      <c r="D537" s="37" t="s">
        <v>1296</v>
      </c>
      <c r="E537" s="37" t="s">
        <v>640</v>
      </c>
      <c r="F537" s="37" t="s">
        <v>641</v>
      </c>
      <c r="G537" s="37" t="s">
        <v>1899</v>
      </c>
      <c r="H537" s="37" t="s">
        <v>650</v>
      </c>
      <c r="I537" s="37" t="s">
        <v>486</v>
      </c>
      <c r="J537" s="37" t="s">
        <v>656</v>
      </c>
      <c r="K537" s="37" t="s">
        <v>14</v>
      </c>
      <c r="L537" s="47">
        <v>144481.49</v>
      </c>
      <c r="M537" s="47">
        <v>136303.29</v>
      </c>
      <c r="N537" s="47">
        <v>8178.2</v>
      </c>
      <c r="O537" s="37" t="s">
        <v>2430</v>
      </c>
      <c r="P537" s="29"/>
      <c r="Q537" s="27"/>
      <c r="T537" s="29"/>
      <c r="U537" s="32"/>
      <c r="V537" s="91"/>
      <c r="X537" s="29"/>
      <c r="Y537" s="27"/>
      <c r="Z537" s="30"/>
      <c r="AD537" s="29"/>
    </row>
    <row r="538" hidden="1" customHeight="1" spans="1:30">
      <c r="A538" s="37" t="s">
        <v>637</v>
      </c>
      <c r="B538" s="38">
        <v>45169</v>
      </c>
      <c r="C538" s="37" t="s">
        <v>1273</v>
      </c>
      <c r="D538" s="37" t="s">
        <v>653</v>
      </c>
      <c r="E538" s="37" t="s">
        <v>640</v>
      </c>
      <c r="F538" s="37" t="s">
        <v>641</v>
      </c>
      <c r="G538" s="37" t="s">
        <v>1901</v>
      </c>
      <c r="H538" s="37" t="s">
        <v>650</v>
      </c>
      <c r="I538" s="37" t="s">
        <v>748</v>
      </c>
      <c r="J538" s="37" t="s">
        <v>656</v>
      </c>
      <c r="K538" s="37" t="s">
        <v>166</v>
      </c>
      <c r="L538" s="47">
        <v>103605.3</v>
      </c>
      <c r="M538" s="47">
        <v>97740.85</v>
      </c>
      <c r="N538" s="47">
        <v>5864.45</v>
      </c>
      <c r="O538" s="37" t="s">
        <v>2431</v>
      </c>
      <c r="P538" s="29"/>
      <c r="Q538" s="27"/>
      <c r="T538" s="29"/>
      <c r="U538" s="32"/>
      <c r="V538" s="91"/>
      <c r="X538" s="29"/>
      <c r="Y538" s="27"/>
      <c r="Z538" s="30"/>
      <c r="AD538" s="29"/>
    </row>
    <row r="539" hidden="1" customHeight="1" spans="1:30">
      <c r="A539" s="37" t="s">
        <v>637</v>
      </c>
      <c r="B539" s="38">
        <v>45169</v>
      </c>
      <c r="C539" s="37" t="s">
        <v>1273</v>
      </c>
      <c r="D539" s="37" t="s">
        <v>653</v>
      </c>
      <c r="E539" s="37" t="s">
        <v>640</v>
      </c>
      <c r="F539" s="37" t="s">
        <v>641</v>
      </c>
      <c r="G539" s="37" t="s">
        <v>1901</v>
      </c>
      <c r="H539" s="37" t="s">
        <v>650</v>
      </c>
      <c r="I539" s="37" t="s">
        <v>1923</v>
      </c>
      <c r="J539" s="37" t="s">
        <v>656</v>
      </c>
      <c r="K539" s="37" t="s">
        <v>166</v>
      </c>
      <c r="L539" s="47">
        <v>8452.02</v>
      </c>
      <c r="M539" s="47">
        <v>7973.6</v>
      </c>
      <c r="N539" s="47">
        <v>478.42</v>
      </c>
      <c r="O539" s="37" t="s">
        <v>2432</v>
      </c>
      <c r="P539" s="29"/>
      <c r="Q539" s="27"/>
      <c r="T539" s="29"/>
      <c r="U539" s="32"/>
      <c r="V539" s="91"/>
      <c r="X539" s="29"/>
      <c r="Y539" s="27"/>
      <c r="Z539" s="30"/>
      <c r="AD539" s="29"/>
    </row>
    <row r="540" hidden="1" customHeight="1" spans="1:30">
      <c r="A540" s="37" t="s">
        <v>637</v>
      </c>
      <c r="B540" s="38">
        <v>45169</v>
      </c>
      <c r="C540" s="37" t="s">
        <v>2433</v>
      </c>
      <c r="D540" s="37" t="s">
        <v>1296</v>
      </c>
      <c r="E540" s="37" t="s">
        <v>640</v>
      </c>
      <c r="F540" s="37" t="s">
        <v>641</v>
      </c>
      <c r="G540" s="37" t="s">
        <v>1899</v>
      </c>
      <c r="H540" s="37" t="s">
        <v>643</v>
      </c>
      <c r="I540" s="37" t="s">
        <v>444</v>
      </c>
      <c r="J540" s="37" t="s">
        <v>644</v>
      </c>
      <c r="K540" s="37" t="s">
        <v>14</v>
      </c>
      <c r="L540" s="47">
        <v>100000</v>
      </c>
      <c r="M540" s="47">
        <v>94339.62</v>
      </c>
      <c r="N540" s="47">
        <v>5660.38</v>
      </c>
      <c r="O540" s="37" t="s">
        <v>2434</v>
      </c>
      <c r="P540" s="29"/>
      <c r="Q540" s="27"/>
      <c r="T540" s="29"/>
      <c r="U540" s="32"/>
      <c r="V540" s="91"/>
      <c r="X540" s="29"/>
      <c r="Y540" s="27"/>
      <c r="Z540" s="30"/>
      <c r="AD540" s="29"/>
    </row>
    <row r="541" hidden="1" customHeight="1" spans="1:30">
      <c r="A541" s="37" t="s">
        <v>637</v>
      </c>
      <c r="B541" s="38">
        <v>45169</v>
      </c>
      <c r="C541" s="37" t="s">
        <v>992</v>
      </c>
      <c r="D541" s="37" t="s">
        <v>1296</v>
      </c>
      <c r="E541" s="37" t="s">
        <v>640</v>
      </c>
      <c r="F541" s="37" t="s">
        <v>641</v>
      </c>
      <c r="G541" s="37" t="s">
        <v>1899</v>
      </c>
      <c r="H541" s="37" t="s">
        <v>650</v>
      </c>
      <c r="I541" s="37" t="s">
        <v>2039</v>
      </c>
      <c r="J541" s="37" t="s">
        <v>644</v>
      </c>
      <c r="K541" s="37" t="s">
        <v>20</v>
      </c>
      <c r="L541" s="47">
        <v>24549</v>
      </c>
      <c r="M541" s="47">
        <v>23159.43</v>
      </c>
      <c r="N541" s="47">
        <v>1389.57</v>
      </c>
      <c r="O541" s="37" t="s">
        <v>2435</v>
      </c>
      <c r="P541" s="29"/>
      <c r="Q541" s="27"/>
      <c r="T541" s="29"/>
      <c r="U541" s="32"/>
      <c r="V541" s="91"/>
      <c r="X541" s="29"/>
      <c r="Y541" s="27"/>
      <c r="Z541" s="30"/>
      <c r="AD541" s="29"/>
    </row>
    <row r="542" hidden="1" customHeight="1" spans="1:30">
      <c r="A542" s="37" t="s">
        <v>637</v>
      </c>
      <c r="B542" s="38">
        <v>45169</v>
      </c>
      <c r="C542" s="37" t="s">
        <v>992</v>
      </c>
      <c r="D542" s="37" t="s">
        <v>1296</v>
      </c>
      <c r="E542" s="37" t="s">
        <v>640</v>
      </c>
      <c r="F542" s="37" t="s">
        <v>641</v>
      </c>
      <c r="G542" s="37" t="s">
        <v>1899</v>
      </c>
      <c r="H542" s="37" t="s">
        <v>650</v>
      </c>
      <c r="I542" s="37" t="s">
        <v>2039</v>
      </c>
      <c r="J542" s="37" t="s">
        <v>644</v>
      </c>
      <c r="K542" s="37" t="s">
        <v>20</v>
      </c>
      <c r="L542" s="47">
        <v>100000</v>
      </c>
      <c r="M542" s="47">
        <v>94339.62</v>
      </c>
      <c r="N542" s="47">
        <v>5660.38</v>
      </c>
      <c r="O542" s="37" t="s">
        <v>2436</v>
      </c>
      <c r="P542" s="29"/>
      <c r="Q542" s="27"/>
      <c r="T542" s="29"/>
      <c r="U542" s="32"/>
      <c r="V542" s="91"/>
      <c r="X542" s="29"/>
      <c r="Y542" s="27"/>
      <c r="Z542" s="30"/>
      <c r="AD542" s="29"/>
    </row>
    <row r="543" hidden="1" customHeight="1" spans="1:30">
      <c r="A543" s="37" t="s">
        <v>637</v>
      </c>
      <c r="B543" s="38">
        <v>45169</v>
      </c>
      <c r="C543" s="37" t="s">
        <v>646</v>
      </c>
      <c r="D543" s="37" t="s">
        <v>682</v>
      </c>
      <c r="E543" s="37" t="s">
        <v>640</v>
      </c>
      <c r="F543" s="37" t="s">
        <v>641</v>
      </c>
      <c r="G543" s="37" t="s">
        <v>1899</v>
      </c>
      <c r="H543" s="37" t="s">
        <v>650</v>
      </c>
      <c r="I543" s="37" t="s">
        <v>1934</v>
      </c>
      <c r="J543" s="37" t="s">
        <v>656</v>
      </c>
      <c r="K543" s="37" t="s">
        <v>13</v>
      </c>
      <c r="L543" s="47">
        <v>26923.85</v>
      </c>
      <c r="M543" s="47">
        <v>25399.86</v>
      </c>
      <c r="N543" s="47">
        <v>1523.99</v>
      </c>
      <c r="O543" s="37" t="s">
        <v>2437</v>
      </c>
      <c r="P543" s="29"/>
      <c r="Q543" s="27"/>
      <c r="T543" s="29"/>
      <c r="U543" s="32"/>
      <c r="V543" s="91"/>
      <c r="X543" s="29"/>
      <c r="Y543" s="27"/>
      <c r="Z543" s="30"/>
      <c r="AD543" s="29"/>
    </row>
    <row r="544" hidden="1" customHeight="1" spans="1:30">
      <c r="A544" s="37" t="s">
        <v>637</v>
      </c>
      <c r="B544" s="38">
        <v>45169</v>
      </c>
      <c r="C544" s="37" t="s">
        <v>646</v>
      </c>
      <c r="D544" s="37" t="s">
        <v>2134</v>
      </c>
      <c r="E544" s="37" t="s">
        <v>640</v>
      </c>
      <c r="F544" s="37" t="s">
        <v>641</v>
      </c>
      <c r="G544" s="37" t="s">
        <v>1899</v>
      </c>
      <c r="H544" s="37" t="s">
        <v>643</v>
      </c>
      <c r="I544" s="37" t="s">
        <v>1906</v>
      </c>
      <c r="J544" s="37" t="s">
        <v>656</v>
      </c>
      <c r="K544" s="37" t="s">
        <v>14</v>
      </c>
      <c r="L544" s="47">
        <v>6770.2</v>
      </c>
      <c r="M544" s="47">
        <v>6386.98</v>
      </c>
      <c r="N544" s="47">
        <v>383.22</v>
      </c>
      <c r="O544" s="37" t="s">
        <v>2438</v>
      </c>
      <c r="P544" s="29"/>
      <c r="Q544" s="27"/>
      <c r="T544" s="29"/>
      <c r="U544" s="32"/>
      <c r="V544" s="91"/>
      <c r="X544" s="29"/>
      <c r="Y544" s="27"/>
      <c r="Z544" s="30"/>
      <c r="AD544" s="29"/>
    </row>
    <row r="545" hidden="1" customHeight="1" spans="1:30">
      <c r="A545" s="37" t="s">
        <v>637</v>
      </c>
      <c r="B545" s="38">
        <v>45169</v>
      </c>
      <c r="C545" s="37" t="s">
        <v>1273</v>
      </c>
      <c r="D545" s="37" t="s">
        <v>653</v>
      </c>
      <c r="E545" s="37" t="s">
        <v>640</v>
      </c>
      <c r="F545" s="37" t="s">
        <v>641</v>
      </c>
      <c r="G545" s="37" t="s">
        <v>1901</v>
      </c>
      <c r="H545" s="37" t="s">
        <v>650</v>
      </c>
      <c r="I545" s="37" t="s">
        <v>1946</v>
      </c>
      <c r="J545" s="37" t="s">
        <v>656</v>
      </c>
      <c r="K545" s="37" t="s">
        <v>166</v>
      </c>
      <c r="L545" s="47">
        <v>11431.54</v>
      </c>
      <c r="M545" s="47">
        <v>10784.47</v>
      </c>
      <c r="N545" s="47">
        <v>647.07</v>
      </c>
      <c r="O545" s="37" t="s">
        <v>2439</v>
      </c>
      <c r="P545" s="29"/>
      <c r="Q545" s="27"/>
      <c r="T545" s="29"/>
      <c r="U545" s="32"/>
      <c r="V545" s="91"/>
      <c r="X545" s="29"/>
      <c r="Y545" s="27"/>
      <c r="Z545" s="30"/>
      <c r="AD545" s="29"/>
    </row>
    <row r="546" hidden="1" customHeight="1" spans="1:30">
      <c r="A546" s="37" t="s">
        <v>637</v>
      </c>
      <c r="B546" s="38">
        <v>45169</v>
      </c>
      <c r="C546" s="37" t="s">
        <v>1273</v>
      </c>
      <c r="D546" s="37" t="s">
        <v>653</v>
      </c>
      <c r="E546" s="37" t="s">
        <v>640</v>
      </c>
      <c r="F546" s="37" t="s">
        <v>641</v>
      </c>
      <c r="G546" s="37" t="s">
        <v>1899</v>
      </c>
      <c r="H546" s="37" t="s">
        <v>650</v>
      </c>
      <c r="I546" s="37" t="s">
        <v>737</v>
      </c>
      <c r="J546" s="37" t="s">
        <v>656</v>
      </c>
      <c r="K546" s="37" t="s">
        <v>166</v>
      </c>
      <c r="L546" s="47">
        <v>336784.67</v>
      </c>
      <c r="M546" s="47">
        <v>317721.39</v>
      </c>
      <c r="N546" s="47">
        <v>19063.28</v>
      </c>
      <c r="O546" s="37" t="s">
        <v>2440</v>
      </c>
      <c r="P546" s="29"/>
      <c r="Q546" s="27"/>
      <c r="T546" s="29"/>
      <c r="U546" s="32"/>
      <c r="V546" s="91"/>
      <c r="X546" s="29"/>
      <c r="Y546" s="27"/>
      <c r="Z546" s="30"/>
      <c r="AD546" s="29"/>
    </row>
    <row r="547" hidden="1" customHeight="1" spans="1:30">
      <c r="A547" s="37" t="s">
        <v>637</v>
      </c>
      <c r="B547" s="38">
        <v>45169</v>
      </c>
      <c r="C547" s="37" t="s">
        <v>646</v>
      </c>
      <c r="D547" s="37" t="s">
        <v>1296</v>
      </c>
      <c r="E547" s="37" t="s">
        <v>640</v>
      </c>
      <c r="F547" s="37" t="s">
        <v>641</v>
      </c>
      <c r="G547" s="37" t="s">
        <v>1899</v>
      </c>
      <c r="H547" s="37" t="s">
        <v>643</v>
      </c>
      <c r="I547" s="37" t="s">
        <v>1982</v>
      </c>
      <c r="J547" s="37" t="s">
        <v>644</v>
      </c>
      <c r="K547" s="37" t="s">
        <v>14</v>
      </c>
      <c r="L547" s="47">
        <v>272022.37</v>
      </c>
      <c r="M547" s="47">
        <v>256624.88</v>
      </c>
      <c r="N547" s="47">
        <v>15397.49</v>
      </c>
      <c r="O547" s="37" t="s">
        <v>2441</v>
      </c>
      <c r="P547" s="29"/>
      <c r="Q547" s="27"/>
      <c r="T547" s="29"/>
      <c r="U547" s="32"/>
      <c r="V547" s="91"/>
      <c r="X547" s="29"/>
      <c r="Y547" s="27"/>
      <c r="Z547" s="30"/>
      <c r="AD547" s="29"/>
    </row>
    <row r="548" hidden="1" customHeight="1" spans="1:30">
      <c r="A548" s="37" t="s">
        <v>637</v>
      </c>
      <c r="B548" s="38">
        <v>45169</v>
      </c>
      <c r="C548" s="37" t="s">
        <v>646</v>
      </c>
      <c r="D548" s="37" t="s">
        <v>1296</v>
      </c>
      <c r="E548" s="37" t="s">
        <v>640</v>
      </c>
      <c r="F548" s="37" t="s">
        <v>641</v>
      </c>
      <c r="G548" s="37" t="s">
        <v>1899</v>
      </c>
      <c r="H548" s="37" t="s">
        <v>650</v>
      </c>
      <c r="I548" s="37" t="s">
        <v>1934</v>
      </c>
      <c r="J548" s="37" t="s">
        <v>656</v>
      </c>
      <c r="K548" s="37" t="s">
        <v>13</v>
      </c>
      <c r="L548" s="47">
        <v>12876.15</v>
      </c>
      <c r="M548" s="47">
        <v>12147.31</v>
      </c>
      <c r="N548" s="47">
        <v>728.84</v>
      </c>
      <c r="O548" s="37" t="s">
        <v>2442</v>
      </c>
      <c r="P548" s="29"/>
      <c r="Q548" s="27"/>
      <c r="T548" s="29"/>
      <c r="U548" s="32"/>
      <c r="V548" s="91"/>
      <c r="X548" s="29"/>
      <c r="Y548" s="27"/>
      <c r="Z548" s="30"/>
      <c r="AD548" s="29"/>
    </row>
    <row r="549" hidden="1" customHeight="1" spans="1:30">
      <c r="A549" s="37" t="s">
        <v>637</v>
      </c>
      <c r="B549" s="38">
        <v>45169</v>
      </c>
      <c r="C549" s="37" t="s">
        <v>646</v>
      </c>
      <c r="D549" s="37" t="s">
        <v>1296</v>
      </c>
      <c r="E549" s="37" t="s">
        <v>640</v>
      </c>
      <c r="F549" s="37" t="s">
        <v>641</v>
      </c>
      <c r="G549" s="37" t="s">
        <v>1899</v>
      </c>
      <c r="H549" s="37" t="s">
        <v>650</v>
      </c>
      <c r="I549" s="37" t="s">
        <v>2028</v>
      </c>
      <c r="J549" s="37" t="s">
        <v>656</v>
      </c>
      <c r="K549" s="37" t="s">
        <v>13</v>
      </c>
      <c r="L549" s="47">
        <v>14055.6</v>
      </c>
      <c r="M549" s="47">
        <v>13260</v>
      </c>
      <c r="N549" s="47">
        <v>795.6</v>
      </c>
      <c r="O549" s="37" t="s">
        <v>2443</v>
      </c>
      <c r="P549" s="29"/>
      <c r="Q549" s="27"/>
      <c r="T549" s="29"/>
      <c r="U549" s="32"/>
      <c r="V549" s="91"/>
      <c r="X549" s="29"/>
      <c r="Y549" s="27"/>
      <c r="Z549" s="30"/>
      <c r="AD549" s="29"/>
    </row>
    <row r="550" hidden="1" customHeight="1" spans="1:30">
      <c r="A550" s="37" t="s">
        <v>637</v>
      </c>
      <c r="B550" s="38">
        <v>45169</v>
      </c>
      <c r="C550" s="37" t="s">
        <v>646</v>
      </c>
      <c r="D550" s="37" t="s">
        <v>1296</v>
      </c>
      <c r="E550" s="37" t="s">
        <v>640</v>
      </c>
      <c r="F550" s="37" t="s">
        <v>641</v>
      </c>
      <c r="G550" s="37" t="s">
        <v>1899</v>
      </c>
      <c r="H550" s="37" t="s">
        <v>650</v>
      </c>
      <c r="I550" s="37" t="s">
        <v>2037</v>
      </c>
      <c r="J550" s="37" t="s">
        <v>644</v>
      </c>
      <c r="K550" s="37" t="s">
        <v>20</v>
      </c>
      <c r="L550" s="47">
        <v>682300</v>
      </c>
      <c r="M550" s="47">
        <v>643679.25</v>
      </c>
      <c r="N550" s="47">
        <v>38620.75</v>
      </c>
      <c r="O550" s="37" t="s">
        <v>2444</v>
      </c>
      <c r="P550" s="29"/>
      <c r="Q550" s="27"/>
      <c r="T550" s="29"/>
      <c r="U550" s="32"/>
      <c r="V550" s="91"/>
      <c r="X550" s="29"/>
      <c r="Y550" s="27"/>
      <c r="Z550" s="30"/>
      <c r="AD550" s="29"/>
    </row>
    <row r="551" hidden="1" customHeight="1" spans="1:30">
      <c r="A551" s="37" t="s">
        <v>637</v>
      </c>
      <c r="B551" s="38">
        <v>45169</v>
      </c>
      <c r="C551" s="37" t="s">
        <v>646</v>
      </c>
      <c r="D551" s="37" t="s">
        <v>1296</v>
      </c>
      <c r="E551" s="37" t="s">
        <v>640</v>
      </c>
      <c r="F551" s="37" t="s">
        <v>641</v>
      </c>
      <c r="G551" s="37" t="s">
        <v>1899</v>
      </c>
      <c r="H551" s="37" t="s">
        <v>643</v>
      </c>
      <c r="I551" s="37" t="s">
        <v>1995</v>
      </c>
      <c r="J551" s="37" t="s">
        <v>644</v>
      </c>
      <c r="K551" s="37" t="s">
        <v>14</v>
      </c>
      <c r="L551" s="47">
        <v>176368.61</v>
      </c>
      <c r="M551" s="47">
        <v>166385.48</v>
      </c>
      <c r="N551" s="47">
        <v>9983.13</v>
      </c>
      <c r="O551" s="37" t="s">
        <v>2445</v>
      </c>
      <c r="P551" s="29"/>
      <c r="Q551" s="27"/>
      <c r="T551" s="29"/>
      <c r="U551" s="32"/>
      <c r="V551" s="91"/>
      <c r="X551" s="29"/>
      <c r="Y551" s="27"/>
      <c r="Z551" s="30"/>
      <c r="AD551" s="29"/>
    </row>
    <row r="552" hidden="1" customHeight="1" spans="1:30">
      <c r="A552" s="37" t="s">
        <v>637</v>
      </c>
      <c r="B552" s="38">
        <v>45169</v>
      </c>
      <c r="C552" s="37" t="s">
        <v>646</v>
      </c>
      <c r="D552" s="37" t="s">
        <v>1296</v>
      </c>
      <c r="E552" s="37" t="s">
        <v>640</v>
      </c>
      <c r="F552" s="37" t="s">
        <v>641</v>
      </c>
      <c r="G552" s="37" t="s">
        <v>1899</v>
      </c>
      <c r="H552" s="37" t="s">
        <v>650</v>
      </c>
      <c r="I552" s="37" t="s">
        <v>461</v>
      </c>
      <c r="J552" s="37" t="s">
        <v>644</v>
      </c>
      <c r="K552" s="37" t="s">
        <v>14</v>
      </c>
      <c r="L552" s="47">
        <v>22808.46</v>
      </c>
      <c r="M552" s="47">
        <v>21517.42</v>
      </c>
      <c r="N552" s="47">
        <v>1291.04</v>
      </c>
      <c r="O552" s="37" t="s">
        <v>2446</v>
      </c>
      <c r="P552" s="29"/>
      <c r="Q552" s="27"/>
      <c r="T552" s="29"/>
      <c r="U552" s="32"/>
      <c r="V552" s="91"/>
      <c r="X552" s="29"/>
      <c r="Y552" s="27"/>
      <c r="Z552" s="30"/>
      <c r="AD552" s="29"/>
    </row>
    <row r="553" hidden="1" customHeight="1" spans="1:30">
      <c r="A553" s="37" t="s">
        <v>637</v>
      </c>
      <c r="B553" s="38">
        <v>45169</v>
      </c>
      <c r="C553" s="37" t="s">
        <v>646</v>
      </c>
      <c r="D553" s="37" t="s">
        <v>726</v>
      </c>
      <c r="E553" s="37" t="s">
        <v>640</v>
      </c>
      <c r="F553" s="37" t="s">
        <v>641</v>
      </c>
      <c r="G553" s="37" t="s">
        <v>1899</v>
      </c>
      <c r="H553" s="37" t="s">
        <v>650</v>
      </c>
      <c r="I553" s="37" t="s">
        <v>1938</v>
      </c>
      <c r="J553" s="37" t="s">
        <v>656</v>
      </c>
      <c r="K553" s="37" t="s">
        <v>14</v>
      </c>
      <c r="L553" s="47">
        <v>31946</v>
      </c>
      <c r="M553" s="47">
        <v>30137.74</v>
      </c>
      <c r="N553" s="47">
        <v>1808.26</v>
      </c>
      <c r="O553" s="37" t="s">
        <v>2447</v>
      </c>
      <c r="P553" s="29"/>
      <c r="Q553" s="27"/>
      <c r="T553" s="29"/>
      <c r="U553" s="32"/>
      <c r="V553" s="91"/>
      <c r="X553" s="29"/>
      <c r="Y553" s="27"/>
      <c r="Z553" s="30"/>
      <c r="AD553" s="29"/>
    </row>
    <row r="554" hidden="1" customHeight="1" spans="1:30">
      <c r="A554" s="37" t="s">
        <v>637</v>
      </c>
      <c r="B554" s="38">
        <v>45169</v>
      </c>
      <c r="C554" s="37" t="s">
        <v>646</v>
      </c>
      <c r="D554" s="37" t="s">
        <v>1296</v>
      </c>
      <c r="E554" s="37" t="s">
        <v>640</v>
      </c>
      <c r="F554" s="37" t="s">
        <v>641</v>
      </c>
      <c r="G554" s="37" t="s">
        <v>1899</v>
      </c>
      <c r="H554" s="37" t="s">
        <v>643</v>
      </c>
      <c r="I554" s="37" t="s">
        <v>1993</v>
      </c>
      <c r="J554" s="37" t="s">
        <v>644</v>
      </c>
      <c r="K554" s="37" t="s">
        <v>14</v>
      </c>
      <c r="L554" s="47">
        <v>85554.15</v>
      </c>
      <c r="M554" s="47">
        <v>80711.46</v>
      </c>
      <c r="N554" s="47">
        <v>4842.69</v>
      </c>
      <c r="O554" s="37" t="s">
        <v>2448</v>
      </c>
      <c r="P554" s="29"/>
      <c r="Q554" s="27"/>
      <c r="T554" s="29"/>
      <c r="U554" s="32"/>
      <c r="V554" s="91"/>
      <c r="X554" s="29"/>
      <c r="Y554" s="27"/>
      <c r="Z554" s="30"/>
      <c r="AD554" s="29"/>
    </row>
    <row r="555" hidden="1" customHeight="1" spans="1:30">
      <c r="A555" s="37" t="s">
        <v>637</v>
      </c>
      <c r="B555" s="38">
        <v>45169</v>
      </c>
      <c r="C555" s="37" t="s">
        <v>646</v>
      </c>
      <c r="D555" s="37" t="s">
        <v>726</v>
      </c>
      <c r="E555" s="37" t="s">
        <v>1898</v>
      </c>
      <c r="F555" s="37" t="s">
        <v>641</v>
      </c>
      <c r="G555" s="37" t="s">
        <v>1899</v>
      </c>
      <c r="H555" s="37" t="s">
        <v>643</v>
      </c>
      <c r="I555" s="37" t="s">
        <v>466</v>
      </c>
      <c r="J555" s="37" t="s">
        <v>656</v>
      </c>
      <c r="K555" s="37" t="s">
        <v>14</v>
      </c>
      <c r="L555" s="47">
        <v>498036.39</v>
      </c>
      <c r="M555" s="47">
        <v>469845.65</v>
      </c>
      <c r="N555" s="47">
        <v>28190.74</v>
      </c>
      <c r="O555" s="37" t="s">
        <v>2449</v>
      </c>
      <c r="P555" s="29"/>
      <c r="Q555" s="27"/>
      <c r="T555" s="29"/>
      <c r="U555" s="32"/>
      <c r="V555" s="91"/>
      <c r="X555" s="29"/>
      <c r="Y555" s="27"/>
      <c r="Z555" s="30"/>
      <c r="AD555" s="29"/>
    </row>
    <row r="556" hidden="1" customHeight="1" spans="1:30">
      <c r="A556" s="37" t="s">
        <v>637</v>
      </c>
      <c r="B556" s="38">
        <v>45169</v>
      </c>
      <c r="C556" s="37" t="s">
        <v>646</v>
      </c>
      <c r="D556" s="37" t="s">
        <v>1296</v>
      </c>
      <c r="E556" s="37" t="s">
        <v>1898</v>
      </c>
      <c r="F556" s="37" t="s">
        <v>641</v>
      </c>
      <c r="G556" s="37" t="s">
        <v>1899</v>
      </c>
      <c r="H556" s="37" t="s">
        <v>643</v>
      </c>
      <c r="I556" s="37" t="s">
        <v>466</v>
      </c>
      <c r="J556" s="37" t="s">
        <v>656</v>
      </c>
      <c r="K556" s="37" t="s">
        <v>14</v>
      </c>
      <c r="L556" s="47">
        <v>305316.62</v>
      </c>
      <c r="M556" s="47">
        <v>288034.55</v>
      </c>
      <c r="N556" s="47">
        <v>17282.07</v>
      </c>
      <c r="O556" s="37" t="s">
        <v>2450</v>
      </c>
      <c r="P556" s="29"/>
      <c r="Q556" s="27"/>
      <c r="T556" s="29"/>
      <c r="U556" s="32"/>
      <c r="V556" s="91"/>
      <c r="X556" s="29"/>
      <c r="Y556" s="27"/>
      <c r="Z556" s="30"/>
      <c r="AD556" s="29"/>
    </row>
    <row r="557" hidden="1" customHeight="1" spans="1:30">
      <c r="A557" s="37" t="s">
        <v>637</v>
      </c>
      <c r="B557" s="38">
        <v>45169</v>
      </c>
      <c r="C557" s="37" t="s">
        <v>646</v>
      </c>
      <c r="D557" s="37" t="s">
        <v>1296</v>
      </c>
      <c r="E557" s="37" t="s">
        <v>640</v>
      </c>
      <c r="F557" s="37" t="s">
        <v>641</v>
      </c>
      <c r="G557" s="37" t="s">
        <v>1899</v>
      </c>
      <c r="H557" s="37" t="s">
        <v>650</v>
      </c>
      <c r="I557" s="37" t="s">
        <v>779</v>
      </c>
      <c r="J557" s="37" t="s">
        <v>644</v>
      </c>
      <c r="K557" s="37" t="s">
        <v>14</v>
      </c>
      <c r="L557" s="47">
        <v>13265.67</v>
      </c>
      <c r="M557" s="47">
        <v>12514.78</v>
      </c>
      <c r="N557" s="47">
        <v>750.89</v>
      </c>
      <c r="O557" s="37" t="s">
        <v>2451</v>
      </c>
      <c r="P557" s="29"/>
      <c r="Q557" s="27"/>
      <c r="T557" s="29"/>
      <c r="U557" s="32"/>
      <c r="V557" s="91"/>
      <c r="X557" s="29"/>
      <c r="Y557" s="27"/>
      <c r="Z557" s="30"/>
      <c r="AD557" s="29"/>
    </row>
    <row r="558" hidden="1" customHeight="1" spans="1:30">
      <c r="A558" s="37" t="s">
        <v>637</v>
      </c>
      <c r="B558" s="38">
        <v>45169</v>
      </c>
      <c r="C558" s="37" t="s">
        <v>646</v>
      </c>
      <c r="D558" s="37" t="s">
        <v>726</v>
      </c>
      <c r="E558" s="37" t="s">
        <v>1898</v>
      </c>
      <c r="F558" s="37" t="s">
        <v>641</v>
      </c>
      <c r="G558" s="37" t="s">
        <v>1899</v>
      </c>
      <c r="H558" s="37" t="s">
        <v>697</v>
      </c>
      <c r="I558" s="37" t="s">
        <v>1908</v>
      </c>
      <c r="J558" s="37" t="s">
        <v>656</v>
      </c>
      <c r="K558" s="37" t="s">
        <v>350</v>
      </c>
      <c r="L558" s="47">
        <v>6321.76</v>
      </c>
      <c r="M558" s="47">
        <v>5963.92</v>
      </c>
      <c r="N558" s="47">
        <v>357.84</v>
      </c>
      <c r="O558" s="37" t="s">
        <v>2452</v>
      </c>
      <c r="P558" s="29"/>
      <c r="Q558" s="27"/>
      <c r="T558" s="29"/>
      <c r="U558" s="32"/>
      <c r="V558" s="91"/>
      <c r="X558" s="29"/>
      <c r="Y558" s="27"/>
      <c r="Z558" s="30"/>
      <c r="AD558" s="29"/>
    </row>
    <row r="559" hidden="1" customHeight="1" spans="1:30">
      <c r="A559" s="37" t="s">
        <v>637</v>
      </c>
      <c r="B559" s="38">
        <v>45169</v>
      </c>
      <c r="C559" s="37" t="s">
        <v>646</v>
      </c>
      <c r="D559" s="37" t="s">
        <v>726</v>
      </c>
      <c r="E559" s="37" t="s">
        <v>1898</v>
      </c>
      <c r="F559" s="37" t="s">
        <v>641</v>
      </c>
      <c r="G559" s="37" t="s">
        <v>1899</v>
      </c>
      <c r="H559" s="37" t="s">
        <v>643</v>
      </c>
      <c r="I559" s="37" t="s">
        <v>1906</v>
      </c>
      <c r="J559" s="37" t="s">
        <v>644</v>
      </c>
      <c r="K559" s="37" t="s">
        <v>14</v>
      </c>
      <c r="L559" s="47">
        <v>48295.09</v>
      </c>
      <c r="M559" s="47">
        <v>45561.41</v>
      </c>
      <c r="N559" s="47">
        <v>2733.68</v>
      </c>
      <c r="O559" s="37" t="s">
        <v>2453</v>
      </c>
      <c r="P559" s="29"/>
      <c r="Q559" s="27"/>
      <c r="T559" s="29"/>
      <c r="U559" s="32"/>
      <c r="V559" s="91"/>
      <c r="X559" s="29"/>
      <c r="Y559" s="27"/>
      <c r="Z559" s="30"/>
      <c r="AD559" s="29"/>
    </row>
    <row r="560" hidden="1" customHeight="1" spans="1:30">
      <c r="A560" s="37" t="s">
        <v>637</v>
      </c>
      <c r="B560" s="38">
        <v>45169</v>
      </c>
      <c r="C560" s="37" t="s">
        <v>700</v>
      </c>
      <c r="D560" s="37" t="s">
        <v>1902</v>
      </c>
      <c r="E560" s="37" t="s">
        <v>1898</v>
      </c>
      <c r="F560" s="37" t="s">
        <v>641</v>
      </c>
      <c r="G560" s="37" t="s">
        <v>1899</v>
      </c>
      <c r="H560" s="37" t="s">
        <v>643</v>
      </c>
      <c r="I560" s="37" t="s">
        <v>442</v>
      </c>
      <c r="J560" s="37" t="s">
        <v>656</v>
      </c>
      <c r="K560" s="37" t="s">
        <v>14</v>
      </c>
      <c r="L560" s="47">
        <v>35512.51</v>
      </c>
      <c r="M560" s="47">
        <v>33502.37</v>
      </c>
      <c r="N560" s="47">
        <v>2010.14</v>
      </c>
      <c r="O560" s="37" t="s">
        <v>2454</v>
      </c>
      <c r="P560" s="29"/>
      <c r="Q560" s="27"/>
      <c r="T560" s="29"/>
      <c r="U560" s="32"/>
      <c r="V560" s="91"/>
      <c r="X560" s="29"/>
      <c r="Y560" s="27"/>
      <c r="Z560" s="30"/>
      <c r="AD560" s="29"/>
    </row>
    <row r="561" hidden="1" customHeight="1" spans="1:30">
      <c r="A561" s="37" t="s">
        <v>637</v>
      </c>
      <c r="B561" s="38">
        <v>45169</v>
      </c>
      <c r="C561" s="37" t="s">
        <v>700</v>
      </c>
      <c r="D561" s="37" t="s">
        <v>2134</v>
      </c>
      <c r="E561" s="37" t="s">
        <v>640</v>
      </c>
      <c r="F561" s="37" t="s">
        <v>641</v>
      </c>
      <c r="G561" s="37" t="s">
        <v>1899</v>
      </c>
      <c r="H561" s="37" t="s">
        <v>697</v>
      </c>
      <c r="I561" s="37" t="s">
        <v>442</v>
      </c>
      <c r="J561" s="37" t="s">
        <v>656</v>
      </c>
      <c r="K561" s="37" t="s">
        <v>14</v>
      </c>
      <c r="L561" s="47">
        <v>1922.8</v>
      </c>
      <c r="M561" s="47">
        <v>1813.96</v>
      </c>
      <c r="N561" s="47">
        <v>108.84</v>
      </c>
      <c r="O561" s="37" t="s">
        <v>2455</v>
      </c>
      <c r="P561" s="29"/>
      <c r="Q561" s="27"/>
      <c r="T561" s="29"/>
      <c r="U561" s="32"/>
      <c r="V561" s="91"/>
      <c r="X561" s="29"/>
      <c r="Y561" s="27"/>
      <c r="Z561" s="30"/>
      <c r="AD561" s="29"/>
    </row>
    <row r="562" hidden="1" customHeight="1" spans="1:30">
      <c r="A562" s="37" t="s">
        <v>637</v>
      </c>
      <c r="B562" s="38">
        <v>45169</v>
      </c>
      <c r="C562" s="37" t="s">
        <v>646</v>
      </c>
      <c r="D562" s="37" t="s">
        <v>1902</v>
      </c>
      <c r="E562" s="37" t="s">
        <v>1898</v>
      </c>
      <c r="F562" s="37" t="s">
        <v>641</v>
      </c>
      <c r="G562" s="37" t="s">
        <v>1899</v>
      </c>
      <c r="H562" s="37" t="s">
        <v>650</v>
      </c>
      <c r="I562" s="37" t="s">
        <v>779</v>
      </c>
      <c r="J562" s="37" t="s">
        <v>644</v>
      </c>
      <c r="K562" s="37" t="s">
        <v>14</v>
      </c>
      <c r="L562" s="47">
        <v>20000</v>
      </c>
      <c r="M562" s="47">
        <v>18867.92</v>
      </c>
      <c r="N562" s="47">
        <v>1132.08</v>
      </c>
      <c r="O562" s="37" t="s">
        <v>2456</v>
      </c>
      <c r="P562" s="29"/>
      <c r="Q562" s="27"/>
      <c r="T562" s="29"/>
      <c r="U562" s="32"/>
      <c r="V562" s="91"/>
      <c r="X562" s="29"/>
      <c r="Y562" s="27"/>
      <c r="Z562" s="30"/>
      <c r="AD562" s="29"/>
    </row>
    <row r="563" hidden="1" customHeight="1" spans="1:30">
      <c r="A563" s="37" t="s">
        <v>637</v>
      </c>
      <c r="B563" s="38">
        <v>45169</v>
      </c>
      <c r="C563" s="37" t="s">
        <v>646</v>
      </c>
      <c r="D563" s="37" t="s">
        <v>1284</v>
      </c>
      <c r="E563" s="37" t="s">
        <v>1898</v>
      </c>
      <c r="F563" s="37" t="s">
        <v>641</v>
      </c>
      <c r="G563" s="37" t="s">
        <v>1899</v>
      </c>
      <c r="H563" s="37" t="s">
        <v>650</v>
      </c>
      <c r="I563" s="37" t="s">
        <v>779</v>
      </c>
      <c r="J563" s="37" t="s">
        <v>644</v>
      </c>
      <c r="K563" s="37" t="s">
        <v>14</v>
      </c>
      <c r="L563" s="47">
        <v>20000</v>
      </c>
      <c r="M563" s="47">
        <v>18867.92</v>
      </c>
      <c r="N563" s="47">
        <v>1132.08</v>
      </c>
      <c r="O563" s="37" t="s">
        <v>2457</v>
      </c>
      <c r="P563" s="29"/>
      <c r="Q563" s="27"/>
      <c r="T563" s="29"/>
      <c r="U563" s="32"/>
      <c r="V563" s="91"/>
      <c r="X563" s="29"/>
      <c r="Y563" s="27"/>
      <c r="Z563" s="30"/>
      <c r="AD563" s="29"/>
    </row>
    <row r="564" hidden="1" customHeight="1" spans="1:30">
      <c r="A564" s="37" t="s">
        <v>637</v>
      </c>
      <c r="B564" s="38">
        <v>45169</v>
      </c>
      <c r="C564" s="37" t="s">
        <v>700</v>
      </c>
      <c r="D564" s="37" t="s">
        <v>1902</v>
      </c>
      <c r="E564" s="37" t="s">
        <v>640</v>
      </c>
      <c r="F564" s="37" t="s">
        <v>641</v>
      </c>
      <c r="G564" s="37" t="s">
        <v>1901</v>
      </c>
      <c r="H564" s="37" t="s">
        <v>650</v>
      </c>
      <c r="I564" s="37" t="s">
        <v>442</v>
      </c>
      <c r="J564" s="37" t="s">
        <v>656</v>
      </c>
      <c r="K564" s="37" t="s">
        <v>14</v>
      </c>
      <c r="L564" s="47">
        <v>20061.91</v>
      </c>
      <c r="M564" s="47">
        <v>18926.33</v>
      </c>
      <c r="N564" s="47">
        <v>1135.58</v>
      </c>
      <c r="O564" s="37" t="s">
        <v>2458</v>
      </c>
      <c r="P564" s="29"/>
      <c r="Q564" s="27"/>
      <c r="T564" s="29"/>
      <c r="U564" s="32"/>
      <c r="V564" s="91"/>
      <c r="X564" s="29"/>
      <c r="Y564" s="27"/>
      <c r="Z564" s="30"/>
      <c r="AD564" s="29"/>
    </row>
    <row r="565" hidden="1" customHeight="1" spans="1:30">
      <c r="A565" s="37" t="s">
        <v>637</v>
      </c>
      <c r="B565" s="38">
        <v>45169</v>
      </c>
      <c r="C565" s="37" t="s">
        <v>646</v>
      </c>
      <c r="D565" s="37" t="s">
        <v>726</v>
      </c>
      <c r="E565" s="37" t="s">
        <v>1898</v>
      </c>
      <c r="F565" s="37" t="s">
        <v>641</v>
      </c>
      <c r="G565" s="37" t="s">
        <v>1899</v>
      </c>
      <c r="H565" s="37" t="s">
        <v>650</v>
      </c>
      <c r="I565" s="37" t="s">
        <v>779</v>
      </c>
      <c r="J565" s="37" t="s">
        <v>644</v>
      </c>
      <c r="K565" s="37" t="s">
        <v>14</v>
      </c>
      <c r="L565" s="47">
        <v>117000</v>
      </c>
      <c r="M565" s="47">
        <v>110377.36</v>
      </c>
      <c r="N565" s="47">
        <v>6622.64</v>
      </c>
      <c r="O565" s="37" t="s">
        <v>2459</v>
      </c>
      <c r="P565" s="29"/>
      <c r="Q565" s="27"/>
      <c r="T565" s="29"/>
      <c r="U565" s="32"/>
      <c r="V565" s="91"/>
      <c r="X565" s="29"/>
      <c r="Y565" s="27"/>
      <c r="Z565" s="30"/>
      <c r="AD565" s="29"/>
    </row>
    <row r="566" hidden="1" customHeight="1" spans="1:30">
      <c r="A566" s="37" t="s">
        <v>637</v>
      </c>
      <c r="B566" s="38">
        <v>45169</v>
      </c>
      <c r="C566" s="37" t="s">
        <v>748</v>
      </c>
      <c r="D566" s="37" t="s">
        <v>1284</v>
      </c>
      <c r="E566" s="37" t="s">
        <v>640</v>
      </c>
      <c r="F566" s="37" t="s">
        <v>641</v>
      </c>
      <c r="G566" s="37" t="s">
        <v>1901</v>
      </c>
      <c r="H566" s="37" t="s">
        <v>643</v>
      </c>
      <c r="I566" s="37" t="s">
        <v>444</v>
      </c>
      <c r="J566" s="37" t="s">
        <v>656</v>
      </c>
      <c r="K566" s="37" t="s">
        <v>14</v>
      </c>
      <c r="L566" s="47">
        <v>1552.4</v>
      </c>
      <c r="M566" s="47">
        <v>1464.53</v>
      </c>
      <c r="N566" s="47">
        <v>87.87</v>
      </c>
      <c r="O566" s="37" t="s">
        <v>2460</v>
      </c>
      <c r="P566" s="29"/>
      <c r="Q566" s="27"/>
      <c r="T566" s="29"/>
      <c r="U566" s="32"/>
      <c r="V566" s="91"/>
      <c r="X566" s="29"/>
      <c r="Y566" s="27"/>
      <c r="Z566" s="30"/>
      <c r="AD566" s="29"/>
    </row>
    <row r="567" hidden="1" customHeight="1" spans="1:30">
      <c r="A567" s="37" t="s">
        <v>637</v>
      </c>
      <c r="B567" s="38">
        <v>45169</v>
      </c>
      <c r="C567" s="37" t="s">
        <v>748</v>
      </c>
      <c r="D567" s="37" t="s">
        <v>1902</v>
      </c>
      <c r="E567" s="37" t="s">
        <v>640</v>
      </c>
      <c r="F567" s="37" t="s">
        <v>641</v>
      </c>
      <c r="G567" s="37" t="s">
        <v>1901</v>
      </c>
      <c r="H567" s="37" t="s">
        <v>643</v>
      </c>
      <c r="I567" s="37" t="s">
        <v>444</v>
      </c>
      <c r="J567" s="37" t="s">
        <v>656</v>
      </c>
      <c r="K567" s="37" t="s">
        <v>14</v>
      </c>
      <c r="L567" s="47">
        <v>1650.21</v>
      </c>
      <c r="M567" s="47">
        <v>1556.8</v>
      </c>
      <c r="N567" s="47">
        <v>93.41</v>
      </c>
      <c r="O567" s="37" t="s">
        <v>2461</v>
      </c>
      <c r="P567" s="29"/>
      <c r="Q567" s="27"/>
      <c r="T567" s="29"/>
      <c r="U567" s="32"/>
      <c r="V567" s="91"/>
      <c r="X567" s="29"/>
      <c r="Y567" s="27"/>
      <c r="Z567" s="30"/>
      <c r="AD567" s="29"/>
    </row>
    <row r="568" hidden="1" customHeight="1" spans="1:30">
      <c r="A568" s="37" t="s">
        <v>637</v>
      </c>
      <c r="B568" s="38">
        <v>45169</v>
      </c>
      <c r="C568" s="37" t="s">
        <v>748</v>
      </c>
      <c r="D568" s="37" t="s">
        <v>726</v>
      </c>
      <c r="E568" s="37" t="s">
        <v>640</v>
      </c>
      <c r="F568" s="37" t="s">
        <v>641</v>
      </c>
      <c r="G568" s="37" t="s">
        <v>1901</v>
      </c>
      <c r="H568" s="37" t="s">
        <v>643</v>
      </c>
      <c r="I568" s="37" t="s">
        <v>444</v>
      </c>
      <c r="J568" s="37" t="s">
        <v>656</v>
      </c>
      <c r="K568" s="37" t="s">
        <v>14</v>
      </c>
      <c r="L568" s="47">
        <v>16613.84</v>
      </c>
      <c r="M568" s="47">
        <v>15673.43</v>
      </c>
      <c r="N568" s="47">
        <v>940.41</v>
      </c>
      <c r="O568" s="37" t="s">
        <v>2462</v>
      </c>
      <c r="P568" s="29"/>
      <c r="Q568" s="27"/>
      <c r="T568" s="29"/>
      <c r="U568" s="32"/>
      <c r="V568" s="91"/>
      <c r="X568" s="29"/>
      <c r="Y568" s="27"/>
      <c r="Z568" s="30"/>
      <c r="AD568" s="29"/>
    </row>
    <row r="569" hidden="1" customHeight="1" spans="1:30">
      <c r="A569" s="37" t="s">
        <v>637</v>
      </c>
      <c r="B569" s="38">
        <v>45169</v>
      </c>
      <c r="C569" s="37" t="s">
        <v>748</v>
      </c>
      <c r="D569" s="37" t="s">
        <v>653</v>
      </c>
      <c r="E569" s="37" t="s">
        <v>640</v>
      </c>
      <c r="F569" s="37" t="s">
        <v>641</v>
      </c>
      <c r="G569" s="37" t="s">
        <v>1899</v>
      </c>
      <c r="H569" s="37" t="s">
        <v>650</v>
      </c>
      <c r="I569" s="37" t="s">
        <v>463</v>
      </c>
      <c r="J569" s="37" t="s">
        <v>656</v>
      </c>
      <c r="K569" s="37" t="s">
        <v>166</v>
      </c>
      <c r="L569" s="47">
        <v>6114</v>
      </c>
      <c r="M569" s="47">
        <v>5767.92</v>
      </c>
      <c r="N569" s="47">
        <v>346.08</v>
      </c>
      <c r="O569" s="37" t="s">
        <v>2463</v>
      </c>
      <c r="P569" s="29"/>
      <c r="Q569" s="27"/>
      <c r="T569" s="29"/>
      <c r="U569" s="32"/>
      <c r="V569" s="91"/>
      <c r="X569" s="29"/>
      <c r="Y569" s="27"/>
      <c r="Z569" s="30"/>
      <c r="AD569" s="29"/>
    </row>
    <row r="570" hidden="1" customHeight="1" spans="1:30">
      <c r="A570" s="37" t="s">
        <v>637</v>
      </c>
      <c r="B570" s="38">
        <v>45169</v>
      </c>
      <c r="C570" s="37" t="s">
        <v>748</v>
      </c>
      <c r="D570" s="37" t="s">
        <v>653</v>
      </c>
      <c r="E570" s="37" t="s">
        <v>640</v>
      </c>
      <c r="F570" s="37" t="s">
        <v>641</v>
      </c>
      <c r="G570" s="37" t="s">
        <v>1901</v>
      </c>
      <c r="H570" s="37" t="s">
        <v>650</v>
      </c>
      <c r="I570" s="37" t="s">
        <v>463</v>
      </c>
      <c r="J570" s="37" t="s">
        <v>656</v>
      </c>
      <c r="K570" s="37" t="s">
        <v>166</v>
      </c>
      <c r="L570" s="47">
        <v>103605.3</v>
      </c>
      <c r="M570" s="47">
        <v>97740.85</v>
      </c>
      <c r="N570" s="47">
        <v>5864.45</v>
      </c>
      <c r="O570" s="37" t="s">
        <v>2464</v>
      </c>
      <c r="P570" s="29"/>
      <c r="Q570" s="27"/>
      <c r="T570" s="29"/>
      <c r="U570" s="32"/>
      <c r="V570" s="91"/>
      <c r="X570" s="29"/>
      <c r="Y570" s="27"/>
      <c r="Z570" s="30"/>
      <c r="AD570" s="29"/>
    </row>
    <row r="571" hidden="1" customHeight="1" spans="1:30">
      <c r="A571" s="37" t="s">
        <v>637</v>
      </c>
      <c r="B571" s="38">
        <v>45169</v>
      </c>
      <c r="C571" s="37" t="s">
        <v>748</v>
      </c>
      <c r="D571" s="37" t="s">
        <v>653</v>
      </c>
      <c r="E571" s="37" t="s">
        <v>640</v>
      </c>
      <c r="F571" s="37" t="s">
        <v>641</v>
      </c>
      <c r="G571" s="37" t="s">
        <v>1901</v>
      </c>
      <c r="H571" s="37" t="s">
        <v>650</v>
      </c>
      <c r="I571" s="37" t="s">
        <v>463</v>
      </c>
      <c r="J571" s="37" t="s">
        <v>656</v>
      </c>
      <c r="K571" s="37" t="s">
        <v>166</v>
      </c>
      <c r="L571" s="47">
        <v>12272.04</v>
      </c>
      <c r="M571" s="47">
        <v>11577.4</v>
      </c>
      <c r="N571" s="47">
        <v>694.64</v>
      </c>
      <c r="O571" s="37" t="s">
        <v>2465</v>
      </c>
      <c r="P571" s="29"/>
      <c r="Q571" s="27"/>
      <c r="T571" s="29"/>
      <c r="U571" s="32"/>
      <c r="V571" s="91"/>
      <c r="X571" s="29"/>
      <c r="Y571" s="27"/>
      <c r="Z571" s="30"/>
      <c r="AD571" s="29"/>
    </row>
    <row r="572" hidden="1" customHeight="1" spans="1:30">
      <c r="A572" s="37" t="s">
        <v>637</v>
      </c>
      <c r="B572" s="38">
        <v>45169</v>
      </c>
      <c r="C572" s="37" t="s">
        <v>748</v>
      </c>
      <c r="D572" s="37" t="s">
        <v>653</v>
      </c>
      <c r="E572" s="37" t="s">
        <v>640</v>
      </c>
      <c r="F572" s="37" t="s">
        <v>641</v>
      </c>
      <c r="G572" s="37" t="s">
        <v>1899</v>
      </c>
      <c r="H572" s="37" t="s">
        <v>650</v>
      </c>
      <c r="I572" s="37" t="s">
        <v>1273</v>
      </c>
      <c r="J572" s="37" t="s">
        <v>656</v>
      </c>
      <c r="K572" s="37" t="s">
        <v>166</v>
      </c>
      <c r="L572" s="47">
        <v>103605.3</v>
      </c>
      <c r="M572" s="47">
        <v>97740.85</v>
      </c>
      <c r="N572" s="47">
        <v>5864.45</v>
      </c>
      <c r="O572" s="37" t="s">
        <v>2466</v>
      </c>
      <c r="P572" s="29"/>
      <c r="Q572" s="27"/>
      <c r="T572" s="29"/>
      <c r="U572" s="32"/>
      <c r="V572" s="91"/>
      <c r="X572" s="29"/>
      <c r="Y572" s="27"/>
      <c r="Z572" s="30"/>
      <c r="AD572" s="29"/>
    </row>
    <row r="573" hidden="1" customHeight="1" spans="1:30">
      <c r="A573" s="37" t="s">
        <v>637</v>
      </c>
      <c r="B573" s="38">
        <v>45169</v>
      </c>
      <c r="C573" s="37" t="s">
        <v>748</v>
      </c>
      <c r="D573" s="37" t="s">
        <v>653</v>
      </c>
      <c r="E573" s="37" t="s">
        <v>640</v>
      </c>
      <c r="F573" s="37" t="s">
        <v>641</v>
      </c>
      <c r="G573" s="37" t="s">
        <v>1901</v>
      </c>
      <c r="H573" s="37" t="s">
        <v>650</v>
      </c>
      <c r="I573" s="37" t="s">
        <v>463</v>
      </c>
      <c r="J573" s="37" t="s">
        <v>656</v>
      </c>
      <c r="K573" s="37" t="s">
        <v>166</v>
      </c>
      <c r="L573" s="47">
        <v>19661.68</v>
      </c>
      <c r="M573" s="47">
        <v>18548.75</v>
      </c>
      <c r="N573" s="47">
        <v>1112.93</v>
      </c>
      <c r="O573" s="37" t="s">
        <v>2467</v>
      </c>
      <c r="P573" s="29"/>
      <c r="Q573" s="27"/>
      <c r="T573" s="29"/>
      <c r="U573" s="32"/>
      <c r="V573" s="91"/>
      <c r="X573" s="29"/>
      <c r="Y573" s="27"/>
      <c r="Z573" s="30"/>
      <c r="AD573" s="29"/>
    </row>
    <row r="574" hidden="1" customHeight="1" spans="1:30">
      <c r="A574" s="37" t="s">
        <v>637</v>
      </c>
      <c r="B574" s="38">
        <v>45169</v>
      </c>
      <c r="C574" s="37" t="s">
        <v>748</v>
      </c>
      <c r="D574" s="37" t="s">
        <v>653</v>
      </c>
      <c r="E574" s="37" t="s">
        <v>640</v>
      </c>
      <c r="F574" s="37" t="s">
        <v>641</v>
      </c>
      <c r="G574" s="37" t="s">
        <v>1901</v>
      </c>
      <c r="H574" s="37" t="s">
        <v>650</v>
      </c>
      <c r="I574" s="37" t="s">
        <v>463</v>
      </c>
      <c r="J574" s="37" t="s">
        <v>656</v>
      </c>
      <c r="K574" s="37" t="s">
        <v>166</v>
      </c>
      <c r="L574" s="47">
        <v>5299.87</v>
      </c>
      <c r="M574" s="47">
        <v>4999.88</v>
      </c>
      <c r="N574" s="47">
        <v>299.99</v>
      </c>
      <c r="O574" s="37" t="s">
        <v>2468</v>
      </c>
      <c r="P574" s="29"/>
      <c r="Q574" s="27"/>
      <c r="T574" s="29"/>
      <c r="U574" s="32"/>
      <c r="V574" s="91"/>
      <c r="X574" s="29"/>
      <c r="Y574" s="27"/>
      <c r="Z574" s="30"/>
      <c r="AD574" s="29"/>
    </row>
    <row r="575" hidden="1" customHeight="1" spans="1:30">
      <c r="A575" s="37" t="s">
        <v>637</v>
      </c>
      <c r="B575" s="38">
        <v>45169</v>
      </c>
      <c r="C575" s="37" t="s">
        <v>748</v>
      </c>
      <c r="D575" s="37" t="s">
        <v>1284</v>
      </c>
      <c r="E575" s="37" t="s">
        <v>1898</v>
      </c>
      <c r="F575" s="37" t="s">
        <v>641</v>
      </c>
      <c r="G575" s="37" t="s">
        <v>1899</v>
      </c>
      <c r="H575" s="37" t="s">
        <v>643</v>
      </c>
      <c r="I575" s="37" t="s">
        <v>444</v>
      </c>
      <c r="J575" s="37" t="s">
        <v>656</v>
      </c>
      <c r="K575" s="37" t="s">
        <v>14</v>
      </c>
      <c r="L575" s="47">
        <v>2460.51</v>
      </c>
      <c r="M575" s="47">
        <v>2321.24</v>
      </c>
      <c r="N575" s="47">
        <v>139.27</v>
      </c>
      <c r="O575" s="37" t="s">
        <v>2469</v>
      </c>
      <c r="P575" s="29"/>
      <c r="Q575" s="27"/>
      <c r="T575" s="29"/>
      <c r="U575" s="32"/>
      <c r="V575" s="91"/>
      <c r="X575" s="29"/>
      <c r="Y575" s="27"/>
      <c r="Z575" s="30"/>
      <c r="AD575" s="29"/>
    </row>
    <row r="576" hidden="1" customHeight="1" spans="1:30">
      <c r="A576" s="37" t="s">
        <v>637</v>
      </c>
      <c r="B576" s="38">
        <v>45169</v>
      </c>
      <c r="C576" s="37" t="s">
        <v>748</v>
      </c>
      <c r="D576" s="37" t="s">
        <v>1902</v>
      </c>
      <c r="E576" s="37" t="s">
        <v>1898</v>
      </c>
      <c r="F576" s="37" t="s">
        <v>641</v>
      </c>
      <c r="G576" s="37" t="s">
        <v>1899</v>
      </c>
      <c r="H576" s="37" t="s">
        <v>643</v>
      </c>
      <c r="I576" s="37" t="s">
        <v>444</v>
      </c>
      <c r="J576" s="37" t="s">
        <v>656</v>
      </c>
      <c r="K576" s="37" t="s">
        <v>14</v>
      </c>
      <c r="L576" s="47">
        <v>5231.99</v>
      </c>
      <c r="M576" s="47">
        <v>4935.84</v>
      </c>
      <c r="N576" s="47">
        <v>296.15</v>
      </c>
      <c r="O576" s="37" t="s">
        <v>2470</v>
      </c>
      <c r="P576" s="29"/>
      <c r="Q576" s="27"/>
      <c r="T576" s="29"/>
      <c r="U576" s="32"/>
      <c r="V576" s="91"/>
      <c r="X576" s="29"/>
      <c r="Y576" s="27"/>
      <c r="Z576" s="30"/>
      <c r="AD576" s="29"/>
    </row>
    <row r="577" hidden="1" customHeight="1" spans="1:30">
      <c r="A577" s="37" t="s">
        <v>637</v>
      </c>
      <c r="B577" s="38">
        <v>45169</v>
      </c>
      <c r="C577" s="37" t="s">
        <v>748</v>
      </c>
      <c r="D577" s="37" t="s">
        <v>726</v>
      </c>
      <c r="E577" s="37" t="s">
        <v>1898</v>
      </c>
      <c r="F577" s="37" t="s">
        <v>641</v>
      </c>
      <c r="G577" s="37" t="s">
        <v>1899</v>
      </c>
      <c r="H577" s="37" t="s">
        <v>643</v>
      </c>
      <c r="I577" s="37" t="s">
        <v>444</v>
      </c>
      <c r="J577" s="37" t="s">
        <v>656</v>
      </c>
      <c r="K577" s="37" t="s">
        <v>14</v>
      </c>
      <c r="L577" s="47">
        <v>62070.08</v>
      </c>
      <c r="M577" s="47">
        <v>58556.68</v>
      </c>
      <c r="N577" s="47">
        <v>3513.4</v>
      </c>
      <c r="O577" s="37" t="s">
        <v>2471</v>
      </c>
      <c r="P577" s="29"/>
      <c r="Q577" s="27"/>
      <c r="T577" s="29"/>
      <c r="U577" s="32"/>
      <c r="V577" s="91"/>
      <c r="X577" s="29"/>
      <c r="Y577" s="27"/>
      <c r="Z577" s="30"/>
      <c r="AD577" s="29"/>
    </row>
    <row r="578" hidden="1" customHeight="1" spans="1:30">
      <c r="A578" s="37" t="s">
        <v>637</v>
      </c>
      <c r="B578" s="38">
        <v>45169</v>
      </c>
      <c r="C578" s="37" t="s">
        <v>1273</v>
      </c>
      <c r="D578" s="37" t="s">
        <v>653</v>
      </c>
      <c r="E578" s="37" t="s">
        <v>640</v>
      </c>
      <c r="F578" s="37" t="s">
        <v>641</v>
      </c>
      <c r="G578" s="37" t="s">
        <v>1899</v>
      </c>
      <c r="H578" s="37" t="s">
        <v>650</v>
      </c>
      <c r="I578" s="37" t="s">
        <v>1946</v>
      </c>
      <c r="J578" s="37" t="s">
        <v>656</v>
      </c>
      <c r="K578" s="37" t="s">
        <v>166</v>
      </c>
      <c r="L578" s="47">
        <v>50945.98</v>
      </c>
      <c r="M578" s="47">
        <v>48062.25</v>
      </c>
      <c r="N578" s="47">
        <v>2883.73</v>
      </c>
      <c r="O578" s="37" t="s">
        <v>2472</v>
      </c>
      <c r="P578" s="29"/>
      <c r="Q578" s="27"/>
      <c r="T578" s="29"/>
      <c r="U578" s="32"/>
      <c r="V578" s="91"/>
      <c r="X578" s="29"/>
      <c r="Y578" s="27"/>
      <c r="Z578" s="30"/>
      <c r="AD578" s="29"/>
    </row>
    <row r="579" hidden="1" customHeight="1" spans="1:30">
      <c r="A579" s="37" t="s">
        <v>637</v>
      </c>
      <c r="B579" s="38">
        <v>45169</v>
      </c>
      <c r="C579" s="37" t="s">
        <v>646</v>
      </c>
      <c r="D579" s="37" t="s">
        <v>653</v>
      </c>
      <c r="E579" s="37" t="s">
        <v>640</v>
      </c>
      <c r="F579" s="37" t="s">
        <v>641</v>
      </c>
      <c r="G579" s="37" t="s">
        <v>1899</v>
      </c>
      <c r="H579" s="37" t="s">
        <v>650</v>
      </c>
      <c r="I579" s="37" t="s">
        <v>1953</v>
      </c>
      <c r="J579" s="37" t="s">
        <v>656</v>
      </c>
      <c r="K579" s="37" t="s">
        <v>166</v>
      </c>
      <c r="L579" s="47">
        <v>32580.83</v>
      </c>
      <c r="M579" s="47">
        <v>30736.63</v>
      </c>
      <c r="N579" s="47">
        <v>1844.2</v>
      </c>
      <c r="O579" s="37" t="s">
        <v>2473</v>
      </c>
      <c r="P579" s="29"/>
      <c r="Q579" s="27"/>
      <c r="T579" s="29"/>
      <c r="U579" s="32"/>
      <c r="V579" s="91"/>
      <c r="X579" s="29"/>
      <c r="Y579" s="27"/>
      <c r="Z579" s="30"/>
      <c r="AD579" s="29"/>
    </row>
    <row r="580" hidden="1" customHeight="1" spans="1:30">
      <c r="A580" s="37" t="s">
        <v>637</v>
      </c>
      <c r="B580" s="38">
        <v>45169</v>
      </c>
      <c r="C580" s="37" t="s">
        <v>646</v>
      </c>
      <c r="D580" s="37" t="s">
        <v>653</v>
      </c>
      <c r="E580" s="37" t="s">
        <v>640</v>
      </c>
      <c r="F580" s="37" t="s">
        <v>641</v>
      </c>
      <c r="G580" s="37" t="s">
        <v>1899</v>
      </c>
      <c r="H580" s="37" t="s">
        <v>650</v>
      </c>
      <c r="I580" s="37" t="s">
        <v>1953</v>
      </c>
      <c r="J580" s="37" t="s">
        <v>656</v>
      </c>
      <c r="K580" s="37" t="s">
        <v>166</v>
      </c>
      <c r="L580" s="47">
        <v>86392.88</v>
      </c>
      <c r="M580" s="47">
        <v>81502.72</v>
      </c>
      <c r="N580" s="47">
        <v>4890.16</v>
      </c>
      <c r="O580" s="37" t="s">
        <v>2474</v>
      </c>
      <c r="P580" s="29"/>
      <c r="Q580" s="27"/>
      <c r="T580" s="29"/>
      <c r="U580" s="32"/>
      <c r="V580" s="91"/>
      <c r="X580" s="29"/>
      <c r="Y580" s="27"/>
      <c r="Z580" s="30"/>
      <c r="AD580" s="29"/>
    </row>
    <row r="581" hidden="1" customHeight="1" spans="1:30">
      <c r="A581" s="37" t="s">
        <v>637</v>
      </c>
      <c r="B581" s="38">
        <v>45169</v>
      </c>
      <c r="C581" s="37" t="s">
        <v>646</v>
      </c>
      <c r="D581" s="37" t="s">
        <v>1296</v>
      </c>
      <c r="E581" s="37" t="s">
        <v>640</v>
      </c>
      <c r="F581" s="37" t="s">
        <v>641</v>
      </c>
      <c r="G581" s="37" t="s">
        <v>1899</v>
      </c>
      <c r="H581" s="37" t="s">
        <v>643</v>
      </c>
      <c r="I581" s="37" t="s">
        <v>429</v>
      </c>
      <c r="J581" s="37" t="s">
        <v>644</v>
      </c>
      <c r="K581" s="37" t="s">
        <v>14</v>
      </c>
      <c r="L581" s="47">
        <v>90996.74</v>
      </c>
      <c r="M581" s="47">
        <v>85845.98</v>
      </c>
      <c r="N581" s="47">
        <v>5150.76</v>
      </c>
      <c r="O581" s="37" t="s">
        <v>2475</v>
      </c>
      <c r="P581" s="29"/>
      <c r="Q581" s="27"/>
      <c r="T581" s="29"/>
      <c r="U581" s="32"/>
      <c r="V581" s="91"/>
      <c r="X581" s="29"/>
      <c r="Y581" s="27"/>
      <c r="Z581" s="30"/>
      <c r="AD581" s="29"/>
    </row>
    <row r="582" hidden="1" customHeight="1" spans="1:30">
      <c r="A582" s="37" t="s">
        <v>637</v>
      </c>
      <c r="B582" s="38">
        <v>45169</v>
      </c>
      <c r="C582" s="37" t="s">
        <v>646</v>
      </c>
      <c r="D582" s="37" t="s">
        <v>653</v>
      </c>
      <c r="E582" s="37" t="s">
        <v>640</v>
      </c>
      <c r="F582" s="37" t="s">
        <v>641</v>
      </c>
      <c r="G582" s="37" t="s">
        <v>1899</v>
      </c>
      <c r="H582" s="37" t="s">
        <v>650</v>
      </c>
      <c r="I582" s="37" t="s">
        <v>1953</v>
      </c>
      <c r="J582" s="37" t="s">
        <v>656</v>
      </c>
      <c r="K582" s="37" t="s">
        <v>166</v>
      </c>
      <c r="L582" s="47">
        <v>30604.13</v>
      </c>
      <c r="M582" s="47">
        <v>28871.82</v>
      </c>
      <c r="N582" s="47">
        <v>1732.31</v>
      </c>
      <c r="O582" s="37" t="s">
        <v>2476</v>
      </c>
      <c r="P582" s="29"/>
      <c r="Q582" s="27"/>
      <c r="T582" s="29"/>
      <c r="U582" s="32"/>
      <c r="V582" s="91"/>
      <c r="X582" s="29"/>
      <c r="Y582" s="27"/>
      <c r="Z582" s="30"/>
      <c r="AD582" s="29"/>
    </row>
    <row r="583" hidden="1" customHeight="1" spans="1:30">
      <c r="A583" s="37" t="s">
        <v>637</v>
      </c>
      <c r="B583" s="38">
        <v>45169</v>
      </c>
      <c r="C583" s="37" t="s">
        <v>646</v>
      </c>
      <c r="D583" s="37" t="s">
        <v>1902</v>
      </c>
      <c r="E583" s="37" t="s">
        <v>640</v>
      </c>
      <c r="F583" s="37" t="s">
        <v>641</v>
      </c>
      <c r="G583" s="37" t="s">
        <v>1899</v>
      </c>
      <c r="H583" s="37" t="s">
        <v>643</v>
      </c>
      <c r="I583" s="37" t="s">
        <v>466</v>
      </c>
      <c r="J583" s="37" t="s">
        <v>656</v>
      </c>
      <c r="K583" s="37" t="s">
        <v>165</v>
      </c>
      <c r="L583" s="47">
        <v>30508.77</v>
      </c>
      <c r="M583" s="47">
        <v>28781.86</v>
      </c>
      <c r="N583" s="47">
        <v>1726.91</v>
      </c>
      <c r="O583" s="37" t="s">
        <v>2477</v>
      </c>
      <c r="P583" s="29"/>
      <c r="Q583" s="27"/>
      <c r="T583" s="29"/>
      <c r="U583" s="32"/>
      <c r="V583" s="91"/>
      <c r="X583" s="29"/>
      <c r="Y583" s="27"/>
      <c r="Z583" s="30"/>
      <c r="AD583" s="29"/>
    </row>
    <row r="584" hidden="1" customHeight="1" spans="1:30">
      <c r="A584" s="39" t="s">
        <v>2323</v>
      </c>
      <c r="B584" s="38">
        <v>45169</v>
      </c>
      <c r="C584" s="27" t="s">
        <v>811</v>
      </c>
      <c r="D584" s="37" t="s">
        <v>653</v>
      </c>
      <c r="E584" s="37" t="s">
        <v>640</v>
      </c>
      <c r="F584" s="37" t="s">
        <v>641</v>
      </c>
      <c r="G584" s="27" t="s">
        <v>1899</v>
      </c>
      <c r="H584" s="37" t="s">
        <v>650</v>
      </c>
      <c r="I584" s="27" t="s">
        <v>433</v>
      </c>
      <c r="J584" s="37" t="s">
        <v>656</v>
      </c>
      <c r="K584" s="29" t="s">
        <v>166</v>
      </c>
      <c r="L584" s="29">
        <v>-238595.6</v>
      </c>
      <c r="M584" s="31">
        <f t="shared" ref="M584:M591" si="10">ROUND(L584/1.06,2)</f>
        <v>-225090.19</v>
      </c>
      <c r="N584" s="29">
        <f t="shared" ref="N584:N591" si="11">L584-M584</f>
        <v>-13505.41</v>
      </c>
      <c r="O584" s="31"/>
      <c r="P584" s="29"/>
      <c r="R584" s="27"/>
      <c r="T584" s="29"/>
      <c r="W584" s="98"/>
      <c r="X584" s="29"/>
      <c r="Y584" s="29"/>
      <c r="Z584" s="30"/>
      <c r="AA584" s="30"/>
      <c r="AD584" s="29"/>
    </row>
    <row r="585" hidden="1" customHeight="1" spans="1:30">
      <c r="A585" s="39" t="s">
        <v>2323</v>
      </c>
      <c r="B585" s="38">
        <v>45169</v>
      </c>
      <c r="C585" s="27" t="s">
        <v>811</v>
      </c>
      <c r="D585" s="37" t="s">
        <v>653</v>
      </c>
      <c r="E585" s="37" t="s">
        <v>640</v>
      </c>
      <c r="F585" s="37" t="s">
        <v>641</v>
      </c>
      <c r="G585" s="37" t="s">
        <v>1901</v>
      </c>
      <c r="H585" s="37" t="s">
        <v>650</v>
      </c>
      <c r="I585" s="27" t="s">
        <v>433</v>
      </c>
      <c r="J585" s="37" t="s">
        <v>656</v>
      </c>
      <c r="K585" s="29" t="s">
        <v>166</v>
      </c>
      <c r="L585" s="29">
        <v>89702.27</v>
      </c>
      <c r="M585" s="31">
        <f t="shared" si="10"/>
        <v>84624.78</v>
      </c>
      <c r="N585" s="29">
        <f t="shared" si="11"/>
        <v>5077.49000000001</v>
      </c>
      <c r="O585" s="31"/>
      <c r="P585" s="29"/>
      <c r="R585" s="27"/>
      <c r="T585" s="29"/>
      <c r="W585" s="98"/>
      <c r="X585" s="29"/>
      <c r="Y585" s="29"/>
      <c r="Z585" s="30"/>
      <c r="AA585" s="30"/>
      <c r="AD585" s="29"/>
    </row>
    <row r="586" hidden="1" customHeight="1" spans="1:30">
      <c r="A586" s="39" t="s">
        <v>1085</v>
      </c>
      <c r="B586" s="38">
        <v>45169</v>
      </c>
      <c r="C586" s="27" t="s">
        <v>638</v>
      </c>
      <c r="D586" s="37" t="s">
        <v>653</v>
      </c>
      <c r="E586" s="37" t="s">
        <v>640</v>
      </c>
      <c r="F586" s="37" t="s">
        <v>641</v>
      </c>
      <c r="G586" s="27" t="s">
        <v>1899</v>
      </c>
      <c r="H586" s="37" t="s">
        <v>650</v>
      </c>
      <c r="I586" s="27" t="s">
        <v>430</v>
      </c>
      <c r="J586" s="37" t="s">
        <v>644</v>
      </c>
      <c r="K586" s="29" t="s">
        <v>14</v>
      </c>
      <c r="L586" s="29">
        <v>0.08</v>
      </c>
      <c r="M586" s="31">
        <f t="shared" si="10"/>
        <v>0.08</v>
      </c>
      <c r="N586" s="29">
        <f t="shared" si="11"/>
        <v>0</v>
      </c>
      <c r="O586" s="31"/>
      <c r="P586" s="29"/>
      <c r="R586" s="27"/>
      <c r="T586" s="29"/>
      <c r="W586" s="98"/>
      <c r="X586" s="29"/>
      <c r="Y586" s="29"/>
      <c r="Z586" s="30"/>
      <c r="AA586" s="30"/>
      <c r="AD586" s="29"/>
    </row>
    <row r="587" hidden="1" customHeight="1" spans="1:30">
      <c r="A587" s="39" t="s">
        <v>1085</v>
      </c>
      <c r="B587" s="38">
        <v>45169</v>
      </c>
      <c r="C587" s="27" t="s">
        <v>646</v>
      </c>
      <c r="D587" s="37" t="s">
        <v>653</v>
      </c>
      <c r="E587" s="37" t="s">
        <v>640</v>
      </c>
      <c r="F587" s="37" t="s">
        <v>641</v>
      </c>
      <c r="G587" s="27" t="s">
        <v>1899</v>
      </c>
      <c r="H587" s="37" t="s">
        <v>650</v>
      </c>
      <c r="I587" s="27" t="s">
        <v>466</v>
      </c>
      <c r="J587" s="37" t="s">
        <v>656</v>
      </c>
      <c r="K587" s="29" t="s">
        <v>165</v>
      </c>
      <c r="L587" s="29">
        <v>-30508.77</v>
      </c>
      <c r="M587" s="31">
        <f t="shared" si="10"/>
        <v>-28781.86</v>
      </c>
      <c r="N587" s="29">
        <f t="shared" si="11"/>
        <v>-1726.91</v>
      </c>
      <c r="O587" s="31"/>
      <c r="P587" s="29"/>
      <c r="R587" s="27"/>
      <c r="T587" s="29"/>
      <c r="W587" s="98"/>
      <c r="X587" s="29"/>
      <c r="Y587" s="29"/>
      <c r="Z587" s="30"/>
      <c r="AA587" s="30"/>
      <c r="AD587" s="29"/>
    </row>
    <row r="588" hidden="1" customHeight="1" spans="1:30">
      <c r="A588" s="39" t="s">
        <v>1085</v>
      </c>
      <c r="B588" s="38">
        <v>45169</v>
      </c>
      <c r="C588" s="27" t="s">
        <v>646</v>
      </c>
      <c r="D588" s="37" t="s">
        <v>653</v>
      </c>
      <c r="E588" s="37" t="s">
        <v>640</v>
      </c>
      <c r="F588" s="37" t="s">
        <v>641</v>
      </c>
      <c r="G588" s="27" t="s">
        <v>1899</v>
      </c>
      <c r="H588" s="37" t="s">
        <v>650</v>
      </c>
      <c r="I588" s="27" t="s">
        <v>466</v>
      </c>
      <c r="J588" s="37" t="s">
        <v>656</v>
      </c>
      <c r="K588" s="29" t="s">
        <v>14</v>
      </c>
      <c r="L588" s="29">
        <v>30508.77</v>
      </c>
      <c r="M588" s="31">
        <f t="shared" si="10"/>
        <v>28781.86</v>
      </c>
      <c r="N588" s="29">
        <f t="shared" si="11"/>
        <v>1726.91</v>
      </c>
      <c r="O588" s="31"/>
      <c r="P588" s="29"/>
      <c r="R588" s="27"/>
      <c r="T588" s="29"/>
      <c r="W588" s="98"/>
      <c r="X588" s="29"/>
      <c r="Y588" s="29"/>
      <c r="Z588" s="30"/>
      <c r="AA588" s="30"/>
      <c r="AD588" s="29"/>
    </row>
    <row r="589" hidden="1" customHeight="1" spans="1:30">
      <c r="A589" s="39" t="s">
        <v>1085</v>
      </c>
      <c r="B589" s="38">
        <v>45169</v>
      </c>
      <c r="C589" s="27" t="s">
        <v>715</v>
      </c>
      <c r="D589" s="37" t="s">
        <v>653</v>
      </c>
      <c r="E589" s="37" t="s">
        <v>640</v>
      </c>
      <c r="F589" s="37" t="s">
        <v>641</v>
      </c>
      <c r="G589" s="27" t="s">
        <v>1899</v>
      </c>
      <c r="H589" s="37" t="s">
        <v>650</v>
      </c>
      <c r="I589" s="27" t="s">
        <v>1929</v>
      </c>
      <c r="J589" s="37" t="s">
        <v>656</v>
      </c>
      <c r="K589" s="29" t="s">
        <v>14</v>
      </c>
      <c r="L589" s="29">
        <v>1133683.45</v>
      </c>
      <c r="M589" s="31">
        <f t="shared" si="10"/>
        <v>1069512.69</v>
      </c>
      <c r="N589" s="29">
        <f t="shared" si="11"/>
        <v>64170.76</v>
      </c>
      <c r="O589" s="31"/>
      <c r="P589" s="29"/>
      <c r="R589" s="27"/>
      <c r="T589" s="29"/>
      <c r="W589" s="98"/>
      <c r="X589" s="29"/>
      <c r="Y589" s="29"/>
      <c r="Z589" s="30"/>
      <c r="AA589" s="30"/>
      <c r="AD589" s="29"/>
    </row>
    <row r="590" hidden="1" customHeight="1" spans="1:30">
      <c r="A590" s="39" t="s">
        <v>1085</v>
      </c>
      <c r="B590" s="38">
        <v>45169</v>
      </c>
      <c r="C590" s="27" t="s">
        <v>730</v>
      </c>
      <c r="D590" s="37" t="s">
        <v>653</v>
      </c>
      <c r="E590" s="37" t="s">
        <v>640</v>
      </c>
      <c r="F590" s="37" t="s">
        <v>641</v>
      </c>
      <c r="G590" s="27" t="s">
        <v>1899</v>
      </c>
      <c r="H590" s="37" t="s">
        <v>650</v>
      </c>
      <c r="I590" s="27" t="s">
        <v>473</v>
      </c>
      <c r="J590" s="37" t="s">
        <v>656</v>
      </c>
      <c r="K590" s="29" t="s">
        <v>14</v>
      </c>
      <c r="L590" s="29">
        <v>38413.97</v>
      </c>
      <c r="M590" s="31">
        <f t="shared" si="10"/>
        <v>36239.59</v>
      </c>
      <c r="N590" s="29">
        <f t="shared" si="11"/>
        <v>2174.38</v>
      </c>
      <c r="O590" s="31"/>
      <c r="P590" s="29"/>
      <c r="R590" s="27"/>
      <c r="T590" s="29"/>
      <c r="W590" s="98"/>
      <c r="X590" s="29"/>
      <c r="Y590" s="29"/>
      <c r="Z590" s="30"/>
      <c r="AA590" s="30"/>
      <c r="AD590" s="29"/>
    </row>
    <row r="591" hidden="1" customHeight="1" spans="1:30">
      <c r="A591" s="39" t="s">
        <v>1085</v>
      </c>
      <c r="B591" s="38">
        <v>45169</v>
      </c>
      <c r="C591" s="27" t="s">
        <v>748</v>
      </c>
      <c r="D591" s="37" t="s">
        <v>653</v>
      </c>
      <c r="E591" s="37" t="s">
        <v>640</v>
      </c>
      <c r="F591" s="37" t="s">
        <v>641</v>
      </c>
      <c r="G591" s="27" t="s">
        <v>1899</v>
      </c>
      <c r="H591" s="37" t="s">
        <v>650</v>
      </c>
      <c r="I591" s="37" t="s">
        <v>779</v>
      </c>
      <c r="J591" s="37" t="s">
        <v>644</v>
      </c>
      <c r="K591" s="29" t="s">
        <v>14</v>
      </c>
      <c r="L591" s="29">
        <v>-283013.4</v>
      </c>
      <c r="M591" s="31">
        <f t="shared" si="10"/>
        <v>-266993.77</v>
      </c>
      <c r="N591" s="29">
        <f t="shared" si="11"/>
        <v>-16019.63</v>
      </c>
      <c r="O591" s="31"/>
      <c r="P591" s="29"/>
      <c r="R591" s="27"/>
      <c r="T591" s="29"/>
      <c r="W591" s="98"/>
      <c r="X591" s="29"/>
      <c r="Y591" s="29"/>
      <c r="Z591" s="30"/>
      <c r="AA591" s="30"/>
      <c r="AD591" s="29"/>
    </row>
    <row r="592" hidden="1" customHeight="1" spans="1:15">
      <c r="A592" s="44" t="s">
        <v>637</v>
      </c>
      <c r="B592" s="86">
        <v>45199</v>
      </c>
      <c r="C592" s="44" t="s">
        <v>2478</v>
      </c>
      <c r="D592" s="44" t="s">
        <v>1296</v>
      </c>
      <c r="E592" s="44" t="s">
        <v>640</v>
      </c>
      <c r="F592" s="44" t="s">
        <v>641</v>
      </c>
      <c r="G592" s="37" t="s">
        <v>1901</v>
      </c>
      <c r="H592" s="44" t="s">
        <v>650</v>
      </c>
      <c r="I592" s="44" t="s">
        <v>2003</v>
      </c>
      <c r="J592" s="44" t="s">
        <v>644</v>
      </c>
      <c r="K592" s="44" t="s">
        <v>20</v>
      </c>
      <c r="L592" s="48">
        <v>46992.88</v>
      </c>
      <c r="M592" s="48">
        <v>44332.91</v>
      </c>
      <c r="N592" s="48">
        <v>2659.97</v>
      </c>
      <c r="O592" s="44" t="s">
        <v>2479</v>
      </c>
    </row>
    <row r="593" hidden="1" customHeight="1" spans="1:15">
      <c r="A593" s="44" t="s">
        <v>637</v>
      </c>
      <c r="B593" s="86">
        <v>45199</v>
      </c>
      <c r="C593" s="44" t="s">
        <v>811</v>
      </c>
      <c r="D593" s="44" t="s">
        <v>653</v>
      </c>
      <c r="E593" s="44" t="s">
        <v>640</v>
      </c>
      <c r="F593" s="44" t="s">
        <v>641</v>
      </c>
      <c r="G593" s="44" t="s">
        <v>1899</v>
      </c>
      <c r="H593" s="44" t="s">
        <v>650</v>
      </c>
      <c r="I593" s="44" t="s">
        <v>435</v>
      </c>
      <c r="J593" s="44" t="s">
        <v>656</v>
      </c>
      <c r="K593" s="44" t="s">
        <v>166</v>
      </c>
      <c r="L593" s="48">
        <v>-108042.5</v>
      </c>
      <c r="M593" s="48">
        <v>-101926.89</v>
      </c>
      <c r="N593" s="48">
        <v>-6115.61</v>
      </c>
      <c r="O593" s="44" t="s">
        <v>2480</v>
      </c>
    </row>
    <row r="594" hidden="1" customHeight="1" spans="1:15">
      <c r="A594" s="44" t="s">
        <v>637</v>
      </c>
      <c r="B594" s="86">
        <v>45199</v>
      </c>
      <c r="C594" s="44" t="s">
        <v>811</v>
      </c>
      <c r="D594" s="44" t="s">
        <v>653</v>
      </c>
      <c r="E594" s="44" t="s">
        <v>640</v>
      </c>
      <c r="F594" s="44" t="s">
        <v>641</v>
      </c>
      <c r="G594" s="37" t="s">
        <v>1901</v>
      </c>
      <c r="H594" s="44" t="s">
        <v>650</v>
      </c>
      <c r="I594" s="44" t="s">
        <v>435</v>
      </c>
      <c r="J594" s="44" t="s">
        <v>656</v>
      </c>
      <c r="K594" s="44" t="s">
        <v>166</v>
      </c>
      <c r="L594" s="48">
        <v>85918.21</v>
      </c>
      <c r="M594" s="48">
        <v>81054.92</v>
      </c>
      <c r="N594" s="48">
        <v>4863.29</v>
      </c>
      <c r="O594" s="44" t="s">
        <v>2481</v>
      </c>
    </row>
    <row r="595" hidden="1" customHeight="1" spans="1:15">
      <c r="A595" s="44" t="s">
        <v>637</v>
      </c>
      <c r="B595" s="86">
        <v>45199</v>
      </c>
      <c r="C595" s="44" t="s">
        <v>811</v>
      </c>
      <c r="D595" s="44" t="s">
        <v>1296</v>
      </c>
      <c r="E595" s="44" t="s">
        <v>640</v>
      </c>
      <c r="F595" s="44" t="s">
        <v>641</v>
      </c>
      <c r="G595" s="44" t="s">
        <v>1899</v>
      </c>
      <c r="H595" s="44" t="s">
        <v>643</v>
      </c>
      <c r="I595" s="44" t="s">
        <v>2042</v>
      </c>
      <c r="J595" s="44" t="s">
        <v>644</v>
      </c>
      <c r="K595" s="44" t="s">
        <v>20</v>
      </c>
      <c r="L595" s="48">
        <v>1778.15</v>
      </c>
      <c r="M595" s="48">
        <v>1677.5</v>
      </c>
      <c r="N595" s="48">
        <v>100.65</v>
      </c>
      <c r="O595" s="44" t="s">
        <v>2482</v>
      </c>
    </row>
    <row r="596" hidden="1" customHeight="1" spans="1:15">
      <c r="A596" s="44" t="s">
        <v>637</v>
      </c>
      <c r="B596" s="86">
        <v>45199</v>
      </c>
      <c r="C596" s="44" t="s">
        <v>730</v>
      </c>
      <c r="D596" s="44" t="s">
        <v>2483</v>
      </c>
      <c r="E596" s="44" t="s">
        <v>640</v>
      </c>
      <c r="F596" s="44" t="s">
        <v>641</v>
      </c>
      <c r="G596" s="44" t="s">
        <v>1899</v>
      </c>
      <c r="H596" s="44" t="s">
        <v>650</v>
      </c>
      <c r="I596" s="44" t="s">
        <v>1941</v>
      </c>
      <c r="J596" s="44" t="s">
        <v>656</v>
      </c>
      <c r="K596" s="44" t="s">
        <v>166</v>
      </c>
      <c r="L596" s="48">
        <v>45000</v>
      </c>
      <c r="M596" s="48">
        <v>42452.83</v>
      </c>
      <c r="N596" s="48">
        <v>2547.17</v>
      </c>
      <c r="O596" s="44" t="s">
        <v>2484</v>
      </c>
    </row>
    <row r="597" hidden="1" customHeight="1" spans="1:15">
      <c r="A597" s="44" t="s">
        <v>637</v>
      </c>
      <c r="B597" s="86">
        <v>45199</v>
      </c>
      <c r="C597" s="44" t="s">
        <v>811</v>
      </c>
      <c r="D597" s="44" t="s">
        <v>653</v>
      </c>
      <c r="E597" s="44" t="s">
        <v>640</v>
      </c>
      <c r="F597" s="44" t="s">
        <v>641</v>
      </c>
      <c r="G597" s="37" t="s">
        <v>1901</v>
      </c>
      <c r="H597" s="44" t="s">
        <v>650</v>
      </c>
      <c r="I597" s="44" t="s">
        <v>433</v>
      </c>
      <c r="J597" s="44" t="s">
        <v>656</v>
      </c>
      <c r="K597" s="44" t="s">
        <v>166</v>
      </c>
      <c r="L597" s="48">
        <v>22796.29</v>
      </c>
      <c r="M597" s="48">
        <v>21505.93</v>
      </c>
      <c r="N597" s="48">
        <v>1290.36</v>
      </c>
      <c r="O597" s="44" t="s">
        <v>2485</v>
      </c>
    </row>
    <row r="598" hidden="1" customHeight="1" spans="1:15">
      <c r="A598" s="44" t="s">
        <v>637</v>
      </c>
      <c r="B598" s="86">
        <v>45199</v>
      </c>
      <c r="C598" s="44" t="s">
        <v>730</v>
      </c>
      <c r="D598" s="44" t="s">
        <v>2483</v>
      </c>
      <c r="E598" s="44" t="s">
        <v>640</v>
      </c>
      <c r="F598" s="44" t="s">
        <v>641</v>
      </c>
      <c r="G598" s="44" t="s">
        <v>1899</v>
      </c>
      <c r="H598" s="44" t="s">
        <v>650</v>
      </c>
      <c r="I598" s="44" t="s">
        <v>1951</v>
      </c>
      <c r="J598" s="44" t="s">
        <v>656</v>
      </c>
      <c r="K598" s="44" t="s">
        <v>166</v>
      </c>
      <c r="L598" s="48">
        <v>16851.41</v>
      </c>
      <c r="M598" s="48">
        <v>15897.56</v>
      </c>
      <c r="N598" s="48">
        <v>953.85</v>
      </c>
      <c r="O598" s="44" t="s">
        <v>2486</v>
      </c>
    </row>
    <row r="599" hidden="1" customHeight="1" spans="1:15">
      <c r="A599" s="44" t="s">
        <v>637</v>
      </c>
      <c r="B599" s="86">
        <v>45199</v>
      </c>
      <c r="C599" s="44" t="s">
        <v>2102</v>
      </c>
      <c r="D599" s="44" t="s">
        <v>1296</v>
      </c>
      <c r="E599" s="44" t="s">
        <v>640</v>
      </c>
      <c r="F599" s="44" t="s">
        <v>641</v>
      </c>
      <c r="G599" s="44" t="s">
        <v>1899</v>
      </c>
      <c r="H599" s="44" t="s">
        <v>650</v>
      </c>
      <c r="I599" s="44" t="s">
        <v>486</v>
      </c>
      <c r="J599" s="44" t="s">
        <v>656</v>
      </c>
      <c r="K599" s="44" t="s">
        <v>14</v>
      </c>
      <c r="L599" s="48">
        <v>51033.46</v>
      </c>
      <c r="M599" s="48">
        <v>48144.77</v>
      </c>
      <c r="N599" s="48">
        <v>2888.69</v>
      </c>
      <c r="O599" s="44" t="s">
        <v>2487</v>
      </c>
    </row>
    <row r="600" hidden="1" customHeight="1" spans="1:15">
      <c r="A600" s="44" t="s">
        <v>637</v>
      </c>
      <c r="B600" s="86">
        <v>45199</v>
      </c>
      <c r="C600" s="44" t="s">
        <v>646</v>
      </c>
      <c r="D600" s="44" t="s">
        <v>726</v>
      </c>
      <c r="E600" s="44" t="s">
        <v>640</v>
      </c>
      <c r="F600" s="44" t="s">
        <v>641</v>
      </c>
      <c r="G600" s="44" t="s">
        <v>1899</v>
      </c>
      <c r="H600" s="44" t="s">
        <v>643</v>
      </c>
      <c r="I600" s="44" t="s">
        <v>1987</v>
      </c>
      <c r="J600" s="44" t="s">
        <v>644</v>
      </c>
      <c r="K600" s="44" t="s">
        <v>14</v>
      </c>
      <c r="L600" s="48">
        <v>-13432.86</v>
      </c>
      <c r="M600" s="48">
        <v>-12672.51</v>
      </c>
      <c r="N600" s="48">
        <v>-760.35</v>
      </c>
      <c r="O600" s="44" t="s">
        <v>2488</v>
      </c>
    </row>
    <row r="601" hidden="1" customHeight="1" spans="1:15">
      <c r="A601" s="44" t="s">
        <v>637</v>
      </c>
      <c r="B601" s="86">
        <v>45199</v>
      </c>
      <c r="C601" s="44" t="s">
        <v>646</v>
      </c>
      <c r="D601" s="44" t="s">
        <v>726</v>
      </c>
      <c r="E601" s="44" t="s">
        <v>640</v>
      </c>
      <c r="F601" s="44" t="s">
        <v>641</v>
      </c>
      <c r="G601" s="44" t="s">
        <v>1899</v>
      </c>
      <c r="H601" s="44" t="s">
        <v>643</v>
      </c>
      <c r="I601" s="44" t="s">
        <v>779</v>
      </c>
      <c r="J601" s="44" t="s">
        <v>644</v>
      </c>
      <c r="K601" s="44" t="s">
        <v>14</v>
      </c>
      <c r="L601" s="48">
        <v>50000</v>
      </c>
      <c r="M601" s="48">
        <v>47169.81</v>
      </c>
      <c r="N601" s="48">
        <v>2830.19</v>
      </c>
      <c r="O601" s="44" t="s">
        <v>2489</v>
      </c>
    </row>
    <row r="602" hidden="1" customHeight="1" spans="1:15">
      <c r="A602" s="44" t="s">
        <v>637</v>
      </c>
      <c r="B602" s="86">
        <v>45199</v>
      </c>
      <c r="C602" s="44" t="s">
        <v>646</v>
      </c>
      <c r="D602" s="44" t="s">
        <v>2134</v>
      </c>
      <c r="E602" s="44" t="s">
        <v>640</v>
      </c>
      <c r="F602" s="44" t="s">
        <v>641</v>
      </c>
      <c r="G602" s="44" t="s">
        <v>1899</v>
      </c>
      <c r="H602" s="44" t="s">
        <v>643</v>
      </c>
      <c r="I602" s="44" t="s">
        <v>466</v>
      </c>
      <c r="J602" s="44" t="s">
        <v>656</v>
      </c>
      <c r="K602" s="44" t="s">
        <v>14</v>
      </c>
      <c r="L602" s="48">
        <v>17224.36</v>
      </c>
      <c r="M602" s="48">
        <v>16249.4</v>
      </c>
      <c r="N602" s="48">
        <v>974.96</v>
      </c>
      <c r="O602" s="44" t="s">
        <v>2490</v>
      </c>
    </row>
    <row r="603" hidden="1" customHeight="1" spans="1:15">
      <c r="A603" s="44" t="s">
        <v>637</v>
      </c>
      <c r="B603" s="86">
        <v>45199</v>
      </c>
      <c r="C603" s="44" t="s">
        <v>646</v>
      </c>
      <c r="D603" s="44" t="s">
        <v>726</v>
      </c>
      <c r="E603" s="44" t="s">
        <v>640</v>
      </c>
      <c r="F603" s="44" t="s">
        <v>641</v>
      </c>
      <c r="G603" s="44" t="s">
        <v>1899</v>
      </c>
      <c r="H603" s="44" t="s">
        <v>697</v>
      </c>
      <c r="I603" s="44" t="s">
        <v>466</v>
      </c>
      <c r="J603" s="44" t="s">
        <v>656</v>
      </c>
      <c r="K603" s="44" t="s">
        <v>14</v>
      </c>
      <c r="L603" s="48">
        <v>454202.73</v>
      </c>
      <c r="M603" s="48">
        <v>428493.14</v>
      </c>
      <c r="N603" s="48">
        <v>25709.59</v>
      </c>
      <c r="O603" s="44" t="s">
        <v>2491</v>
      </c>
    </row>
    <row r="604" hidden="1" customHeight="1" spans="1:15">
      <c r="A604" s="44" t="s">
        <v>637</v>
      </c>
      <c r="B604" s="86">
        <v>45199</v>
      </c>
      <c r="C604" s="44" t="s">
        <v>646</v>
      </c>
      <c r="D604" s="44" t="s">
        <v>1284</v>
      </c>
      <c r="E604" s="44" t="s">
        <v>640</v>
      </c>
      <c r="F604" s="44" t="s">
        <v>641</v>
      </c>
      <c r="G604" s="44" t="s">
        <v>1899</v>
      </c>
      <c r="H604" s="44" t="s">
        <v>643</v>
      </c>
      <c r="I604" s="44" t="s">
        <v>466</v>
      </c>
      <c r="J604" s="44" t="s">
        <v>656</v>
      </c>
      <c r="K604" s="44" t="s">
        <v>14</v>
      </c>
      <c r="L604" s="48">
        <v>1324.26</v>
      </c>
      <c r="M604" s="48">
        <v>1249.3</v>
      </c>
      <c r="N604" s="48">
        <v>74.96</v>
      </c>
      <c r="O604" s="44" t="s">
        <v>2492</v>
      </c>
    </row>
    <row r="605" hidden="1" customHeight="1" spans="1:15">
      <c r="A605" s="44" t="s">
        <v>637</v>
      </c>
      <c r="B605" s="86">
        <v>45199</v>
      </c>
      <c r="C605" s="44" t="s">
        <v>646</v>
      </c>
      <c r="D605" s="44" t="s">
        <v>1296</v>
      </c>
      <c r="E605" s="44" t="s">
        <v>640</v>
      </c>
      <c r="F605" s="44" t="s">
        <v>641</v>
      </c>
      <c r="G605" s="37" t="s">
        <v>1901</v>
      </c>
      <c r="H605" s="44" t="s">
        <v>643</v>
      </c>
      <c r="I605" s="44" t="s">
        <v>2028</v>
      </c>
      <c r="J605" s="44" t="s">
        <v>656</v>
      </c>
      <c r="K605" s="44" t="s">
        <v>13</v>
      </c>
      <c r="L605" s="48">
        <v>16750</v>
      </c>
      <c r="M605" s="48">
        <v>15801.89</v>
      </c>
      <c r="N605" s="48">
        <v>948.11</v>
      </c>
      <c r="O605" s="44" t="s">
        <v>2493</v>
      </c>
    </row>
    <row r="606" hidden="1" customHeight="1" spans="1:15">
      <c r="A606" s="44" t="s">
        <v>637</v>
      </c>
      <c r="B606" s="86">
        <v>45199</v>
      </c>
      <c r="C606" s="44" t="s">
        <v>646</v>
      </c>
      <c r="D606" s="44" t="s">
        <v>682</v>
      </c>
      <c r="E606" s="44" t="s">
        <v>640</v>
      </c>
      <c r="F606" s="44" t="s">
        <v>641</v>
      </c>
      <c r="G606" s="37" t="s">
        <v>1901</v>
      </c>
      <c r="H606" s="44" t="s">
        <v>650</v>
      </c>
      <c r="I606" s="44" t="s">
        <v>2028</v>
      </c>
      <c r="J606" s="44" t="s">
        <v>656</v>
      </c>
      <c r="K606" s="44" t="s">
        <v>13</v>
      </c>
      <c r="L606" s="48">
        <v>16750</v>
      </c>
      <c r="M606" s="48">
        <v>15801.89</v>
      </c>
      <c r="N606" s="48">
        <v>948.11</v>
      </c>
      <c r="O606" s="44" t="s">
        <v>2494</v>
      </c>
    </row>
    <row r="607" hidden="1" customHeight="1" spans="1:15">
      <c r="A607" s="44" t="s">
        <v>637</v>
      </c>
      <c r="B607" s="86">
        <v>45199</v>
      </c>
      <c r="C607" s="44" t="s">
        <v>646</v>
      </c>
      <c r="D607" s="44" t="s">
        <v>2483</v>
      </c>
      <c r="E607" s="44" t="s">
        <v>640</v>
      </c>
      <c r="F607" s="44" t="s">
        <v>641</v>
      </c>
      <c r="G607" s="44" t="s">
        <v>1899</v>
      </c>
      <c r="H607" s="44" t="s">
        <v>650</v>
      </c>
      <c r="I607" s="44" t="s">
        <v>1953</v>
      </c>
      <c r="J607" s="44" t="s">
        <v>656</v>
      </c>
      <c r="K607" s="44" t="s">
        <v>166</v>
      </c>
      <c r="L607" s="48">
        <v>34600.6</v>
      </c>
      <c r="M607" s="48">
        <v>32642.08</v>
      </c>
      <c r="N607" s="48">
        <v>1958.52</v>
      </c>
      <c r="O607" s="44" t="s">
        <v>2495</v>
      </c>
    </row>
    <row r="608" hidden="1" customHeight="1" spans="1:15">
      <c r="A608" s="44" t="s">
        <v>637</v>
      </c>
      <c r="B608" s="86">
        <v>45199</v>
      </c>
      <c r="C608" s="44" t="s">
        <v>646</v>
      </c>
      <c r="D608" s="44" t="s">
        <v>2483</v>
      </c>
      <c r="E608" s="44" t="s">
        <v>640</v>
      </c>
      <c r="F608" s="44" t="s">
        <v>641</v>
      </c>
      <c r="G608" s="44" t="s">
        <v>1899</v>
      </c>
      <c r="H608" s="44" t="s">
        <v>650</v>
      </c>
      <c r="I608" s="44" t="s">
        <v>1953</v>
      </c>
      <c r="J608" s="44" t="s">
        <v>656</v>
      </c>
      <c r="K608" s="44" t="s">
        <v>166</v>
      </c>
      <c r="L608" s="48">
        <v>50000</v>
      </c>
      <c r="M608" s="48">
        <v>47169.81</v>
      </c>
      <c r="N608" s="48">
        <v>2830.19</v>
      </c>
      <c r="O608" s="44" t="s">
        <v>2496</v>
      </c>
    </row>
    <row r="609" hidden="1" customHeight="1" spans="1:15">
      <c r="A609" s="44" t="s">
        <v>637</v>
      </c>
      <c r="B609" s="86">
        <v>45199</v>
      </c>
      <c r="C609" s="44" t="s">
        <v>646</v>
      </c>
      <c r="D609" s="44" t="s">
        <v>2483</v>
      </c>
      <c r="E609" s="44" t="s">
        <v>640</v>
      </c>
      <c r="F609" s="44" t="s">
        <v>641</v>
      </c>
      <c r="G609" s="44" t="s">
        <v>1899</v>
      </c>
      <c r="H609" s="44" t="s">
        <v>650</v>
      </c>
      <c r="I609" s="44" t="s">
        <v>1953</v>
      </c>
      <c r="J609" s="44" t="s">
        <v>656</v>
      </c>
      <c r="K609" s="44" t="s">
        <v>166</v>
      </c>
      <c r="L609" s="48">
        <v>-15.13</v>
      </c>
      <c r="M609" s="48">
        <v>-14.27</v>
      </c>
      <c r="N609" s="48">
        <v>-0.86</v>
      </c>
      <c r="O609" s="44" t="s">
        <v>2497</v>
      </c>
    </row>
    <row r="610" hidden="1" customHeight="1" spans="1:15">
      <c r="A610" s="44" t="s">
        <v>637</v>
      </c>
      <c r="B610" s="86">
        <v>45199</v>
      </c>
      <c r="C610" s="44" t="s">
        <v>646</v>
      </c>
      <c r="D610" s="44" t="s">
        <v>2483</v>
      </c>
      <c r="E610" s="44" t="s">
        <v>640</v>
      </c>
      <c r="F610" s="44" t="s">
        <v>641</v>
      </c>
      <c r="G610" s="44" t="s">
        <v>1899</v>
      </c>
      <c r="H610" s="44" t="s">
        <v>650</v>
      </c>
      <c r="I610" s="44" t="s">
        <v>1953</v>
      </c>
      <c r="J610" s="44" t="s">
        <v>656</v>
      </c>
      <c r="K610" s="44" t="s">
        <v>166</v>
      </c>
      <c r="L610" s="48">
        <v>32755.28</v>
      </c>
      <c r="M610" s="48">
        <v>30901.21</v>
      </c>
      <c r="N610" s="48">
        <v>1854.07</v>
      </c>
      <c r="O610" s="44" t="s">
        <v>2498</v>
      </c>
    </row>
    <row r="611" hidden="1" customHeight="1" spans="1:15">
      <c r="A611" s="44" t="s">
        <v>637</v>
      </c>
      <c r="B611" s="86">
        <v>45199</v>
      </c>
      <c r="C611" s="44" t="s">
        <v>646</v>
      </c>
      <c r="D611" s="44" t="s">
        <v>1296</v>
      </c>
      <c r="E611" s="44" t="s">
        <v>640</v>
      </c>
      <c r="F611" s="44" t="s">
        <v>641</v>
      </c>
      <c r="G611" s="44" t="s">
        <v>1899</v>
      </c>
      <c r="H611" s="44" t="s">
        <v>650</v>
      </c>
      <c r="I611" s="44" t="s">
        <v>2044</v>
      </c>
      <c r="J611" s="44" t="s">
        <v>644</v>
      </c>
      <c r="K611" s="44" t="s">
        <v>20</v>
      </c>
      <c r="L611" s="48">
        <v>16500</v>
      </c>
      <c r="M611" s="48">
        <v>15566.04</v>
      </c>
      <c r="N611" s="48">
        <v>933.96</v>
      </c>
      <c r="O611" s="44" t="s">
        <v>2499</v>
      </c>
    </row>
    <row r="612" hidden="1" customHeight="1" spans="1:15">
      <c r="A612" s="44" t="s">
        <v>637</v>
      </c>
      <c r="B612" s="86">
        <v>45199</v>
      </c>
      <c r="C612" s="44" t="s">
        <v>646</v>
      </c>
      <c r="D612" s="44" t="s">
        <v>1296</v>
      </c>
      <c r="E612" s="44" t="s">
        <v>640</v>
      </c>
      <c r="F612" s="44" t="s">
        <v>641</v>
      </c>
      <c r="G612" s="44" t="s">
        <v>1899</v>
      </c>
      <c r="H612" s="44" t="s">
        <v>650</v>
      </c>
      <c r="I612" s="44" t="s">
        <v>2046</v>
      </c>
      <c r="J612" s="44" t="s">
        <v>644</v>
      </c>
      <c r="K612" s="44" t="s">
        <v>20</v>
      </c>
      <c r="L612" s="48">
        <v>862.85</v>
      </c>
      <c r="M612" s="48">
        <v>814.01</v>
      </c>
      <c r="N612" s="48">
        <v>48.84</v>
      </c>
      <c r="O612" s="44" t="s">
        <v>2500</v>
      </c>
    </row>
    <row r="613" hidden="1" customHeight="1" spans="1:15">
      <c r="A613" s="44" t="s">
        <v>637</v>
      </c>
      <c r="B613" s="86">
        <v>45199</v>
      </c>
      <c r="C613" s="44" t="s">
        <v>646</v>
      </c>
      <c r="D613" s="44" t="s">
        <v>2134</v>
      </c>
      <c r="E613" s="44" t="s">
        <v>640</v>
      </c>
      <c r="F613" s="44" t="s">
        <v>641</v>
      </c>
      <c r="G613" s="44" t="s">
        <v>1899</v>
      </c>
      <c r="H613" s="44" t="s">
        <v>643</v>
      </c>
      <c r="I613" s="44" t="s">
        <v>1906</v>
      </c>
      <c r="J613" s="44" t="s">
        <v>656</v>
      </c>
      <c r="K613" s="44" t="s">
        <v>14</v>
      </c>
      <c r="L613" s="48">
        <v>10121.2</v>
      </c>
      <c r="M613" s="48">
        <v>9548.3</v>
      </c>
      <c r="N613" s="48">
        <v>572.9</v>
      </c>
      <c r="O613" s="44" t="s">
        <v>2501</v>
      </c>
    </row>
    <row r="614" hidden="1" customHeight="1" spans="1:15">
      <c r="A614" s="44" t="s">
        <v>637</v>
      </c>
      <c r="B614" s="86">
        <v>45199</v>
      </c>
      <c r="C614" s="44" t="s">
        <v>646</v>
      </c>
      <c r="D614" s="44" t="s">
        <v>1296</v>
      </c>
      <c r="E614" s="44" t="s">
        <v>640</v>
      </c>
      <c r="F614" s="44" t="s">
        <v>641</v>
      </c>
      <c r="G614" s="44" t="s">
        <v>1899</v>
      </c>
      <c r="H614" s="44" t="s">
        <v>650</v>
      </c>
      <c r="I614" s="44" t="s">
        <v>2028</v>
      </c>
      <c r="J614" s="44" t="s">
        <v>656</v>
      </c>
      <c r="K614" s="44" t="s">
        <v>13</v>
      </c>
      <c r="L614" s="48">
        <v>14055.6</v>
      </c>
      <c r="M614" s="48">
        <v>13260</v>
      </c>
      <c r="N614" s="48">
        <v>795.6</v>
      </c>
      <c r="O614" s="44" t="s">
        <v>2502</v>
      </c>
    </row>
    <row r="615" hidden="1" customHeight="1" spans="1:15">
      <c r="A615" s="44" t="s">
        <v>637</v>
      </c>
      <c r="B615" s="86">
        <v>45199</v>
      </c>
      <c r="C615" s="44" t="s">
        <v>646</v>
      </c>
      <c r="D615" s="44" t="s">
        <v>2134</v>
      </c>
      <c r="E615" s="44" t="s">
        <v>640</v>
      </c>
      <c r="F615" s="44" t="s">
        <v>641</v>
      </c>
      <c r="G615" s="44" t="s">
        <v>1899</v>
      </c>
      <c r="H615" s="44" t="s">
        <v>643</v>
      </c>
      <c r="I615" s="44" t="s">
        <v>466</v>
      </c>
      <c r="J615" s="44" t="s">
        <v>656</v>
      </c>
      <c r="K615" s="44" t="s">
        <v>14</v>
      </c>
      <c r="L615" s="48">
        <v>27811.85</v>
      </c>
      <c r="M615" s="48">
        <v>26237.59</v>
      </c>
      <c r="N615" s="48">
        <v>1574.26</v>
      </c>
      <c r="O615" s="44" t="s">
        <v>2503</v>
      </c>
    </row>
    <row r="616" hidden="1" customHeight="1" spans="1:15">
      <c r="A616" s="44" t="s">
        <v>637</v>
      </c>
      <c r="B616" s="86">
        <v>45199</v>
      </c>
      <c r="C616" s="44" t="s">
        <v>646</v>
      </c>
      <c r="D616" s="44" t="s">
        <v>1296</v>
      </c>
      <c r="E616" s="44" t="s">
        <v>640</v>
      </c>
      <c r="F616" s="44" t="s">
        <v>641</v>
      </c>
      <c r="G616" s="44" t="s">
        <v>1899</v>
      </c>
      <c r="H616" s="44" t="s">
        <v>650</v>
      </c>
      <c r="I616" s="44" t="s">
        <v>1934</v>
      </c>
      <c r="J616" s="44" t="s">
        <v>656</v>
      </c>
      <c r="K616" s="44" t="s">
        <v>13</v>
      </c>
      <c r="L616" s="48">
        <v>12172.2</v>
      </c>
      <c r="M616" s="48">
        <v>11483.21</v>
      </c>
      <c r="N616" s="48">
        <v>688.99</v>
      </c>
      <c r="O616" s="44" t="s">
        <v>2504</v>
      </c>
    </row>
    <row r="617" hidden="1" customHeight="1" spans="1:15">
      <c r="A617" s="44" t="s">
        <v>637</v>
      </c>
      <c r="B617" s="86">
        <v>45199</v>
      </c>
      <c r="C617" s="44" t="s">
        <v>646</v>
      </c>
      <c r="D617" s="44" t="s">
        <v>2134</v>
      </c>
      <c r="E617" s="44" t="s">
        <v>640</v>
      </c>
      <c r="F617" s="44" t="s">
        <v>641</v>
      </c>
      <c r="G617" s="44" t="s">
        <v>1899</v>
      </c>
      <c r="H617" s="44" t="s">
        <v>643</v>
      </c>
      <c r="I617" s="44" t="s">
        <v>1989</v>
      </c>
      <c r="J617" s="44" t="s">
        <v>656</v>
      </c>
      <c r="K617" s="44" t="s">
        <v>14</v>
      </c>
      <c r="L617" s="48">
        <v>109.45</v>
      </c>
      <c r="M617" s="48">
        <v>103.25</v>
      </c>
      <c r="N617" s="48">
        <v>6.2</v>
      </c>
      <c r="O617" s="44" t="s">
        <v>2505</v>
      </c>
    </row>
    <row r="618" hidden="1" customHeight="1" spans="1:15">
      <c r="A618" s="44" t="s">
        <v>637</v>
      </c>
      <c r="B618" s="86">
        <v>45199</v>
      </c>
      <c r="C618" s="44" t="s">
        <v>646</v>
      </c>
      <c r="D618" s="44" t="s">
        <v>1296</v>
      </c>
      <c r="E618" s="44" t="s">
        <v>640</v>
      </c>
      <c r="F618" s="44" t="s">
        <v>641</v>
      </c>
      <c r="G618" s="44" t="s">
        <v>1899</v>
      </c>
      <c r="H618" s="44" t="s">
        <v>650</v>
      </c>
      <c r="I618" s="44" t="s">
        <v>461</v>
      </c>
      <c r="J618" s="44" t="s">
        <v>644</v>
      </c>
      <c r="K618" s="44" t="s">
        <v>14</v>
      </c>
      <c r="L618" s="48">
        <v>54378.2</v>
      </c>
      <c r="M618" s="48">
        <v>51300.19</v>
      </c>
      <c r="N618" s="48">
        <v>3078.01</v>
      </c>
      <c r="O618" s="44" t="s">
        <v>2506</v>
      </c>
    </row>
    <row r="619" hidden="1" customHeight="1" spans="1:15">
      <c r="A619" s="44" t="s">
        <v>637</v>
      </c>
      <c r="B619" s="86">
        <v>45199</v>
      </c>
      <c r="C619" s="44" t="s">
        <v>646</v>
      </c>
      <c r="D619" s="44" t="s">
        <v>726</v>
      </c>
      <c r="E619" s="44" t="s">
        <v>640</v>
      </c>
      <c r="F619" s="44" t="s">
        <v>641</v>
      </c>
      <c r="G619" s="44" t="s">
        <v>1899</v>
      </c>
      <c r="H619" s="44" t="s">
        <v>650</v>
      </c>
      <c r="I619" s="44" t="s">
        <v>1938</v>
      </c>
      <c r="J619" s="44" t="s">
        <v>656</v>
      </c>
      <c r="K619" s="44" t="s">
        <v>14</v>
      </c>
      <c r="L619" s="48">
        <v>27034.82</v>
      </c>
      <c r="M619" s="48">
        <v>25504.55</v>
      </c>
      <c r="N619" s="48">
        <v>1530.27</v>
      </c>
      <c r="O619" s="44" t="s">
        <v>2507</v>
      </c>
    </row>
    <row r="620" hidden="1" customHeight="1" spans="1:15">
      <c r="A620" s="44" t="s">
        <v>637</v>
      </c>
      <c r="B620" s="86">
        <v>45199</v>
      </c>
      <c r="C620" s="44" t="s">
        <v>646</v>
      </c>
      <c r="D620" s="44" t="s">
        <v>1296</v>
      </c>
      <c r="E620" s="44" t="s">
        <v>640</v>
      </c>
      <c r="F620" s="44" t="s">
        <v>641</v>
      </c>
      <c r="G620" s="44" t="s">
        <v>1899</v>
      </c>
      <c r="H620" s="44" t="s">
        <v>643</v>
      </c>
      <c r="I620" s="44" t="s">
        <v>1982</v>
      </c>
      <c r="J620" s="44" t="s">
        <v>644</v>
      </c>
      <c r="K620" s="44" t="s">
        <v>14</v>
      </c>
      <c r="L620" s="48">
        <v>735877.53</v>
      </c>
      <c r="M620" s="48">
        <v>694224.08</v>
      </c>
      <c r="N620" s="48">
        <v>41653.45</v>
      </c>
      <c r="O620" s="44" t="s">
        <v>2508</v>
      </c>
    </row>
    <row r="621" hidden="1" customHeight="1" spans="1:15">
      <c r="A621" s="44" t="s">
        <v>637</v>
      </c>
      <c r="B621" s="86">
        <v>45199</v>
      </c>
      <c r="C621" s="44" t="s">
        <v>646</v>
      </c>
      <c r="D621" s="44" t="s">
        <v>1296</v>
      </c>
      <c r="E621" s="44" t="s">
        <v>640</v>
      </c>
      <c r="F621" s="44" t="s">
        <v>641</v>
      </c>
      <c r="G621" s="44" t="s">
        <v>1899</v>
      </c>
      <c r="H621" s="44" t="s">
        <v>643</v>
      </c>
      <c r="I621" s="44" t="s">
        <v>1995</v>
      </c>
      <c r="J621" s="44" t="s">
        <v>644</v>
      </c>
      <c r="K621" s="44" t="s">
        <v>14</v>
      </c>
      <c r="L621" s="48">
        <v>233277.68</v>
      </c>
      <c r="M621" s="48">
        <v>220073.28</v>
      </c>
      <c r="N621" s="48">
        <v>13204.4</v>
      </c>
      <c r="O621" s="44" t="s">
        <v>2509</v>
      </c>
    </row>
    <row r="622" hidden="1" customHeight="1" spans="1:15">
      <c r="A622" s="44" t="s">
        <v>637</v>
      </c>
      <c r="B622" s="86">
        <v>45199</v>
      </c>
      <c r="C622" s="44" t="s">
        <v>646</v>
      </c>
      <c r="D622" s="44" t="s">
        <v>682</v>
      </c>
      <c r="E622" s="44" t="s">
        <v>640</v>
      </c>
      <c r="F622" s="44" t="s">
        <v>641</v>
      </c>
      <c r="G622" s="44" t="s">
        <v>1899</v>
      </c>
      <c r="H622" s="44" t="s">
        <v>650</v>
      </c>
      <c r="I622" s="44" t="s">
        <v>1934</v>
      </c>
      <c r="J622" s="44" t="s">
        <v>656</v>
      </c>
      <c r="K622" s="44" t="s">
        <v>13</v>
      </c>
      <c r="L622" s="48">
        <v>19627.8</v>
      </c>
      <c r="M622" s="48">
        <v>18516.79</v>
      </c>
      <c r="N622" s="48">
        <v>1111.01</v>
      </c>
      <c r="O622" s="44" t="s">
        <v>2510</v>
      </c>
    </row>
    <row r="623" hidden="1" customHeight="1" spans="1:15">
      <c r="A623" s="44" t="s">
        <v>637</v>
      </c>
      <c r="B623" s="86">
        <v>45199</v>
      </c>
      <c r="C623" s="44" t="s">
        <v>646</v>
      </c>
      <c r="D623" s="44" t="s">
        <v>2483</v>
      </c>
      <c r="E623" s="44" t="s">
        <v>640</v>
      </c>
      <c r="F623" s="44" t="s">
        <v>641</v>
      </c>
      <c r="G623" s="44" t="s">
        <v>1899</v>
      </c>
      <c r="H623" s="44" t="s">
        <v>650</v>
      </c>
      <c r="I623" s="44" t="s">
        <v>1953</v>
      </c>
      <c r="J623" s="44" t="s">
        <v>656</v>
      </c>
      <c r="K623" s="44" t="s">
        <v>166</v>
      </c>
      <c r="L623" s="48">
        <v>186696.22</v>
      </c>
      <c r="M623" s="48">
        <v>176128.51</v>
      </c>
      <c r="N623" s="48">
        <v>10567.71</v>
      </c>
      <c r="O623" s="44" t="s">
        <v>2511</v>
      </c>
    </row>
    <row r="624" hidden="1" customHeight="1" spans="1:15">
      <c r="A624" s="44" t="s">
        <v>637</v>
      </c>
      <c r="B624" s="86">
        <v>45199</v>
      </c>
      <c r="C624" s="44" t="s">
        <v>646</v>
      </c>
      <c r="D624" s="44" t="s">
        <v>1296</v>
      </c>
      <c r="E624" s="44" t="s">
        <v>640</v>
      </c>
      <c r="F624" s="44" t="s">
        <v>641</v>
      </c>
      <c r="G624" s="44" t="s">
        <v>1899</v>
      </c>
      <c r="H624" s="44" t="s">
        <v>643</v>
      </c>
      <c r="I624" s="44" t="s">
        <v>429</v>
      </c>
      <c r="J624" s="44" t="s">
        <v>644</v>
      </c>
      <c r="K624" s="44" t="s">
        <v>14</v>
      </c>
      <c r="L624" s="48">
        <v>75429</v>
      </c>
      <c r="M624" s="48">
        <v>71159.43</v>
      </c>
      <c r="N624" s="48">
        <v>4269.57</v>
      </c>
      <c r="O624" s="44" t="s">
        <v>2512</v>
      </c>
    </row>
    <row r="625" hidden="1" customHeight="1" spans="1:15">
      <c r="A625" s="44" t="s">
        <v>637</v>
      </c>
      <c r="B625" s="86">
        <v>45199</v>
      </c>
      <c r="C625" s="44" t="s">
        <v>646</v>
      </c>
      <c r="D625" s="44" t="s">
        <v>2483</v>
      </c>
      <c r="E625" s="44" t="s">
        <v>640</v>
      </c>
      <c r="F625" s="44" t="s">
        <v>641</v>
      </c>
      <c r="G625" s="37" t="s">
        <v>1901</v>
      </c>
      <c r="H625" s="44" t="s">
        <v>650</v>
      </c>
      <c r="I625" s="44" t="s">
        <v>1953</v>
      </c>
      <c r="J625" s="44" t="s">
        <v>656</v>
      </c>
      <c r="K625" s="44" t="s">
        <v>166</v>
      </c>
      <c r="L625" s="48">
        <v>38654.38</v>
      </c>
      <c r="M625" s="48">
        <v>36466.4</v>
      </c>
      <c r="N625" s="48">
        <v>2187.98</v>
      </c>
      <c r="O625" s="44" t="s">
        <v>2513</v>
      </c>
    </row>
    <row r="626" hidden="1" customHeight="1" spans="1:15">
      <c r="A626" s="44" t="s">
        <v>637</v>
      </c>
      <c r="B626" s="86">
        <v>45199</v>
      </c>
      <c r="C626" s="44" t="s">
        <v>646</v>
      </c>
      <c r="D626" s="44" t="s">
        <v>1296</v>
      </c>
      <c r="E626" s="44" t="s">
        <v>640</v>
      </c>
      <c r="F626" s="44" t="s">
        <v>641</v>
      </c>
      <c r="G626" s="44" t="s">
        <v>1899</v>
      </c>
      <c r="H626" s="44" t="s">
        <v>643</v>
      </c>
      <c r="I626" s="44" t="s">
        <v>1993</v>
      </c>
      <c r="J626" s="44" t="s">
        <v>644</v>
      </c>
      <c r="K626" s="44" t="s">
        <v>14</v>
      </c>
      <c r="L626" s="48">
        <v>87311.49</v>
      </c>
      <c r="M626" s="48">
        <v>82369.33</v>
      </c>
      <c r="N626" s="48">
        <v>4942.16</v>
      </c>
      <c r="O626" s="44" t="s">
        <v>2514</v>
      </c>
    </row>
    <row r="627" hidden="1" customHeight="1" spans="1:15">
      <c r="A627" s="44" t="s">
        <v>637</v>
      </c>
      <c r="B627" s="86">
        <v>45199</v>
      </c>
      <c r="C627" s="44" t="s">
        <v>646</v>
      </c>
      <c r="D627" s="44" t="s">
        <v>1296</v>
      </c>
      <c r="E627" s="44" t="s">
        <v>640</v>
      </c>
      <c r="F627" s="44" t="s">
        <v>641</v>
      </c>
      <c r="G627" s="37" t="s">
        <v>1901</v>
      </c>
      <c r="H627" s="44" t="s">
        <v>650</v>
      </c>
      <c r="I627" s="44" t="s">
        <v>2048</v>
      </c>
      <c r="J627" s="44" t="s">
        <v>644</v>
      </c>
      <c r="K627" s="44" t="s">
        <v>20</v>
      </c>
      <c r="L627" s="48">
        <v>20000</v>
      </c>
      <c r="M627" s="48">
        <v>18867.92</v>
      </c>
      <c r="N627" s="48">
        <v>1132.08</v>
      </c>
      <c r="O627" s="44" t="s">
        <v>2515</v>
      </c>
    </row>
    <row r="628" hidden="1" customHeight="1" spans="1:15">
      <c r="A628" s="44" t="s">
        <v>637</v>
      </c>
      <c r="B628" s="86">
        <v>45199</v>
      </c>
      <c r="C628" s="44" t="s">
        <v>646</v>
      </c>
      <c r="D628" s="44" t="s">
        <v>1296</v>
      </c>
      <c r="E628" s="44" t="s">
        <v>640</v>
      </c>
      <c r="F628" s="44" t="s">
        <v>641</v>
      </c>
      <c r="G628" s="44" t="s">
        <v>1899</v>
      </c>
      <c r="H628" s="44" t="s">
        <v>650</v>
      </c>
      <c r="I628" s="44" t="s">
        <v>779</v>
      </c>
      <c r="J628" s="44" t="s">
        <v>644</v>
      </c>
      <c r="K628" s="44" t="s">
        <v>14</v>
      </c>
      <c r="L628" s="48">
        <v>12481.02</v>
      </c>
      <c r="M628" s="48">
        <v>11774.55</v>
      </c>
      <c r="N628" s="48">
        <v>706.47</v>
      </c>
      <c r="O628" s="44" t="s">
        <v>2516</v>
      </c>
    </row>
    <row r="629" hidden="1" customHeight="1" spans="1:15">
      <c r="A629" s="44" t="s">
        <v>637</v>
      </c>
      <c r="B629" s="86">
        <v>45199</v>
      </c>
      <c r="C629" s="44" t="s">
        <v>646</v>
      </c>
      <c r="D629" s="44" t="s">
        <v>1902</v>
      </c>
      <c r="E629" s="44" t="s">
        <v>1898</v>
      </c>
      <c r="F629" s="44" t="s">
        <v>641</v>
      </c>
      <c r="G629" s="44" t="s">
        <v>1899</v>
      </c>
      <c r="H629" s="44" t="s">
        <v>643</v>
      </c>
      <c r="I629" s="44" t="s">
        <v>466</v>
      </c>
      <c r="J629" s="44" t="s">
        <v>656</v>
      </c>
      <c r="K629" s="44" t="s">
        <v>14</v>
      </c>
      <c r="L629" s="48">
        <v>70111.57</v>
      </c>
      <c r="M629" s="48">
        <v>66142.99</v>
      </c>
      <c r="N629" s="48">
        <v>3968.58</v>
      </c>
      <c r="O629" s="44" t="s">
        <v>2517</v>
      </c>
    </row>
    <row r="630" hidden="1" customHeight="1" spans="1:15">
      <c r="A630" s="44" t="s">
        <v>637</v>
      </c>
      <c r="B630" s="86">
        <v>45199</v>
      </c>
      <c r="C630" s="44" t="s">
        <v>646</v>
      </c>
      <c r="D630" s="44" t="s">
        <v>1296</v>
      </c>
      <c r="E630" s="44" t="s">
        <v>1898</v>
      </c>
      <c r="F630" s="44" t="s">
        <v>641</v>
      </c>
      <c r="G630" s="44" t="s">
        <v>1899</v>
      </c>
      <c r="H630" s="44" t="s">
        <v>643</v>
      </c>
      <c r="I630" s="44" t="s">
        <v>466</v>
      </c>
      <c r="J630" s="44" t="s">
        <v>656</v>
      </c>
      <c r="K630" s="44" t="s">
        <v>14</v>
      </c>
      <c r="L630" s="48">
        <v>160916.8</v>
      </c>
      <c r="M630" s="48">
        <v>151808.3</v>
      </c>
      <c r="N630" s="48">
        <v>9108.5</v>
      </c>
      <c r="O630" s="44" t="s">
        <v>2518</v>
      </c>
    </row>
    <row r="631" hidden="1" customHeight="1" spans="1:15">
      <c r="A631" s="44" t="s">
        <v>637</v>
      </c>
      <c r="B631" s="86">
        <v>45199</v>
      </c>
      <c r="C631" s="44" t="s">
        <v>646</v>
      </c>
      <c r="D631" s="44" t="s">
        <v>726</v>
      </c>
      <c r="E631" s="44" t="s">
        <v>1898</v>
      </c>
      <c r="F631" s="44" t="s">
        <v>641</v>
      </c>
      <c r="G631" s="44" t="s">
        <v>1899</v>
      </c>
      <c r="H631" s="44" t="s">
        <v>697</v>
      </c>
      <c r="I631" s="44" t="s">
        <v>1908</v>
      </c>
      <c r="J631" s="44" t="s">
        <v>656</v>
      </c>
      <c r="K631" s="44" t="s">
        <v>350</v>
      </c>
      <c r="L631" s="48">
        <v>6500</v>
      </c>
      <c r="M631" s="48">
        <v>6132.08</v>
      </c>
      <c r="N631" s="48">
        <v>367.92</v>
      </c>
      <c r="O631" s="44" t="s">
        <v>2519</v>
      </c>
    </row>
    <row r="632" hidden="1" customHeight="1" spans="1:15">
      <c r="A632" s="44" t="s">
        <v>637</v>
      </c>
      <c r="B632" s="86">
        <v>45199</v>
      </c>
      <c r="C632" s="44" t="s">
        <v>646</v>
      </c>
      <c r="D632" s="44" t="s">
        <v>726</v>
      </c>
      <c r="E632" s="44" t="s">
        <v>1898</v>
      </c>
      <c r="F632" s="44" t="s">
        <v>641</v>
      </c>
      <c r="G632" s="44" t="s">
        <v>1899</v>
      </c>
      <c r="H632" s="44" t="s">
        <v>643</v>
      </c>
      <c r="I632" s="44" t="s">
        <v>1906</v>
      </c>
      <c r="J632" s="44" t="s">
        <v>656</v>
      </c>
      <c r="K632" s="44" t="s">
        <v>14</v>
      </c>
      <c r="L632" s="48">
        <v>61145.35</v>
      </c>
      <c r="M632" s="48">
        <v>57684.29</v>
      </c>
      <c r="N632" s="48">
        <v>3461.06</v>
      </c>
      <c r="O632" s="44" t="s">
        <v>2520</v>
      </c>
    </row>
    <row r="633" hidden="1" customHeight="1" spans="1:15">
      <c r="A633" s="44" t="s">
        <v>637</v>
      </c>
      <c r="B633" s="86">
        <v>45199</v>
      </c>
      <c r="C633" s="44" t="s">
        <v>646</v>
      </c>
      <c r="D633" s="44" t="s">
        <v>1902</v>
      </c>
      <c r="E633" s="44" t="s">
        <v>1898</v>
      </c>
      <c r="F633" s="44" t="s">
        <v>641</v>
      </c>
      <c r="G633" s="44" t="s">
        <v>1899</v>
      </c>
      <c r="H633" s="44" t="s">
        <v>643</v>
      </c>
      <c r="I633" s="44" t="s">
        <v>466</v>
      </c>
      <c r="J633" s="44" t="s">
        <v>656</v>
      </c>
      <c r="K633" s="44" t="s">
        <v>14</v>
      </c>
      <c r="L633" s="48">
        <v>1350.8</v>
      </c>
      <c r="M633" s="48">
        <v>1274.34</v>
      </c>
      <c r="N633" s="48">
        <v>76.46</v>
      </c>
      <c r="O633" s="44" t="s">
        <v>2521</v>
      </c>
    </row>
    <row r="634" hidden="1" customHeight="1" spans="1:15">
      <c r="A634" s="44" t="s">
        <v>637</v>
      </c>
      <c r="B634" s="86">
        <v>45199</v>
      </c>
      <c r="C634" s="44" t="s">
        <v>646</v>
      </c>
      <c r="D634" s="44" t="s">
        <v>1902</v>
      </c>
      <c r="E634" s="44" t="s">
        <v>1898</v>
      </c>
      <c r="F634" s="44" t="s">
        <v>641</v>
      </c>
      <c r="G634" s="44" t="s">
        <v>1899</v>
      </c>
      <c r="H634" s="44" t="s">
        <v>643</v>
      </c>
      <c r="I634" s="44" t="s">
        <v>436</v>
      </c>
      <c r="J634" s="44" t="s">
        <v>644</v>
      </c>
      <c r="K634" s="44" t="s">
        <v>350</v>
      </c>
      <c r="L634" s="48">
        <v>15700.43</v>
      </c>
      <c r="M634" s="48">
        <v>14811.73</v>
      </c>
      <c r="N634" s="48">
        <v>888.7</v>
      </c>
      <c r="O634" s="44" t="s">
        <v>2522</v>
      </c>
    </row>
    <row r="635" hidden="1" customHeight="1" spans="1:15">
      <c r="A635" s="44" t="s">
        <v>637</v>
      </c>
      <c r="B635" s="86">
        <v>45199</v>
      </c>
      <c r="C635" s="44" t="s">
        <v>646</v>
      </c>
      <c r="D635" s="44" t="s">
        <v>726</v>
      </c>
      <c r="E635" s="44" t="s">
        <v>1898</v>
      </c>
      <c r="F635" s="44" t="s">
        <v>641</v>
      </c>
      <c r="G635" s="44" t="s">
        <v>1899</v>
      </c>
      <c r="H635" s="44" t="s">
        <v>650</v>
      </c>
      <c r="I635" s="44" t="s">
        <v>461</v>
      </c>
      <c r="J635" s="44" t="s">
        <v>656</v>
      </c>
      <c r="K635" s="44" t="s">
        <v>14</v>
      </c>
      <c r="L635" s="48">
        <v>24429.26</v>
      </c>
      <c r="M635" s="48">
        <v>23046.47</v>
      </c>
      <c r="N635" s="48">
        <v>1382.79</v>
      </c>
      <c r="O635" s="44" t="s">
        <v>2523</v>
      </c>
    </row>
    <row r="636" hidden="1" customHeight="1" spans="1:15">
      <c r="A636" s="44" t="s">
        <v>637</v>
      </c>
      <c r="B636" s="86">
        <v>45199</v>
      </c>
      <c r="C636" s="44" t="s">
        <v>700</v>
      </c>
      <c r="D636" s="44" t="s">
        <v>2134</v>
      </c>
      <c r="E636" s="44" t="s">
        <v>640</v>
      </c>
      <c r="F636" s="44" t="s">
        <v>641</v>
      </c>
      <c r="G636" s="44" t="s">
        <v>1899</v>
      </c>
      <c r="H636" s="44" t="s">
        <v>697</v>
      </c>
      <c r="I636" s="44" t="s">
        <v>442</v>
      </c>
      <c r="J636" s="44" t="s">
        <v>656</v>
      </c>
      <c r="K636" s="44" t="s">
        <v>14</v>
      </c>
      <c r="L636" s="48">
        <v>2953.02</v>
      </c>
      <c r="M636" s="48">
        <v>2785.87</v>
      </c>
      <c r="N636" s="48">
        <v>167.15</v>
      </c>
      <c r="O636" s="44" t="s">
        <v>2524</v>
      </c>
    </row>
    <row r="637" hidden="1" customHeight="1" spans="1:15">
      <c r="A637" s="44" t="s">
        <v>637</v>
      </c>
      <c r="B637" s="86">
        <v>45199</v>
      </c>
      <c r="C637" s="44" t="s">
        <v>646</v>
      </c>
      <c r="D637" s="44" t="s">
        <v>1284</v>
      </c>
      <c r="E637" s="44" t="s">
        <v>1898</v>
      </c>
      <c r="F637" s="44" t="s">
        <v>641</v>
      </c>
      <c r="G637" s="44" t="s">
        <v>1899</v>
      </c>
      <c r="H637" s="44" t="s">
        <v>650</v>
      </c>
      <c r="I637" s="44" t="s">
        <v>779</v>
      </c>
      <c r="J637" s="44" t="s">
        <v>644</v>
      </c>
      <c r="K637" s="44" t="s">
        <v>14</v>
      </c>
      <c r="L637" s="48">
        <v>20000</v>
      </c>
      <c r="M637" s="48">
        <v>18867.92</v>
      </c>
      <c r="N637" s="48">
        <v>1132.08</v>
      </c>
      <c r="O637" s="44" t="s">
        <v>2525</v>
      </c>
    </row>
    <row r="638" hidden="1" customHeight="1" spans="1:15">
      <c r="A638" s="44" t="s">
        <v>637</v>
      </c>
      <c r="B638" s="86">
        <v>45199</v>
      </c>
      <c r="C638" s="44" t="s">
        <v>646</v>
      </c>
      <c r="D638" s="44" t="s">
        <v>726</v>
      </c>
      <c r="E638" s="44" t="s">
        <v>1898</v>
      </c>
      <c r="F638" s="44" t="s">
        <v>641</v>
      </c>
      <c r="G638" s="44" t="s">
        <v>1899</v>
      </c>
      <c r="H638" s="44" t="s">
        <v>643</v>
      </c>
      <c r="I638" s="44" t="s">
        <v>466</v>
      </c>
      <c r="J638" s="44" t="s">
        <v>656</v>
      </c>
      <c r="K638" s="44" t="s">
        <v>14</v>
      </c>
      <c r="L638" s="48">
        <v>295892.3</v>
      </c>
      <c r="M638" s="48">
        <v>279143.68</v>
      </c>
      <c r="N638" s="48">
        <v>16748.62</v>
      </c>
      <c r="O638" s="44" t="s">
        <v>2526</v>
      </c>
    </row>
    <row r="639" hidden="1" customHeight="1" spans="1:15">
      <c r="A639" s="44" t="s">
        <v>637</v>
      </c>
      <c r="B639" s="86">
        <v>45199</v>
      </c>
      <c r="C639" s="44" t="s">
        <v>646</v>
      </c>
      <c r="D639" s="44" t="s">
        <v>726</v>
      </c>
      <c r="E639" s="44" t="s">
        <v>1898</v>
      </c>
      <c r="F639" s="44" t="s">
        <v>641</v>
      </c>
      <c r="G639" s="44" t="s">
        <v>1899</v>
      </c>
      <c r="H639" s="44" t="s">
        <v>650</v>
      </c>
      <c r="I639" s="44" t="s">
        <v>779</v>
      </c>
      <c r="J639" s="44" t="s">
        <v>644</v>
      </c>
      <c r="K639" s="44" t="s">
        <v>14</v>
      </c>
      <c r="L639" s="48">
        <v>117000</v>
      </c>
      <c r="M639" s="48">
        <v>110377.36</v>
      </c>
      <c r="N639" s="48">
        <v>6622.64</v>
      </c>
      <c r="O639" s="44" t="s">
        <v>2527</v>
      </c>
    </row>
    <row r="640" hidden="1" customHeight="1" spans="1:15">
      <c r="A640" s="44" t="s">
        <v>637</v>
      </c>
      <c r="B640" s="86">
        <v>45199</v>
      </c>
      <c r="C640" s="44" t="s">
        <v>646</v>
      </c>
      <c r="D640" s="44" t="s">
        <v>1284</v>
      </c>
      <c r="E640" s="44" t="s">
        <v>1898</v>
      </c>
      <c r="F640" s="44" t="s">
        <v>641</v>
      </c>
      <c r="G640" s="44" t="s">
        <v>1899</v>
      </c>
      <c r="H640" s="44" t="s">
        <v>643</v>
      </c>
      <c r="I640" s="44" t="s">
        <v>466</v>
      </c>
      <c r="J640" s="44" t="s">
        <v>656</v>
      </c>
      <c r="K640" s="44" t="s">
        <v>14</v>
      </c>
      <c r="L640" s="48">
        <v>25659.93</v>
      </c>
      <c r="M640" s="48">
        <v>24207.48</v>
      </c>
      <c r="N640" s="48">
        <v>1452.45</v>
      </c>
      <c r="O640" s="44" t="s">
        <v>2528</v>
      </c>
    </row>
    <row r="641" hidden="1" customHeight="1" spans="1:15">
      <c r="A641" s="44" t="s">
        <v>637</v>
      </c>
      <c r="B641" s="86">
        <v>45199</v>
      </c>
      <c r="C641" s="44" t="s">
        <v>700</v>
      </c>
      <c r="D641" s="44" t="s">
        <v>1902</v>
      </c>
      <c r="E641" s="44" t="s">
        <v>640</v>
      </c>
      <c r="F641" s="44" t="s">
        <v>641</v>
      </c>
      <c r="G641" s="37" t="s">
        <v>1901</v>
      </c>
      <c r="H641" s="44" t="s">
        <v>650</v>
      </c>
      <c r="I641" s="44" t="s">
        <v>442</v>
      </c>
      <c r="J641" s="44" t="s">
        <v>656</v>
      </c>
      <c r="K641" s="44" t="s">
        <v>14</v>
      </c>
      <c r="L641" s="48">
        <v>7140.29</v>
      </c>
      <c r="M641" s="48">
        <v>6736.12</v>
      </c>
      <c r="N641" s="48">
        <v>404.17</v>
      </c>
      <c r="O641" s="44" t="s">
        <v>2529</v>
      </c>
    </row>
    <row r="642" hidden="1" customHeight="1" spans="1:15">
      <c r="A642" s="44" t="s">
        <v>637</v>
      </c>
      <c r="B642" s="86">
        <v>45199</v>
      </c>
      <c r="C642" s="44" t="s">
        <v>646</v>
      </c>
      <c r="D642" s="44" t="s">
        <v>1902</v>
      </c>
      <c r="E642" s="44" t="s">
        <v>1898</v>
      </c>
      <c r="F642" s="44" t="s">
        <v>641</v>
      </c>
      <c r="G642" s="44" t="s">
        <v>1899</v>
      </c>
      <c r="H642" s="44" t="s">
        <v>650</v>
      </c>
      <c r="I642" s="44" t="s">
        <v>779</v>
      </c>
      <c r="J642" s="44" t="s">
        <v>644</v>
      </c>
      <c r="K642" s="44" t="s">
        <v>14</v>
      </c>
      <c r="L642" s="48">
        <v>20000</v>
      </c>
      <c r="M642" s="48">
        <v>18867.92</v>
      </c>
      <c r="N642" s="48">
        <v>1132.08</v>
      </c>
      <c r="O642" s="44" t="s">
        <v>2530</v>
      </c>
    </row>
    <row r="643" hidden="1" customHeight="1" spans="1:15">
      <c r="A643" s="44" t="s">
        <v>637</v>
      </c>
      <c r="B643" s="86">
        <v>45199</v>
      </c>
      <c r="C643" s="44" t="s">
        <v>700</v>
      </c>
      <c r="D643" s="44" t="s">
        <v>1902</v>
      </c>
      <c r="E643" s="44" t="s">
        <v>1898</v>
      </c>
      <c r="F643" s="44" t="s">
        <v>641</v>
      </c>
      <c r="G643" s="44" t="s">
        <v>1899</v>
      </c>
      <c r="H643" s="44" t="s">
        <v>643</v>
      </c>
      <c r="I643" s="44" t="s">
        <v>442</v>
      </c>
      <c r="J643" s="44" t="s">
        <v>656</v>
      </c>
      <c r="K643" s="44" t="s">
        <v>14</v>
      </c>
      <c r="L643" s="48">
        <v>58070.84</v>
      </c>
      <c r="M643" s="48">
        <v>54783.81</v>
      </c>
      <c r="N643" s="48">
        <v>3287.03</v>
      </c>
      <c r="O643" s="44" t="s">
        <v>2531</v>
      </c>
    </row>
    <row r="644" hidden="1" customHeight="1" spans="1:15">
      <c r="A644" s="44" t="s">
        <v>637</v>
      </c>
      <c r="B644" s="86">
        <v>45199</v>
      </c>
      <c r="C644" s="44" t="s">
        <v>1273</v>
      </c>
      <c r="D644" s="44" t="s">
        <v>653</v>
      </c>
      <c r="E644" s="44" t="s">
        <v>640</v>
      </c>
      <c r="F644" s="44" t="s">
        <v>641</v>
      </c>
      <c r="G644" s="44" t="s">
        <v>1899</v>
      </c>
      <c r="H644" s="44" t="s">
        <v>650</v>
      </c>
      <c r="I644" s="44" t="s">
        <v>737</v>
      </c>
      <c r="J644" s="44" t="s">
        <v>656</v>
      </c>
      <c r="K644" s="44" t="s">
        <v>166</v>
      </c>
      <c r="L644" s="48">
        <v>-36667.97</v>
      </c>
      <c r="M644" s="48">
        <v>-34592.42</v>
      </c>
      <c r="N644" s="48">
        <v>-2075.55</v>
      </c>
      <c r="O644" s="44" t="s">
        <v>2532</v>
      </c>
    </row>
    <row r="645" hidden="1" customHeight="1" spans="1:15">
      <c r="A645" s="44" t="s">
        <v>637</v>
      </c>
      <c r="B645" s="86">
        <v>45199</v>
      </c>
      <c r="C645" s="44" t="s">
        <v>1273</v>
      </c>
      <c r="D645" s="44" t="s">
        <v>653</v>
      </c>
      <c r="E645" s="44" t="s">
        <v>640</v>
      </c>
      <c r="F645" s="44" t="s">
        <v>641</v>
      </c>
      <c r="G645" s="44" t="s">
        <v>1899</v>
      </c>
      <c r="H645" s="44" t="s">
        <v>650</v>
      </c>
      <c r="I645" s="44" t="s">
        <v>1944</v>
      </c>
      <c r="J645" s="44" t="s">
        <v>656</v>
      </c>
      <c r="K645" s="44" t="s">
        <v>166</v>
      </c>
      <c r="L645" s="48">
        <v>-1050.45</v>
      </c>
      <c r="M645" s="48">
        <v>-990.99</v>
      </c>
      <c r="N645" s="48">
        <v>-59.46</v>
      </c>
      <c r="O645" s="44" t="s">
        <v>2533</v>
      </c>
    </row>
    <row r="646" hidden="1" customHeight="1" spans="1:15">
      <c r="A646" s="44" t="s">
        <v>637</v>
      </c>
      <c r="B646" s="86">
        <v>45199</v>
      </c>
      <c r="C646" s="44" t="s">
        <v>2433</v>
      </c>
      <c r="D646" s="44" t="s">
        <v>1296</v>
      </c>
      <c r="E646" s="44" t="s">
        <v>640</v>
      </c>
      <c r="F646" s="44" t="s">
        <v>641</v>
      </c>
      <c r="G646" s="44" t="s">
        <v>1899</v>
      </c>
      <c r="H646" s="44" t="s">
        <v>643</v>
      </c>
      <c r="I646" s="44" t="s">
        <v>444</v>
      </c>
      <c r="J646" s="44" t="s">
        <v>644</v>
      </c>
      <c r="K646" s="44" t="s">
        <v>14</v>
      </c>
      <c r="L646" s="48">
        <v>83538.14</v>
      </c>
      <c r="M646" s="48">
        <v>78809.57</v>
      </c>
      <c r="N646" s="48">
        <v>4728.57</v>
      </c>
      <c r="O646" s="44" t="s">
        <v>2534</v>
      </c>
    </row>
    <row r="647" hidden="1" customHeight="1" spans="1:15">
      <c r="A647" s="44" t="s">
        <v>637</v>
      </c>
      <c r="B647" s="86">
        <v>45199</v>
      </c>
      <c r="C647" s="44" t="s">
        <v>992</v>
      </c>
      <c r="D647" s="44" t="s">
        <v>1296</v>
      </c>
      <c r="E647" s="44" t="s">
        <v>640</v>
      </c>
      <c r="F647" s="44" t="s">
        <v>641</v>
      </c>
      <c r="G647" s="44" t="s">
        <v>1899</v>
      </c>
      <c r="H647" s="44" t="s">
        <v>650</v>
      </c>
      <c r="I647" s="44" t="s">
        <v>2039</v>
      </c>
      <c r="J647" s="44" t="s">
        <v>644</v>
      </c>
      <c r="K647" s="44" t="s">
        <v>20</v>
      </c>
      <c r="L647" s="48">
        <v>65893.56</v>
      </c>
      <c r="M647" s="48">
        <v>62163.74</v>
      </c>
      <c r="N647" s="48">
        <v>3729.82</v>
      </c>
      <c r="O647" s="44" t="s">
        <v>2535</v>
      </c>
    </row>
    <row r="648" hidden="1" customHeight="1" spans="1:15">
      <c r="A648" s="44" t="s">
        <v>637</v>
      </c>
      <c r="B648" s="86">
        <v>45199</v>
      </c>
      <c r="C648" s="44" t="s">
        <v>2478</v>
      </c>
      <c r="D648" s="44" t="s">
        <v>1296</v>
      </c>
      <c r="E648" s="44" t="s">
        <v>640</v>
      </c>
      <c r="F648" s="44" t="s">
        <v>641</v>
      </c>
      <c r="G648" s="44" t="s">
        <v>1899</v>
      </c>
      <c r="H648" s="44" t="s">
        <v>650</v>
      </c>
      <c r="I648" s="44" t="s">
        <v>2050</v>
      </c>
      <c r="J648" s="44" t="s">
        <v>644</v>
      </c>
      <c r="K648" s="44" t="s">
        <v>20</v>
      </c>
      <c r="L648" s="48">
        <v>21186.18</v>
      </c>
      <c r="M648" s="48">
        <v>19986.96</v>
      </c>
      <c r="N648" s="48">
        <v>1199.22</v>
      </c>
      <c r="O648" s="44" t="s">
        <v>2536</v>
      </c>
    </row>
    <row r="649" hidden="1" customHeight="1" spans="1:15">
      <c r="A649" s="44" t="s">
        <v>637</v>
      </c>
      <c r="B649" s="86">
        <v>45199</v>
      </c>
      <c r="C649" s="44" t="s">
        <v>1273</v>
      </c>
      <c r="D649" s="44" t="s">
        <v>653</v>
      </c>
      <c r="E649" s="44" t="s">
        <v>640</v>
      </c>
      <c r="F649" s="44" t="s">
        <v>641</v>
      </c>
      <c r="G649" s="44" t="s">
        <v>1899</v>
      </c>
      <c r="H649" s="44" t="s">
        <v>650</v>
      </c>
      <c r="I649" s="44" t="s">
        <v>1944</v>
      </c>
      <c r="J649" s="44" t="s">
        <v>656</v>
      </c>
      <c r="K649" s="44" t="s">
        <v>166</v>
      </c>
      <c r="L649" s="48">
        <v>49.19</v>
      </c>
      <c r="M649" s="48">
        <v>46.41</v>
      </c>
      <c r="N649" s="48">
        <v>2.78</v>
      </c>
      <c r="O649" s="44" t="s">
        <v>2537</v>
      </c>
    </row>
    <row r="650" hidden="1" customHeight="1" spans="1:15">
      <c r="A650" s="44" t="s">
        <v>637</v>
      </c>
      <c r="B650" s="86">
        <v>45199</v>
      </c>
      <c r="C650" s="44" t="s">
        <v>2478</v>
      </c>
      <c r="D650" s="44" t="s">
        <v>1296</v>
      </c>
      <c r="E650" s="44" t="s">
        <v>640</v>
      </c>
      <c r="F650" s="44" t="s">
        <v>641</v>
      </c>
      <c r="G650" s="44" t="s">
        <v>1899</v>
      </c>
      <c r="H650" s="44" t="s">
        <v>650</v>
      </c>
      <c r="I650" s="44" t="s">
        <v>2037</v>
      </c>
      <c r="J650" s="44" t="s">
        <v>644</v>
      </c>
      <c r="K650" s="44" t="s">
        <v>20</v>
      </c>
      <c r="L650" s="48">
        <v>181431.29</v>
      </c>
      <c r="M650" s="48">
        <v>171161.59</v>
      </c>
      <c r="N650" s="48">
        <v>10269.7</v>
      </c>
      <c r="O650" s="44" t="s">
        <v>2538</v>
      </c>
    </row>
    <row r="651" hidden="1" customHeight="1" spans="1:15">
      <c r="A651" s="44" t="s">
        <v>637</v>
      </c>
      <c r="B651" s="86">
        <v>45199</v>
      </c>
      <c r="C651" s="44" t="s">
        <v>1273</v>
      </c>
      <c r="D651" s="44" t="s">
        <v>2483</v>
      </c>
      <c r="E651" s="44" t="s">
        <v>640</v>
      </c>
      <c r="F651" s="44" t="s">
        <v>641</v>
      </c>
      <c r="G651" s="44" t="s">
        <v>1899</v>
      </c>
      <c r="H651" s="44" t="s">
        <v>650</v>
      </c>
      <c r="I651" s="44" t="s">
        <v>1957</v>
      </c>
      <c r="J651" s="44" t="s">
        <v>656</v>
      </c>
      <c r="K651" s="44" t="s">
        <v>166</v>
      </c>
      <c r="L651" s="48">
        <v>3305.04</v>
      </c>
      <c r="M651" s="48">
        <v>3117.96</v>
      </c>
      <c r="N651" s="48">
        <v>187.08</v>
      </c>
      <c r="O651" s="44" t="s">
        <v>2539</v>
      </c>
    </row>
    <row r="652" hidden="1" customHeight="1" spans="1:15">
      <c r="A652" s="44" t="s">
        <v>637</v>
      </c>
      <c r="B652" s="86">
        <v>45199</v>
      </c>
      <c r="C652" s="44" t="s">
        <v>1273</v>
      </c>
      <c r="D652" s="44" t="s">
        <v>2483</v>
      </c>
      <c r="E652" s="44" t="s">
        <v>640</v>
      </c>
      <c r="F652" s="44" t="s">
        <v>641</v>
      </c>
      <c r="G652" s="44" t="s">
        <v>1899</v>
      </c>
      <c r="H652" s="44" t="s">
        <v>650</v>
      </c>
      <c r="I652" s="44" t="s">
        <v>1946</v>
      </c>
      <c r="J652" s="44" t="s">
        <v>656</v>
      </c>
      <c r="K652" s="44" t="s">
        <v>166</v>
      </c>
      <c r="L652" s="48">
        <v>78504.4</v>
      </c>
      <c r="M652" s="48">
        <v>74060.75</v>
      </c>
      <c r="N652" s="48">
        <v>4443.65</v>
      </c>
      <c r="O652" s="44" t="s">
        <v>2540</v>
      </c>
    </row>
    <row r="653" hidden="1" customHeight="1" spans="1:15">
      <c r="A653" s="44" t="s">
        <v>637</v>
      </c>
      <c r="B653" s="86">
        <v>45199</v>
      </c>
      <c r="C653" s="44" t="s">
        <v>1273</v>
      </c>
      <c r="D653" s="44" t="s">
        <v>2483</v>
      </c>
      <c r="E653" s="44" t="s">
        <v>640</v>
      </c>
      <c r="F653" s="44" t="s">
        <v>641</v>
      </c>
      <c r="G653" s="37" t="s">
        <v>1901</v>
      </c>
      <c r="H653" s="44" t="s">
        <v>650</v>
      </c>
      <c r="I653" s="44" t="s">
        <v>1946</v>
      </c>
      <c r="J653" s="44" t="s">
        <v>656</v>
      </c>
      <c r="K653" s="44" t="s">
        <v>166</v>
      </c>
      <c r="L653" s="48">
        <v>34275.27</v>
      </c>
      <c r="M653" s="48">
        <v>32335.16</v>
      </c>
      <c r="N653" s="48">
        <v>1940.11</v>
      </c>
      <c r="O653" s="44" t="s">
        <v>2541</v>
      </c>
    </row>
    <row r="654" hidden="1" customHeight="1" spans="1:15">
      <c r="A654" s="44" t="s">
        <v>637</v>
      </c>
      <c r="B654" s="86">
        <v>45199</v>
      </c>
      <c r="C654" s="44" t="s">
        <v>1273</v>
      </c>
      <c r="D654" s="44" t="s">
        <v>2483</v>
      </c>
      <c r="E654" s="44" t="s">
        <v>640</v>
      </c>
      <c r="F654" s="44" t="s">
        <v>641</v>
      </c>
      <c r="G654" s="44" t="s">
        <v>1899</v>
      </c>
      <c r="H654" s="44" t="s">
        <v>650</v>
      </c>
      <c r="I654" s="44" t="s">
        <v>1944</v>
      </c>
      <c r="J654" s="44" t="s">
        <v>656</v>
      </c>
      <c r="K654" s="44" t="s">
        <v>166</v>
      </c>
      <c r="L654" s="48">
        <v>42608.9</v>
      </c>
      <c r="M654" s="48">
        <v>40197.08</v>
      </c>
      <c r="N654" s="48">
        <v>2411.82</v>
      </c>
      <c r="O654" s="44" t="s">
        <v>2542</v>
      </c>
    </row>
    <row r="655" hidden="1" customHeight="1" spans="1:15">
      <c r="A655" s="44" t="s">
        <v>637</v>
      </c>
      <c r="B655" s="86">
        <v>45199</v>
      </c>
      <c r="C655" s="44" t="s">
        <v>1273</v>
      </c>
      <c r="D655" s="44" t="s">
        <v>2483</v>
      </c>
      <c r="E655" s="44" t="s">
        <v>640</v>
      </c>
      <c r="F655" s="44" t="s">
        <v>641</v>
      </c>
      <c r="G655" s="44" t="s">
        <v>1899</v>
      </c>
      <c r="H655" s="44" t="s">
        <v>650</v>
      </c>
      <c r="I655" s="44" t="s">
        <v>737</v>
      </c>
      <c r="J655" s="44" t="s">
        <v>656</v>
      </c>
      <c r="K655" s="44" t="s">
        <v>166</v>
      </c>
      <c r="L655" s="48">
        <v>451871.24</v>
      </c>
      <c r="M655" s="48">
        <v>426293.62</v>
      </c>
      <c r="N655" s="48">
        <v>25577.62</v>
      </c>
      <c r="O655" s="44" t="s">
        <v>2543</v>
      </c>
    </row>
    <row r="656" hidden="1" customHeight="1" spans="1:15">
      <c r="A656" s="44" t="s">
        <v>637</v>
      </c>
      <c r="B656" s="86">
        <v>45199</v>
      </c>
      <c r="C656" s="44" t="s">
        <v>1273</v>
      </c>
      <c r="D656" s="44" t="s">
        <v>2483</v>
      </c>
      <c r="E656" s="44" t="s">
        <v>640</v>
      </c>
      <c r="F656" s="44" t="s">
        <v>641</v>
      </c>
      <c r="G656" s="37" t="s">
        <v>1901</v>
      </c>
      <c r="H656" s="44" t="s">
        <v>650</v>
      </c>
      <c r="I656" s="44" t="s">
        <v>748</v>
      </c>
      <c r="J656" s="44" t="s">
        <v>656</v>
      </c>
      <c r="K656" s="44" t="s">
        <v>166</v>
      </c>
      <c r="L656" s="48">
        <v>178799.58</v>
      </c>
      <c r="M656" s="48">
        <v>168678.85</v>
      </c>
      <c r="N656" s="48">
        <v>10120.73</v>
      </c>
      <c r="O656" s="44" t="s">
        <v>2544</v>
      </c>
    </row>
    <row r="657" hidden="1" customHeight="1" spans="1:15">
      <c r="A657" s="44" t="s">
        <v>637</v>
      </c>
      <c r="B657" s="86">
        <v>45199</v>
      </c>
      <c r="C657" s="44" t="s">
        <v>1273</v>
      </c>
      <c r="D657" s="44" t="s">
        <v>2483</v>
      </c>
      <c r="E657" s="44" t="s">
        <v>640</v>
      </c>
      <c r="F657" s="44" t="s">
        <v>641</v>
      </c>
      <c r="G657" s="44" t="s">
        <v>1899</v>
      </c>
      <c r="H657" s="44" t="s">
        <v>650</v>
      </c>
      <c r="I657" s="44" t="s">
        <v>1946</v>
      </c>
      <c r="J657" s="44" t="s">
        <v>656</v>
      </c>
      <c r="K657" s="44" t="s">
        <v>166</v>
      </c>
      <c r="L657" s="48">
        <v>-368.4</v>
      </c>
      <c r="M657" s="48">
        <v>-347.55</v>
      </c>
      <c r="N657" s="48">
        <v>-20.85</v>
      </c>
      <c r="O657" s="44" t="s">
        <v>2545</v>
      </c>
    </row>
    <row r="658" hidden="1" customHeight="1" spans="1:15">
      <c r="A658" s="44" t="s">
        <v>637</v>
      </c>
      <c r="B658" s="86">
        <v>45199</v>
      </c>
      <c r="C658" s="44" t="s">
        <v>646</v>
      </c>
      <c r="D658" s="44" t="s">
        <v>726</v>
      </c>
      <c r="E658" s="44" t="s">
        <v>640</v>
      </c>
      <c r="F658" s="44" t="s">
        <v>641</v>
      </c>
      <c r="G658" s="44" t="s">
        <v>1899</v>
      </c>
      <c r="H658" s="44" t="s">
        <v>643</v>
      </c>
      <c r="I658" s="44" t="s">
        <v>1987</v>
      </c>
      <c r="J658" s="44" t="s">
        <v>656</v>
      </c>
      <c r="K658" s="44" t="s">
        <v>14</v>
      </c>
      <c r="L658" s="48">
        <v>55071.34</v>
      </c>
      <c r="M658" s="48">
        <v>51954.09</v>
      </c>
      <c r="N658" s="48">
        <v>3117.25</v>
      </c>
      <c r="O658" s="44" t="s">
        <v>2546</v>
      </c>
    </row>
    <row r="659" hidden="1" customHeight="1" spans="1:15">
      <c r="A659" s="44" t="s">
        <v>637</v>
      </c>
      <c r="B659" s="86">
        <v>45199</v>
      </c>
      <c r="C659" s="44" t="s">
        <v>646</v>
      </c>
      <c r="D659" s="44" t="s">
        <v>726</v>
      </c>
      <c r="E659" s="44" t="s">
        <v>640</v>
      </c>
      <c r="F659" s="44" t="s">
        <v>641</v>
      </c>
      <c r="G659" s="44" t="s">
        <v>1899</v>
      </c>
      <c r="H659" s="44" t="s">
        <v>643</v>
      </c>
      <c r="I659" s="44" t="s">
        <v>1987</v>
      </c>
      <c r="J659" s="44" t="s">
        <v>644</v>
      </c>
      <c r="K659" s="44" t="s">
        <v>14</v>
      </c>
      <c r="L659" s="48">
        <v>-42264.84</v>
      </c>
      <c r="M659" s="48">
        <v>-39872.49</v>
      </c>
      <c r="N659" s="48">
        <v>-2392.35</v>
      </c>
      <c r="O659" s="44" t="s">
        <v>2547</v>
      </c>
    </row>
    <row r="660" hidden="1" customHeight="1" spans="1:15">
      <c r="A660" s="44" t="s">
        <v>637</v>
      </c>
      <c r="B660" s="86">
        <v>45199</v>
      </c>
      <c r="C660" s="44" t="s">
        <v>811</v>
      </c>
      <c r="D660" s="44" t="s">
        <v>653</v>
      </c>
      <c r="E660" s="44" t="s">
        <v>640</v>
      </c>
      <c r="F660" s="44" t="s">
        <v>641</v>
      </c>
      <c r="G660" s="37" t="s">
        <v>1901</v>
      </c>
      <c r="H660" s="44" t="s">
        <v>650</v>
      </c>
      <c r="I660" s="44" t="s">
        <v>433</v>
      </c>
      <c r="J660" s="44" t="s">
        <v>656</v>
      </c>
      <c r="K660" s="44" t="s">
        <v>166</v>
      </c>
      <c r="L660" s="48">
        <v>37400</v>
      </c>
      <c r="M660" s="48">
        <v>35283.02</v>
      </c>
      <c r="N660" s="48">
        <v>2116.98</v>
      </c>
      <c r="O660" s="44" t="s">
        <v>2548</v>
      </c>
    </row>
    <row r="661" hidden="1" customHeight="1" spans="1:15">
      <c r="A661" s="44" t="s">
        <v>637</v>
      </c>
      <c r="B661" s="86">
        <v>45199</v>
      </c>
      <c r="C661" s="44" t="s">
        <v>811</v>
      </c>
      <c r="D661" s="44" t="s">
        <v>653</v>
      </c>
      <c r="E661" s="44" t="s">
        <v>640</v>
      </c>
      <c r="F661" s="44" t="s">
        <v>641</v>
      </c>
      <c r="G661" s="44" t="s">
        <v>1899</v>
      </c>
      <c r="H661" s="44" t="s">
        <v>650</v>
      </c>
      <c r="I661" s="44" t="s">
        <v>433</v>
      </c>
      <c r="J661" s="44" t="s">
        <v>656</v>
      </c>
      <c r="K661" s="44" t="s">
        <v>166</v>
      </c>
      <c r="L661" s="48">
        <v>-72119.95</v>
      </c>
      <c r="M661" s="48">
        <v>-68037.69</v>
      </c>
      <c r="N661" s="48">
        <v>-4082.26</v>
      </c>
      <c r="O661" s="44" t="s">
        <v>2549</v>
      </c>
    </row>
    <row r="662" hidden="1" customHeight="1" spans="1:15">
      <c r="A662" s="44" t="s">
        <v>637</v>
      </c>
      <c r="B662" s="86">
        <v>45199</v>
      </c>
      <c r="C662" s="44" t="s">
        <v>811</v>
      </c>
      <c r="D662" s="44" t="s">
        <v>653</v>
      </c>
      <c r="E662" s="44" t="s">
        <v>640</v>
      </c>
      <c r="F662" s="44" t="s">
        <v>641</v>
      </c>
      <c r="G662" s="44" t="s">
        <v>1899</v>
      </c>
      <c r="H662" s="44" t="s">
        <v>643</v>
      </c>
      <c r="I662" s="44" t="s">
        <v>433</v>
      </c>
      <c r="J662" s="44" t="s">
        <v>656</v>
      </c>
      <c r="K662" s="44" t="s">
        <v>166</v>
      </c>
      <c r="L662" s="48">
        <v>-10220.77</v>
      </c>
      <c r="M662" s="48">
        <v>-9642.24</v>
      </c>
      <c r="N662" s="48">
        <v>-578.53</v>
      </c>
      <c r="O662" s="44" t="s">
        <v>2550</v>
      </c>
    </row>
    <row r="663" hidden="1" customHeight="1" spans="1:15">
      <c r="A663" s="44" t="s">
        <v>637</v>
      </c>
      <c r="B663" s="86">
        <v>45199</v>
      </c>
      <c r="C663" s="44" t="s">
        <v>811</v>
      </c>
      <c r="D663" s="44" t="s">
        <v>653</v>
      </c>
      <c r="E663" s="44" t="s">
        <v>640</v>
      </c>
      <c r="F663" s="44" t="s">
        <v>641</v>
      </c>
      <c r="G663" s="37" t="s">
        <v>1901</v>
      </c>
      <c r="H663" s="44" t="s">
        <v>650</v>
      </c>
      <c r="I663" s="44" t="s">
        <v>433</v>
      </c>
      <c r="J663" s="44" t="s">
        <v>656</v>
      </c>
      <c r="K663" s="44" t="s">
        <v>166</v>
      </c>
      <c r="L663" s="48">
        <v>31186.96</v>
      </c>
      <c r="M663" s="48">
        <v>29421.66</v>
      </c>
      <c r="N663" s="48">
        <v>1765.3</v>
      </c>
      <c r="O663" s="44" t="s">
        <v>2551</v>
      </c>
    </row>
    <row r="664" hidden="1" customHeight="1" spans="1:15">
      <c r="A664" s="44" t="s">
        <v>637</v>
      </c>
      <c r="B664" s="86">
        <v>45199</v>
      </c>
      <c r="C664" s="44" t="s">
        <v>811</v>
      </c>
      <c r="D664" s="44" t="s">
        <v>653</v>
      </c>
      <c r="E664" s="44" t="s">
        <v>640</v>
      </c>
      <c r="F664" s="44" t="s">
        <v>641</v>
      </c>
      <c r="G664" s="37" t="s">
        <v>1901</v>
      </c>
      <c r="H664" s="44" t="s">
        <v>643</v>
      </c>
      <c r="I664" s="44" t="s">
        <v>433</v>
      </c>
      <c r="J664" s="44" t="s">
        <v>656</v>
      </c>
      <c r="K664" s="44" t="s">
        <v>166</v>
      </c>
      <c r="L664" s="48">
        <v>15294.49</v>
      </c>
      <c r="M664" s="48">
        <v>14428.76</v>
      </c>
      <c r="N664" s="48">
        <v>865.73</v>
      </c>
      <c r="O664" s="44" t="s">
        <v>2552</v>
      </c>
    </row>
    <row r="665" hidden="1" customHeight="1" spans="1:15">
      <c r="A665" s="44" t="s">
        <v>637</v>
      </c>
      <c r="B665" s="86">
        <v>45199</v>
      </c>
      <c r="C665" s="44" t="s">
        <v>811</v>
      </c>
      <c r="D665" s="44" t="s">
        <v>653</v>
      </c>
      <c r="E665" s="44" t="s">
        <v>640</v>
      </c>
      <c r="F665" s="44" t="s">
        <v>641</v>
      </c>
      <c r="G665" s="44" t="s">
        <v>1899</v>
      </c>
      <c r="H665" s="44" t="s">
        <v>650</v>
      </c>
      <c r="I665" s="44" t="s">
        <v>433</v>
      </c>
      <c r="J665" s="44" t="s">
        <v>656</v>
      </c>
      <c r="K665" s="44" t="s">
        <v>166</v>
      </c>
      <c r="L665" s="48">
        <v>81071.88</v>
      </c>
      <c r="M665" s="48">
        <v>76482.91</v>
      </c>
      <c r="N665" s="48">
        <v>4588.97</v>
      </c>
      <c r="O665" s="44" t="s">
        <v>2553</v>
      </c>
    </row>
    <row r="666" hidden="1" customHeight="1" spans="1:15">
      <c r="A666" s="44" t="s">
        <v>637</v>
      </c>
      <c r="B666" s="86">
        <v>45199</v>
      </c>
      <c r="C666" s="44" t="s">
        <v>748</v>
      </c>
      <c r="D666" s="44" t="s">
        <v>1296</v>
      </c>
      <c r="E666" s="44" t="s">
        <v>640</v>
      </c>
      <c r="F666" s="44" t="s">
        <v>641</v>
      </c>
      <c r="G666" s="44" t="s">
        <v>1899</v>
      </c>
      <c r="H666" s="44" t="s">
        <v>650</v>
      </c>
      <c r="I666" s="44" t="s">
        <v>1913</v>
      </c>
      <c r="J666" s="44" t="s">
        <v>644</v>
      </c>
      <c r="K666" s="44" t="s">
        <v>350</v>
      </c>
      <c r="L666" s="48">
        <v>-37818.7</v>
      </c>
      <c r="M666" s="48">
        <v>-35678.02</v>
      </c>
      <c r="N666" s="48">
        <v>-2140.68</v>
      </c>
      <c r="O666" s="44" t="s">
        <v>2554</v>
      </c>
    </row>
    <row r="667" hidden="1" customHeight="1" spans="1:15">
      <c r="A667" s="44" t="s">
        <v>637</v>
      </c>
      <c r="B667" s="86">
        <v>45199</v>
      </c>
      <c r="C667" s="44" t="s">
        <v>748</v>
      </c>
      <c r="D667" s="44" t="s">
        <v>726</v>
      </c>
      <c r="E667" s="44" t="s">
        <v>640</v>
      </c>
      <c r="F667" s="44" t="s">
        <v>641</v>
      </c>
      <c r="G667" s="44" t="s">
        <v>1899</v>
      </c>
      <c r="H667" s="44" t="s">
        <v>643</v>
      </c>
      <c r="I667" s="44" t="s">
        <v>779</v>
      </c>
      <c r="J667" s="44" t="s">
        <v>656</v>
      </c>
      <c r="K667" s="44" t="s">
        <v>14</v>
      </c>
      <c r="L667" s="48">
        <v>45910</v>
      </c>
      <c r="M667" s="48">
        <v>43311.32</v>
      </c>
      <c r="N667" s="48">
        <v>2598.68</v>
      </c>
      <c r="O667" s="44" t="s">
        <v>2555</v>
      </c>
    </row>
    <row r="668" hidden="1" customHeight="1" spans="1:15">
      <c r="A668" s="44" t="s">
        <v>637</v>
      </c>
      <c r="B668" s="86">
        <v>45199</v>
      </c>
      <c r="C668" s="44" t="s">
        <v>748</v>
      </c>
      <c r="D668" s="44" t="s">
        <v>653</v>
      </c>
      <c r="E668" s="44" t="s">
        <v>640</v>
      </c>
      <c r="F668" s="44" t="s">
        <v>641</v>
      </c>
      <c r="G668" s="44" t="s">
        <v>1899</v>
      </c>
      <c r="H668" s="44" t="s">
        <v>650</v>
      </c>
      <c r="I668" s="44" t="s">
        <v>2005</v>
      </c>
      <c r="J668" s="44" t="s">
        <v>656</v>
      </c>
      <c r="K668" s="44" t="s">
        <v>14</v>
      </c>
      <c r="L668" s="48">
        <v>-32784.98</v>
      </c>
      <c r="M668" s="48">
        <v>-30929.23</v>
      </c>
      <c r="N668" s="48">
        <v>-1855.75</v>
      </c>
      <c r="O668" s="44" t="s">
        <v>2556</v>
      </c>
    </row>
    <row r="669" hidden="1" customHeight="1" spans="1:15">
      <c r="A669" s="44" t="s">
        <v>637</v>
      </c>
      <c r="B669" s="86">
        <v>45199</v>
      </c>
      <c r="C669" s="44" t="s">
        <v>748</v>
      </c>
      <c r="D669" s="44" t="s">
        <v>2483</v>
      </c>
      <c r="E669" s="44" t="s">
        <v>640</v>
      </c>
      <c r="F669" s="44" t="s">
        <v>641</v>
      </c>
      <c r="G669" s="44" t="s">
        <v>1899</v>
      </c>
      <c r="H669" s="44" t="s">
        <v>650</v>
      </c>
      <c r="I669" s="44" t="s">
        <v>1273</v>
      </c>
      <c r="J669" s="44" t="s">
        <v>656</v>
      </c>
      <c r="K669" s="44" t="s">
        <v>166</v>
      </c>
      <c r="L669" s="48">
        <v>178799.58</v>
      </c>
      <c r="M669" s="48">
        <v>168678.85</v>
      </c>
      <c r="N669" s="48">
        <v>10120.73</v>
      </c>
      <c r="O669" s="44" t="s">
        <v>2557</v>
      </c>
    </row>
    <row r="670" hidden="1" customHeight="1" spans="1:15">
      <c r="A670" s="44" t="s">
        <v>637</v>
      </c>
      <c r="B670" s="86">
        <v>45199</v>
      </c>
      <c r="C670" s="44" t="s">
        <v>748</v>
      </c>
      <c r="D670" s="44" t="s">
        <v>2483</v>
      </c>
      <c r="E670" s="44" t="s">
        <v>640</v>
      </c>
      <c r="F670" s="44" t="s">
        <v>641</v>
      </c>
      <c r="G670" s="37" t="s">
        <v>1901</v>
      </c>
      <c r="H670" s="44" t="s">
        <v>650</v>
      </c>
      <c r="I670" s="44" t="s">
        <v>463</v>
      </c>
      <c r="J670" s="44" t="s">
        <v>656</v>
      </c>
      <c r="K670" s="44" t="s">
        <v>166</v>
      </c>
      <c r="L670" s="48">
        <v>178799.58</v>
      </c>
      <c r="M670" s="48">
        <v>168678.85</v>
      </c>
      <c r="N670" s="48">
        <v>10120.73</v>
      </c>
      <c r="O670" s="44" t="s">
        <v>2558</v>
      </c>
    </row>
    <row r="671" hidden="1" customHeight="1" spans="1:15">
      <c r="A671" s="44" t="s">
        <v>637</v>
      </c>
      <c r="B671" s="86">
        <v>45199</v>
      </c>
      <c r="C671" s="44" t="s">
        <v>748</v>
      </c>
      <c r="D671" s="44" t="s">
        <v>1902</v>
      </c>
      <c r="E671" s="44" t="s">
        <v>640</v>
      </c>
      <c r="F671" s="44" t="s">
        <v>641</v>
      </c>
      <c r="G671" s="37" t="s">
        <v>1901</v>
      </c>
      <c r="H671" s="44" t="s">
        <v>643</v>
      </c>
      <c r="I671" s="44" t="s">
        <v>444</v>
      </c>
      <c r="J671" s="44" t="s">
        <v>656</v>
      </c>
      <c r="K671" s="44" t="s">
        <v>14</v>
      </c>
      <c r="L671" s="48">
        <v>1085.78</v>
      </c>
      <c r="M671" s="48">
        <v>1024.32</v>
      </c>
      <c r="N671" s="48">
        <v>61.46</v>
      </c>
      <c r="O671" s="44" t="s">
        <v>2559</v>
      </c>
    </row>
    <row r="672" hidden="1" customHeight="1" spans="1:15">
      <c r="A672" s="44" t="s">
        <v>637</v>
      </c>
      <c r="B672" s="86">
        <v>45199</v>
      </c>
      <c r="C672" s="44" t="s">
        <v>748</v>
      </c>
      <c r="D672" s="44" t="s">
        <v>726</v>
      </c>
      <c r="E672" s="44" t="s">
        <v>640</v>
      </c>
      <c r="F672" s="44" t="s">
        <v>641</v>
      </c>
      <c r="G672" s="37" t="s">
        <v>1901</v>
      </c>
      <c r="H672" s="44" t="s">
        <v>643</v>
      </c>
      <c r="I672" s="44" t="s">
        <v>444</v>
      </c>
      <c r="J672" s="44" t="s">
        <v>656</v>
      </c>
      <c r="K672" s="44" t="s">
        <v>14</v>
      </c>
      <c r="L672" s="48">
        <v>13117.23</v>
      </c>
      <c r="M672" s="48">
        <v>12374.75</v>
      </c>
      <c r="N672" s="48">
        <v>742.48</v>
      </c>
      <c r="O672" s="44" t="s">
        <v>2560</v>
      </c>
    </row>
    <row r="673" hidden="1" customHeight="1" spans="1:15">
      <c r="A673" s="44" t="s">
        <v>637</v>
      </c>
      <c r="B673" s="86">
        <v>45199</v>
      </c>
      <c r="C673" s="44" t="s">
        <v>748</v>
      </c>
      <c r="D673" s="44" t="s">
        <v>726</v>
      </c>
      <c r="E673" s="44" t="s">
        <v>640</v>
      </c>
      <c r="F673" s="44" t="s">
        <v>641</v>
      </c>
      <c r="G673" s="44" t="s">
        <v>1899</v>
      </c>
      <c r="H673" s="44" t="s">
        <v>697</v>
      </c>
      <c r="I673" s="44" t="s">
        <v>444</v>
      </c>
      <c r="J673" s="44" t="s">
        <v>656</v>
      </c>
      <c r="K673" s="44" t="s">
        <v>14</v>
      </c>
      <c r="L673" s="48">
        <v>110775.89</v>
      </c>
      <c r="M673" s="48">
        <v>104505.56</v>
      </c>
      <c r="N673" s="48">
        <v>6270.33</v>
      </c>
      <c r="O673" s="44" t="s">
        <v>2561</v>
      </c>
    </row>
    <row r="674" hidden="1" customHeight="1" spans="1:15">
      <c r="A674" s="44" t="s">
        <v>637</v>
      </c>
      <c r="B674" s="86">
        <v>45199</v>
      </c>
      <c r="C674" s="44" t="s">
        <v>748</v>
      </c>
      <c r="D674" s="44" t="s">
        <v>1902</v>
      </c>
      <c r="E674" s="44" t="s">
        <v>1898</v>
      </c>
      <c r="F674" s="44" t="s">
        <v>641</v>
      </c>
      <c r="G674" s="44" t="s">
        <v>1899</v>
      </c>
      <c r="H674" s="44" t="s">
        <v>643</v>
      </c>
      <c r="I674" s="44" t="s">
        <v>444</v>
      </c>
      <c r="J674" s="44" t="s">
        <v>656</v>
      </c>
      <c r="K674" s="44" t="s">
        <v>14</v>
      </c>
      <c r="L674" s="48">
        <v>6617.47</v>
      </c>
      <c r="M674" s="48">
        <v>6242.9</v>
      </c>
      <c r="N674" s="48">
        <v>374.57</v>
      </c>
      <c r="O674" s="44" t="s">
        <v>2562</v>
      </c>
    </row>
    <row r="675" hidden="1" customHeight="1" spans="1:15">
      <c r="A675" s="44" t="s">
        <v>637</v>
      </c>
      <c r="B675" s="86">
        <v>45199</v>
      </c>
      <c r="C675" s="44" t="s">
        <v>748</v>
      </c>
      <c r="D675" s="44" t="s">
        <v>1284</v>
      </c>
      <c r="E675" s="44" t="s">
        <v>1898</v>
      </c>
      <c r="F675" s="44" t="s">
        <v>641</v>
      </c>
      <c r="G675" s="44" t="s">
        <v>1899</v>
      </c>
      <c r="H675" s="44" t="s">
        <v>643</v>
      </c>
      <c r="I675" s="44" t="s">
        <v>444</v>
      </c>
      <c r="J675" s="44" t="s">
        <v>656</v>
      </c>
      <c r="K675" s="44" t="s">
        <v>14</v>
      </c>
      <c r="L675" s="48">
        <v>1739.95</v>
      </c>
      <c r="M675" s="48">
        <v>1641.46</v>
      </c>
      <c r="N675" s="48">
        <v>98.49</v>
      </c>
      <c r="O675" s="44" t="s">
        <v>2563</v>
      </c>
    </row>
    <row r="676" hidden="1" customHeight="1" spans="1:15">
      <c r="A676" s="44" t="s">
        <v>637</v>
      </c>
      <c r="B676" s="86">
        <v>45199</v>
      </c>
      <c r="C676" s="44" t="s">
        <v>748</v>
      </c>
      <c r="D676" s="44" t="s">
        <v>726</v>
      </c>
      <c r="E676" s="44" t="s">
        <v>1898</v>
      </c>
      <c r="F676" s="44" t="s">
        <v>641</v>
      </c>
      <c r="G676" s="44" t="s">
        <v>1899</v>
      </c>
      <c r="H676" s="44" t="s">
        <v>643</v>
      </c>
      <c r="I676" s="44" t="s">
        <v>444</v>
      </c>
      <c r="J676" s="44" t="s">
        <v>656</v>
      </c>
      <c r="K676" s="44" t="s">
        <v>14</v>
      </c>
      <c r="L676" s="48">
        <v>9666.32</v>
      </c>
      <c r="M676" s="48">
        <v>9119.17</v>
      </c>
      <c r="N676" s="48">
        <v>547.15</v>
      </c>
      <c r="O676" s="44" t="s">
        <v>2564</v>
      </c>
    </row>
    <row r="677" hidden="1" customHeight="1" spans="1:15">
      <c r="A677" s="44" t="s">
        <v>637</v>
      </c>
      <c r="B677" s="86">
        <v>45199</v>
      </c>
      <c r="C677" s="44" t="s">
        <v>1273</v>
      </c>
      <c r="D677" s="44" t="s">
        <v>653</v>
      </c>
      <c r="E677" s="44" t="s">
        <v>640</v>
      </c>
      <c r="F677" s="44" t="s">
        <v>641</v>
      </c>
      <c r="G677" s="44" t="s">
        <v>1899</v>
      </c>
      <c r="H677" s="44" t="s">
        <v>650</v>
      </c>
      <c r="I677" s="44" t="s">
        <v>1946</v>
      </c>
      <c r="J677" s="44" t="s">
        <v>656</v>
      </c>
      <c r="K677" s="44" t="s">
        <v>166</v>
      </c>
      <c r="L677" s="48">
        <v>15820.28</v>
      </c>
      <c r="M677" s="48">
        <v>14924.79</v>
      </c>
      <c r="N677" s="48">
        <v>895.49</v>
      </c>
      <c r="O677" s="44" t="s">
        <v>2565</v>
      </c>
    </row>
    <row r="678" hidden="1" customHeight="1" spans="1:15">
      <c r="A678" s="44" t="s">
        <v>637</v>
      </c>
      <c r="B678" s="86">
        <v>45199</v>
      </c>
      <c r="C678" s="44" t="s">
        <v>1273</v>
      </c>
      <c r="D678" s="44" t="s">
        <v>653</v>
      </c>
      <c r="E678" s="44" t="s">
        <v>640</v>
      </c>
      <c r="F678" s="44" t="s">
        <v>641</v>
      </c>
      <c r="G678" s="37" t="s">
        <v>1901</v>
      </c>
      <c r="H678" s="44" t="s">
        <v>650</v>
      </c>
      <c r="I678" s="44" t="s">
        <v>1946</v>
      </c>
      <c r="J678" s="44" t="s">
        <v>656</v>
      </c>
      <c r="K678" s="44" t="s">
        <v>166</v>
      </c>
      <c r="L678" s="48">
        <v>11737.49</v>
      </c>
      <c r="M678" s="48">
        <v>11073.1</v>
      </c>
      <c r="N678" s="48">
        <v>664.39</v>
      </c>
      <c r="O678" s="44" t="s">
        <v>2566</v>
      </c>
    </row>
    <row r="679" hidden="1" customHeight="1" spans="1:15">
      <c r="A679" s="44" t="s">
        <v>637</v>
      </c>
      <c r="B679" s="86">
        <v>45199</v>
      </c>
      <c r="C679" s="44" t="s">
        <v>646</v>
      </c>
      <c r="D679" s="44" t="s">
        <v>1296</v>
      </c>
      <c r="E679" s="44" t="s">
        <v>640</v>
      </c>
      <c r="F679" s="44" t="s">
        <v>641</v>
      </c>
      <c r="G679" s="44" t="s">
        <v>1899</v>
      </c>
      <c r="H679" s="44" t="s">
        <v>650</v>
      </c>
      <c r="I679" s="44" t="s">
        <v>2007</v>
      </c>
      <c r="J679" s="44" t="s">
        <v>644</v>
      </c>
      <c r="K679" s="44" t="s">
        <v>14</v>
      </c>
      <c r="L679" s="48">
        <v>77400</v>
      </c>
      <c r="M679" s="48">
        <v>73018.87</v>
      </c>
      <c r="N679" s="48">
        <v>4381.13</v>
      </c>
      <c r="O679" s="44" t="s">
        <v>2567</v>
      </c>
    </row>
    <row r="680" hidden="1" customHeight="1" spans="1:15">
      <c r="A680" s="44" t="s">
        <v>637</v>
      </c>
      <c r="B680" s="86">
        <v>45199</v>
      </c>
      <c r="C680" s="44" t="s">
        <v>646</v>
      </c>
      <c r="D680" s="44" t="s">
        <v>2483</v>
      </c>
      <c r="E680" s="44" t="s">
        <v>640</v>
      </c>
      <c r="F680" s="44" t="s">
        <v>641</v>
      </c>
      <c r="G680" s="44" t="s">
        <v>1899</v>
      </c>
      <c r="H680" s="44" t="s">
        <v>650</v>
      </c>
      <c r="I680" s="44" t="s">
        <v>1953</v>
      </c>
      <c r="J680" s="44" t="s">
        <v>656</v>
      </c>
      <c r="K680" s="44" t="s">
        <v>166</v>
      </c>
      <c r="L680" s="48">
        <v>-11.44</v>
      </c>
      <c r="M680" s="48">
        <v>-10.79</v>
      </c>
      <c r="N680" s="48">
        <v>-0.65</v>
      </c>
      <c r="O680" s="44" t="s">
        <v>2568</v>
      </c>
    </row>
    <row r="681" hidden="1" customHeight="1" spans="1:15">
      <c r="A681" s="44" t="s">
        <v>637</v>
      </c>
      <c r="B681" s="86">
        <v>45199</v>
      </c>
      <c r="C681" s="44" t="s">
        <v>811</v>
      </c>
      <c r="D681" s="44" t="s">
        <v>653</v>
      </c>
      <c r="E681" s="44" t="s">
        <v>1898</v>
      </c>
      <c r="F681" s="44" t="s">
        <v>641</v>
      </c>
      <c r="G681" s="44" t="s">
        <v>1899</v>
      </c>
      <c r="H681" s="44" t="s">
        <v>650</v>
      </c>
      <c r="I681" s="44" t="s">
        <v>435</v>
      </c>
      <c r="J681" s="44" t="s">
        <v>656</v>
      </c>
      <c r="K681" s="44" t="s">
        <v>166</v>
      </c>
      <c r="L681" s="48">
        <v>214858.51</v>
      </c>
      <c r="M681" s="48">
        <v>202696.71</v>
      </c>
      <c r="N681" s="48">
        <v>12161.8</v>
      </c>
      <c r="O681" s="44" t="s">
        <v>2569</v>
      </c>
    </row>
    <row r="682" hidden="1" customHeight="1" spans="1:15">
      <c r="A682" s="44" t="s">
        <v>637</v>
      </c>
      <c r="B682" s="86">
        <v>45199</v>
      </c>
      <c r="C682" s="44" t="s">
        <v>811</v>
      </c>
      <c r="D682" s="44" t="s">
        <v>653</v>
      </c>
      <c r="E682" s="44" t="s">
        <v>640</v>
      </c>
      <c r="F682" s="44" t="s">
        <v>641</v>
      </c>
      <c r="G682" s="37" t="s">
        <v>1901</v>
      </c>
      <c r="H682" s="44" t="s">
        <v>643</v>
      </c>
      <c r="I682" s="44" t="s">
        <v>433</v>
      </c>
      <c r="J682" s="44" t="s">
        <v>656</v>
      </c>
      <c r="K682" s="44" t="s">
        <v>166</v>
      </c>
      <c r="L682" s="48">
        <v>25277.61</v>
      </c>
      <c r="M682" s="48">
        <v>23846.8</v>
      </c>
      <c r="N682" s="48">
        <v>1430.81</v>
      </c>
      <c r="O682" s="44" t="s">
        <v>2570</v>
      </c>
    </row>
    <row r="683" hidden="1" customHeight="1" spans="1:15">
      <c r="A683" s="44" t="s">
        <v>637</v>
      </c>
      <c r="B683" s="86">
        <v>45199</v>
      </c>
      <c r="C683" s="44" t="s">
        <v>811</v>
      </c>
      <c r="D683" s="44" t="s">
        <v>653</v>
      </c>
      <c r="E683" s="44" t="s">
        <v>1898</v>
      </c>
      <c r="F683" s="44" t="s">
        <v>641</v>
      </c>
      <c r="G683" s="44" t="s">
        <v>1899</v>
      </c>
      <c r="H683" s="44" t="s">
        <v>650</v>
      </c>
      <c r="I683" s="44" t="s">
        <v>433</v>
      </c>
      <c r="J683" s="44" t="s">
        <v>656</v>
      </c>
      <c r="K683" s="44" t="s">
        <v>166</v>
      </c>
      <c r="L683" s="48">
        <v>210065.34</v>
      </c>
      <c r="M683" s="48">
        <v>198174.85</v>
      </c>
      <c r="N683" s="48">
        <v>11890.49</v>
      </c>
      <c r="O683" s="44" t="s">
        <v>2571</v>
      </c>
    </row>
    <row r="684" hidden="1" customHeight="1" spans="1:15">
      <c r="A684" s="39" t="s">
        <v>2323</v>
      </c>
      <c r="B684" s="86">
        <v>45199</v>
      </c>
      <c r="C684" s="27" t="s">
        <v>811</v>
      </c>
      <c r="D684" s="37" t="s">
        <v>653</v>
      </c>
      <c r="E684" s="37" t="s">
        <v>640</v>
      </c>
      <c r="F684" s="37" t="s">
        <v>641</v>
      </c>
      <c r="G684" s="27" t="s">
        <v>1899</v>
      </c>
      <c r="H684" s="37" t="s">
        <v>650</v>
      </c>
      <c r="I684" s="27" t="s">
        <v>433</v>
      </c>
      <c r="J684" s="37" t="s">
        <v>656</v>
      </c>
      <c r="K684" s="29" t="s">
        <v>166</v>
      </c>
      <c r="L684" s="29">
        <v>-79772.04</v>
      </c>
      <c r="M684" s="31">
        <v>-75256.65</v>
      </c>
      <c r="N684" s="29">
        <f t="shared" ref="N684:N697" si="12">L684-M684</f>
        <v>-4515.39</v>
      </c>
      <c r="O684" s="31"/>
    </row>
    <row r="685" hidden="1" customHeight="1" spans="1:15">
      <c r="A685" s="39" t="s">
        <v>2323</v>
      </c>
      <c r="B685" s="86">
        <v>45199</v>
      </c>
      <c r="C685" s="27" t="s">
        <v>811</v>
      </c>
      <c r="D685" s="37" t="s">
        <v>653</v>
      </c>
      <c r="E685" s="37" t="s">
        <v>640</v>
      </c>
      <c r="F685" s="37" t="s">
        <v>641</v>
      </c>
      <c r="G685" s="37" t="s">
        <v>1901</v>
      </c>
      <c r="H685" s="37" t="s">
        <v>650</v>
      </c>
      <c r="I685" s="27" t="s">
        <v>433</v>
      </c>
      <c r="J685" s="37" t="s">
        <v>656</v>
      </c>
      <c r="K685" s="29" t="s">
        <v>166</v>
      </c>
      <c r="L685" s="29">
        <v>60770.37</v>
      </c>
      <c r="M685" s="31">
        <v>57330.5</v>
      </c>
      <c r="N685" s="29">
        <f t="shared" si="12"/>
        <v>3439.87</v>
      </c>
      <c r="O685" s="31"/>
    </row>
    <row r="686" hidden="1" customHeight="1" spans="1:15">
      <c r="A686" s="39" t="s">
        <v>1085</v>
      </c>
      <c r="B686" s="86">
        <v>45199</v>
      </c>
      <c r="C686" s="28" t="s">
        <v>992</v>
      </c>
      <c r="D686" s="37" t="s">
        <v>1296</v>
      </c>
      <c r="E686" s="37" t="s">
        <v>640</v>
      </c>
      <c r="F686" s="37" t="s">
        <v>641</v>
      </c>
      <c r="G686" s="27" t="s">
        <v>1899</v>
      </c>
      <c r="H686" s="37" t="s">
        <v>650</v>
      </c>
      <c r="I686" s="27" t="s">
        <v>2039</v>
      </c>
      <c r="J686" s="37" t="s">
        <v>644</v>
      </c>
      <c r="K686" s="29" t="s">
        <v>20</v>
      </c>
      <c r="L686" s="29">
        <v>-190442.55</v>
      </c>
      <c r="M686" s="31">
        <v>-179662.79</v>
      </c>
      <c r="N686" s="29">
        <f t="shared" si="12"/>
        <v>-10779.76</v>
      </c>
      <c r="O686" s="31"/>
    </row>
    <row r="687" hidden="1" customHeight="1" spans="1:15">
      <c r="A687" s="39" t="s">
        <v>1085</v>
      </c>
      <c r="B687" s="86">
        <v>45199</v>
      </c>
      <c r="C687" s="28" t="s">
        <v>2478</v>
      </c>
      <c r="D687" s="37" t="s">
        <v>1296</v>
      </c>
      <c r="E687" s="37" t="s">
        <v>640</v>
      </c>
      <c r="F687" s="37" t="s">
        <v>641</v>
      </c>
      <c r="G687" s="27" t="s">
        <v>1899</v>
      </c>
      <c r="H687" s="37" t="s">
        <v>650</v>
      </c>
      <c r="I687" s="27" t="s">
        <v>2037</v>
      </c>
      <c r="J687" s="37" t="s">
        <v>656</v>
      </c>
      <c r="K687" s="29" t="s">
        <v>20</v>
      </c>
      <c r="L687" s="29">
        <v>10885.88</v>
      </c>
      <c r="M687" s="31">
        <v>10269.7</v>
      </c>
      <c r="N687" s="29">
        <f t="shared" si="12"/>
        <v>616.179999999998</v>
      </c>
      <c r="O687" s="31"/>
    </row>
    <row r="688" hidden="1" customHeight="1" spans="1:15">
      <c r="A688" s="39" t="s">
        <v>1085</v>
      </c>
      <c r="B688" s="86">
        <v>45199</v>
      </c>
      <c r="C688" s="28" t="s">
        <v>2478</v>
      </c>
      <c r="D688" s="37" t="s">
        <v>1296</v>
      </c>
      <c r="E688" s="37" t="s">
        <v>640</v>
      </c>
      <c r="F688" s="37" t="s">
        <v>641</v>
      </c>
      <c r="G688" s="27" t="s">
        <v>1899</v>
      </c>
      <c r="H688" s="37" t="s">
        <v>650</v>
      </c>
      <c r="I688" s="27" t="s">
        <v>2050</v>
      </c>
      <c r="J688" s="37" t="s">
        <v>656</v>
      </c>
      <c r="K688" s="29" t="s">
        <v>20</v>
      </c>
      <c r="L688" s="29">
        <v>1271.17</v>
      </c>
      <c r="M688" s="31">
        <v>1199.22</v>
      </c>
      <c r="N688" s="29">
        <f t="shared" si="12"/>
        <v>71.95</v>
      </c>
      <c r="O688" s="31"/>
    </row>
    <row r="689" hidden="1" customHeight="1" spans="1:15">
      <c r="A689" s="39" t="s">
        <v>1085</v>
      </c>
      <c r="B689" s="86">
        <v>45199</v>
      </c>
      <c r="C689" s="28" t="s">
        <v>2478</v>
      </c>
      <c r="D689" s="37" t="s">
        <v>1296</v>
      </c>
      <c r="E689" s="37" t="s">
        <v>640</v>
      </c>
      <c r="F689" s="37" t="s">
        <v>641</v>
      </c>
      <c r="G689" s="27" t="s">
        <v>1901</v>
      </c>
      <c r="H689" s="37" t="s">
        <v>650</v>
      </c>
      <c r="I689" s="27" t="s">
        <v>2050</v>
      </c>
      <c r="J689" s="37" t="s">
        <v>656</v>
      </c>
      <c r="K689" s="29" t="s">
        <v>20</v>
      </c>
      <c r="L689" s="29">
        <v>500.09</v>
      </c>
      <c r="M689" s="31">
        <v>471.78</v>
      </c>
      <c r="N689" s="29">
        <f t="shared" si="12"/>
        <v>28.31</v>
      </c>
      <c r="O689" s="31"/>
    </row>
    <row r="690" hidden="1" customHeight="1" spans="1:15">
      <c r="A690" s="39" t="s">
        <v>1085</v>
      </c>
      <c r="B690" s="86">
        <v>45199</v>
      </c>
      <c r="C690" s="28" t="s">
        <v>2478</v>
      </c>
      <c r="D690" s="37" t="s">
        <v>1296</v>
      </c>
      <c r="E690" s="37" t="s">
        <v>640</v>
      </c>
      <c r="F690" s="37" t="s">
        <v>641</v>
      </c>
      <c r="G690" s="27" t="s">
        <v>1899</v>
      </c>
      <c r="H690" s="37" t="s">
        <v>650</v>
      </c>
      <c r="I690" s="27" t="s">
        <v>2052</v>
      </c>
      <c r="J690" s="37" t="s">
        <v>656</v>
      </c>
      <c r="K690" s="29" t="s">
        <v>20</v>
      </c>
      <c r="L690" s="29">
        <v>1080</v>
      </c>
      <c r="M690" s="31">
        <v>1018.87</v>
      </c>
      <c r="N690" s="29">
        <f t="shared" si="12"/>
        <v>61.13</v>
      </c>
      <c r="O690" s="31"/>
    </row>
    <row r="691" hidden="1" customHeight="1" spans="1:15">
      <c r="A691" s="39" t="s">
        <v>1085</v>
      </c>
      <c r="B691" s="86">
        <v>45199</v>
      </c>
      <c r="C691" s="28" t="s">
        <v>715</v>
      </c>
      <c r="D691" s="37" t="s">
        <v>653</v>
      </c>
      <c r="E691" s="37" t="s">
        <v>640</v>
      </c>
      <c r="F691" s="37" t="s">
        <v>641</v>
      </c>
      <c r="G691" s="27" t="s">
        <v>1899</v>
      </c>
      <c r="H691" s="37" t="s">
        <v>650</v>
      </c>
      <c r="I691" s="37" t="s">
        <v>1929</v>
      </c>
      <c r="J691" s="37" t="s">
        <v>656</v>
      </c>
      <c r="K691" s="29" t="s">
        <v>14</v>
      </c>
      <c r="L691" s="29">
        <v>3660921.57</v>
      </c>
      <c r="M691" s="31">
        <v>3453699.6</v>
      </c>
      <c r="N691" s="29">
        <f t="shared" si="12"/>
        <v>207221.97</v>
      </c>
      <c r="O691" s="31"/>
    </row>
    <row r="692" hidden="1" customHeight="1" spans="1:14">
      <c r="A692" s="39" t="s">
        <v>1085</v>
      </c>
      <c r="B692" s="86">
        <v>45199</v>
      </c>
      <c r="C692" s="28" t="s">
        <v>730</v>
      </c>
      <c r="D692" s="37" t="s">
        <v>653</v>
      </c>
      <c r="E692" s="37" t="s">
        <v>640</v>
      </c>
      <c r="F692" s="37" t="s">
        <v>641</v>
      </c>
      <c r="G692" s="27" t="s">
        <v>1899</v>
      </c>
      <c r="H692" s="37" t="s">
        <v>650</v>
      </c>
      <c r="I692" s="27" t="s">
        <v>473</v>
      </c>
      <c r="J692" s="37" t="s">
        <v>656</v>
      </c>
      <c r="K692" s="30" t="s">
        <v>14</v>
      </c>
      <c r="L692" s="31">
        <v>427153.22</v>
      </c>
      <c r="M692" s="31">
        <v>402974.74</v>
      </c>
      <c r="N692" s="29">
        <f t="shared" si="12"/>
        <v>24178.48</v>
      </c>
    </row>
    <row r="693" hidden="1" customHeight="1" spans="1:14">
      <c r="A693" s="39" t="s">
        <v>1085</v>
      </c>
      <c r="B693" s="86">
        <v>45199</v>
      </c>
      <c r="C693" s="28" t="s">
        <v>748</v>
      </c>
      <c r="D693" s="103" t="s">
        <v>1296</v>
      </c>
      <c r="E693" s="37" t="s">
        <v>640</v>
      </c>
      <c r="F693" s="37" t="s">
        <v>641</v>
      </c>
      <c r="G693" s="27" t="s">
        <v>1899</v>
      </c>
      <c r="H693" s="37" t="s">
        <v>650</v>
      </c>
      <c r="I693" s="44" t="s">
        <v>779</v>
      </c>
      <c r="J693" s="37" t="s">
        <v>644</v>
      </c>
      <c r="K693" s="30" t="s">
        <v>14</v>
      </c>
      <c r="L693" s="31">
        <v>0.36</v>
      </c>
      <c r="M693" s="31">
        <v>0.34</v>
      </c>
      <c r="N693" s="29">
        <f t="shared" si="12"/>
        <v>0.02</v>
      </c>
    </row>
    <row r="694" hidden="1" customHeight="1" spans="1:14">
      <c r="A694" s="39" t="s">
        <v>1085</v>
      </c>
      <c r="B694" s="86">
        <v>45199</v>
      </c>
      <c r="C694" s="28" t="s">
        <v>811</v>
      </c>
      <c r="D694" s="37" t="s">
        <v>653</v>
      </c>
      <c r="E694" s="37" t="s">
        <v>640</v>
      </c>
      <c r="F694" s="37" t="s">
        <v>641</v>
      </c>
      <c r="G694" s="27" t="s">
        <v>1899</v>
      </c>
      <c r="H694" s="37" t="s">
        <v>650</v>
      </c>
      <c r="I694" s="27" t="s">
        <v>433</v>
      </c>
      <c r="J694" s="37" t="s">
        <v>656</v>
      </c>
      <c r="K694" s="30" t="s">
        <v>166</v>
      </c>
      <c r="L694" s="31">
        <v>-1105.47</v>
      </c>
      <c r="M694" s="31">
        <v>-1042.9</v>
      </c>
      <c r="N694" s="29">
        <f t="shared" si="12"/>
        <v>-62.5699999999999</v>
      </c>
    </row>
    <row r="695" hidden="1" customHeight="1" spans="1:14">
      <c r="A695" s="39" t="s">
        <v>1085</v>
      </c>
      <c r="B695" s="86">
        <v>45199</v>
      </c>
      <c r="C695" s="44" t="s">
        <v>2478</v>
      </c>
      <c r="D695" s="44" t="s">
        <v>1296</v>
      </c>
      <c r="E695" s="37" t="s">
        <v>640</v>
      </c>
      <c r="F695" s="37" t="s">
        <v>641</v>
      </c>
      <c r="G695" s="27" t="s">
        <v>1901</v>
      </c>
      <c r="H695" s="37" t="s">
        <v>650</v>
      </c>
      <c r="I695" s="44" t="s">
        <v>2003</v>
      </c>
      <c r="J695" s="37" t="s">
        <v>656</v>
      </c>
      <c r="K695" s="52" t="s">
        <v>20</v>
      </c>
      <c r="L695" s="48">
        <v>2819.57</v>
      </c>
      <c r="M695" s="31">
        <v>2659.97</v>
      </c>
      <c r="N695" s="29">
        <f t="shared" si="12"/>
        <v>159.6</v>
      </c>
    </row>
    <row r="696" hidden="1" customHeight="1" spans="1:14">
      <c r="A696" s="39" t="s">
        <v>1085</v>
      </c>
      <c r="B696" s="86">
        <v>45199</v>
      </c>
      <c r="C696" s="44" t="s">
        <v>646</v>
      </c>
      <c r="D696" s="44" t="s">
        <v>1296</v>
      </c>
      <c r="E696" s="37" t="s">
        <v>640</v>
      </c>
      <c r="F696" s="37" t="s">
        <v>641</v>
      </c>
      <c r="G696" s="27" t="s">
        <v>1901</v>
      </c>
      <c r="H696" s="37" t="s">
        <v>650</v>
      </c>
      <c r="I696" s="44" t="s">
        <v>2028</v>
      </c>
      <c r="J696" s="37" t="s">
        <v>656</v>
      </c>
      <c r="K696" s="52" t="s">
        <v>13</v>
      </c>
      <c r="L696" s="48">
        <v>829.21</v>
      </c>
      <c r="M696" s="31">
        <v>782.27</v>
      </c>
      <c r="N696" s="29">
        <f t="shared" si="12"/>
        <v>46.9400000000001</v>
      </c>
    </row>
    <row r="697" hidden="1" customHeight="1" spans="1:14">
      <c r="A697" s="39" t="s">
        <v>1085</v>
      </c>
      <c r="B697" s="86">
        <v>45199</v>
      </c>
      <c r="C697" s="44" t="s">
        <v>646</v>
      </c>
      <c r="D697" s="44" t="s">
        <v>1296</v>
      </c>
      <c r="E697" s="37" t="s">
        <v>640</v>
      </c>
      <c r="F697" s="37" t="s">
        <v>641</v>
      </c>
      <c r="G697" s="27" t="s">
        <v>1901</v>
      </c>
      <c r="H697" s="37" t="s">
        <v>650</v>
      </c>
      <c r="I697" s="44" t="s">
        <v>2028</v>
      </c>
      <c r="J697" s="37" t="s">
        <v>656</v>
      </c>
      <c r="K697" s="52" t="s">
        <v>13</v>
      </c>
      <c r="L697" s="48">
        <v>829.21</v>
      </c>
      <c r="M697" s="31">
        <v>782.27</v>
      </c>
      <c r="N697" s="29">
        <f t="shared" si="12"/>
        <v>46.9400000000001</v>
      </c>
    </row>
    <row r="698" hidden="1" customHeight="1" spans="1:15">
      <c r="A698" s="44" t="s">
        <v>637</v>
      </c>
      <c r="B698" s="86">
        <v>45230</v>
      </c>
      <c r="C698" s="44" t="s">
        <v>1273</v>
      </c>
      <c r="D698" s="44" t="s">
        <v>2483</v>
      </c>
      <c r="E698" s="44" t="s">
        <v>640</v>
      </c>
      <c r="F698" s="44" t="s">
        <v>641</v>
      </c>
      <c r="G698" s="44" t="s">
        <v>1899</v>
      </c>
      <c r="H698" s="44" t="s">
        <v>650</v>
      </c>
      <c r="I698" s="44" t="s">
        <v>737</v>
      </c>
      <c r="J698" s="44" t="s">
        <v>656</v>
      </c>
      <c r="K698" s="44" t="s">
        <v>166</v>
      </c>
      <c r="L698" s="104">
        <v>-45951.52</v>
      </c>
      <c r="M698" s="104">
        <v>-43350.49</v>
      </c>
      <c r="N698" s="104">
        <v>-2601.03</v>
      </c>
      <c r="O698" s="44" t="s">
        <v>2572</v>
      </c>
    </row>
    <row r="699" hidden="1" customHeight="1" spans="1:15">
      <c r="A699" s="44" t="s">
        <v>637</v>
      </c>
      <c r="B699" s="86">
        <v>45230</v>
      </c>
      <c r="C699" s="44" t="s">
        <v>748</v>
      </c>
      <c r="D699" s="44" t="s">
        <v>2483</v>
      </c>
      <c r="E699" s="44" t="s">
        <v>640</v>
      </c>
      <c r="F699" s="44" t="s">
        <v>641</v>
      </c>
      <c r="G699" s="44" t="s">
        <v>1901</v>
      </c>
      <c r="H699" s="44" t="s">
        <v>650</v>
      </c>
      <c r="I699" s="44" t="s">
        <v>463</v>
      </c>
      <c r="J699" s="44" t="s">
        <v>656</v>
      </c>
      <c r="K699" s="44" t="s">
        <v>166</v>
      </c>
      <c r="L699" s="104">
        <v>140325.61</v>
      </c>
      <c r="M699" s="104">
        <v>132382.65</v>
      </c>
      <c r="N699" s="104">
        <v>7942.96</v>
      </c>
      <c r="O699" s="44" t="s">
        <v>2573</v>
      </c>
    </row>
    <row r="700" hidden="1" customHeight="1" spans="1:15">
      <c r="A700" s="44" t="s">
        <v>637</v>
      </c>
      <c r="B700" s="86">
        <v>45230</v>
      </c>
      <c r="C700" s="44" t="s">
        <v>1273</v>
      </c>
      <c r="D700" s="44" t="s">
        <v>2483</v>
      </c>
      <c r="E700" s="44" t="s">
        <v>640</v>
      </c>
      <c r="F700" s="44" t="s">
        <v>641</v>
      </c>
      <c r="G700" s="44" t="s">
        <v>1901</v>
      </c>
      <c r="H700" s="44" t="s">
        <v>650</v>
      </c>
      <c r="I700" s="44" t="s">
        <v>1946</v>
      </c>
      <c r="J700" s="44" t="s">
        <v>656</v>
      </c>
      <c r="K700" s="44" t="s">
        <v>166</v>
      </c>
      <c r="L700" s="104">
        <v>18788.33</v>
      </c>
      <c r="M700" s="104">
        <v>17724.84</v>
      </c>
      <c r="N700" s="104">
        <v>1063.49</v>
      </c>
      <c r="O700" s="44" t="s">
        <v>2574</v>
      </c>
    </row>
    <row r="701" hidden="1" customHeight="1" spans="1:15">
      <c r="A701" s="44" t="s">
        <v>637</v>
      </c>
      <c r="B701" s="86">
        <v>45230</v>
      </c>
      <c r="C701" s="44" t="s">
        <v>646</v>
      </c>
      <c r="D701" s="44" t="s">
        <v>2483</v>
      </c>
      <c r="E701" s="44" t="s">
        <v>640</v>
      </c>
      <c r="F701" s="44" t="s">
        <v>641</v>
      </c>
      <c r="G701" s="44" t="s">
        <v>1901</v>
      </c>
      <c r="H701" s="44" t="s">
        <v>650</v>
      </c>
      <c r="I701" s="44" t="s">
        <v>1953</v>
      </c>
      <c r="J701" s="44" t="s">
        <v>656</v>
      </c>
      <c r="K701" s="44" t="s">
        <v>166</v>
      </c>
      <c r="L701" s="104">
        <v>7987.26</v>
      </c>
      <c r="M701" s="104">
        <v>7535.15</v>
      </c>
      <c r="N701" s="104">
        <v>452.11</v>
      </c>
      <c r="O701" s="44" t="s">
        <v>2575</v>
      </c>
    </row>
    <row r="702" hidden="1" customHeight="1" spans="1:15">
      <c r="A702" s="44" t="s">
        <v>637</v>
      </c>
      <c r="B702" s="86">
        <v>45230</v>
      </c>
      <c r="C702" s="44" t="s">
        <v>748</v>
      </c>
      <c r="D702" s="44" t="s">
        <v>1284</v>
      </c>
      <c r="E702" s="44" t="s">
        <v>1898</v>
      </c>
      <c r="F702" s="44" t="s">
        <v>641</v>
      </c>
      <c r="G702" s="44" t="s">
        <v>1899</v>
      </c>
      <c r="H702" s="44" t="s">
        <v>643</v>
      </c>
      <c r="I702" s="44" t="s">
        <v>444</v>
      </c>
      <c r="J702" s="44" t="s">
        <v>656</v>
      </c>
      <c r="K702" s="44" t="s">
        <v>14</v>
      </c>
      <c r="L702" s="104">
        <v>4944.28</v>
      </c>
      <c r="M702" s="104">
        <v>4664.42</v>
      </c>
      <c r="N702" s="104">
        <v>279.86</v>
      </c>
      <c r="O702" s="44" t="s">
        <v>2576</v>
      </c>
    </row>
    <row r="703" hidden="1" customHeight="1" spans="1:15">
      <c r="A703" s="44" t="s">
        <v>637</v>
      </c>
      <c r="B703" s="86">
        <v>45230</v>
      </c>
      <c r="C703" s="44" t="s">
        <v>748</v>
      </c>
      <c r="D703" s="44" t="s">
        <v>726</v>
      </c>
      <c r="E703" s="44" t="s">
        <v>1898</v>
      </c>
      <c r="F703" s="44" t="s">
        <v>641</v>
      </c>
      <c r="G703" s="44" t="s">
        <v>1899</v>
      </c>
      <c r="H703" s="44" t="s">
        <v>643</v>
      </c>
      <c r="I703" s="44" t="s">
        <v>444</v>
      </c>
      <c r="J703" s="44" t="s">
        <v>656</v>
      </c>
      <c r="K703" s="44" t="s">
        <v>14</v>
      </c>
      <c r="L703" s="104">
        <v>216921.78</v>
      </c>
      <c r="M703" s="104">
        <v>204643.19</v>
      </c>
      <c r="N703" s="104">
        <v>12278.59</v>
      </c>
      <c r="O703" s="44" t="s">
        <v>2577</v>
      </c>
    </row>
    <row r="704" hidden="1" customHeight="1" spans="1:15">
      <c r="A704" s="44" t="s">
        <v>637</v>
      </c>
      <c r="B704" s="86">
        <v>45230</v>
      </c>
      <c r="C704" s="44" t="s">
        <v>748</v>
      </c>
      <c r="D704" s="44" t="s">
        <v>1902</v>
      </c>
      <c r="E704" s="44" t="s">
        <v>1898</v>
      </c>
      <c r="F704" s="44" t="s">
        <v>641</v>
      </c>
      <c r="G704" s="44" t="s">
        <v>1899</v>
      </c>
      <c r="H704" s="44" t="s">
        <v>643</v>
      </c>
      <c r="I704" s="44" t="s">
        <v>444</v>
      </c>
      <c r="J704" s="44" t="s">
        <v>656</v>
      </c>
      <c r="K704" s="44" t="s">
        <v>14</v>
      </c>
      <c r="L704" s="104">
        <v>21532.21</v>
      </c>
      <c r="M704" s="104">
        <v>20313.41</v>
      </c>
      <c r="N704" s="104">
        <v>1218.8</v>
      </c>
      <c r="O704" s="44" t="s">
        <v>2578</v>
      </c>
    </row>
    <row r="705" hidden="1" customHeight="1" spans="1:15">
      <c r="A705" s="44" t="s">
        <v>637</v>
      </c>
      <c r="B705" s="86">
        <v>45230</v>
      </c>
      <c r="C705" s="44" t="s">
        <v>1273</v>
      </c>
      <c r="D705" s="44" t="s">
        <v>2483</v>
      </c>
      <c r="E705" s="44" t="s">
        <v>640</v>
      </c>
      <c r="F705" s="44" t="s">
        <v>641</v>
      </c>
      <c r="G705" s="44" t="s">
        <v>1899</v>
      </c>
      <c r="H705" s="44" t="s">
        <v>650</v>
      </c>
      <c r="I705" s="44" t="s">
        <v>1944</v>
      </c>
      <c r="J705" s="44" t="s">
        <v>656</v>
      </c>
      <c r="K705" s="44" t="s">
        <v>166</v>
      </c>
      <c r="L705" s="104">
        <v>-3439.24</v>
      </c>
      <c r="M705" s="104">
        <v>-3244.57</v>
      </c>
      <c r="N705" s="104">
        <v>-194.67</v>
      </c>
      <c r="O705" s="44" t="s">
        <v>2579</v>
      </c>
    </row>
    <row r="706" hidden="1" customHeight="1" spans="1:15">
      <c r="A706" s="44" t="s">
        <v>637</v>
      </c>
      <c r="B706" s="86">
        <v>45230</v>
      </c>
      <c r="C706" s="44" t="s">
        <v>2478</v>
      </c>
      <c r="D706" s="44" t="s">
        <v>1296</v>
      </c>
      <c r="E706" s="44" t="s">
        <v>640</v>
      </c>
      <c r="F706" s="44" t="s">
        <v>641</v>
      </c>
      <c r="G706" s="44" t="s">
        <v>1899</v>
      </c>
      <c r="H706" s="44" t="s">
        <v>650</v>
      </c>
      <c r="I706" s="44" t="s">
        <v>2037</v>
      </c>
      <c r="J706" s="44" t="s">
        <v>644</v>
      </c>
      <c r="K706" s="44" t="s">
        <v>20</v>
      </c>
      <c r="L706" s="104">
        <v>245285.06</v>
      </c>
      <c r="M706" s="104">
        <v>231401</v>
      </c>
      <c r="N706" s="104">
        <v>13884.06</v>
      </c>
      <c r="O706" s="44" t="s">
        <v>2580</v>
      </c>
    </row>
    <row r="707" hidden="1" customHeight="1" spans="1:15">
      <c r="A707" s="44" t="s">
        <v>637</v>
      </c>
      <c r="B707" s="86">
        <v>45230</v>
      </c>
      <c r="C707" s="44" t="s">
        <v>2433</v>
      </c>
      <c r="D707" s="44" t="s">
        <v>1296</v>
      </c>
      <c r="E707" s="44" t="s">
        <v>640</v>
      </c>
      <c r="F707" s="44" t="s">
        <v>641</v>
      </c>
      <c r="G707" s="44" t="s">
        <v>1899</v>
      </c>
      <c r="H707" s="44" t="s">
        <v>643</v>
      </c>
      <c r="I707" s="44" t="s">
        <v>444</v>
      </c>
      <c r="J707" s="44" t="s">
        <v>644</v>
      </c>
      <c r="K707" s="44" t="s">
        <v>14</v>
      </c>
      <c r="L707" s="104">
        <v>200580.78</v>
      </c>
      <c r="M707" s="104">
        <v>189227.15</v>
      </c>
      <c r="N707" s="104">
        <v>11353.63</v>
      </c>
      <c r="O707" s="44" t="s">
        <v>2581</v>
      </c>
    </row>
    <row r="708" hidden="1" customHeight="1" spans="1:15">
      <c r="A708" s="44" t="s">
        <v>637</v>
      </c>
      <c r="B708" s="86">
        <v>45230</v>
      </c>
      <c r="C708" s="44" t="s">
        <v>1273</v>
      </c>
      <c r="D708" s="44" t="s">
        <v>2483</v>
      </c>
      <c r="E708" s="44" t="s">
        <v>640</v>
      </c>
      <c r="F708" s="44" t="s">
        <v>641</v>
      </c>
      <c r="G708" s="44" t="s">
        <v>1899</v>
      </c>
      <c r="H708" s="44" t="s">
        <v>650</v>
      </c>
      <c r="I708" s="44" t="s">
        <v>737</v>
      </c>
      <c r="J708" s="44" t="s">
        <v>656</v>
      </c>
      <c r="K708" s="44" t="s">
        <v>166</v>
      </c>
      <c r="L708" s="104">
        <v>487650.76</v>
      </c>
      <c r="M708" s="104">
        <v>460047.89</v>
      </c>
      <c r="N708" s="104">
        <v>27602.87</v>
      </c>
      <c r="O708" s="44" t="s">
        <v>2582</v>
      </c>
    </row>
    <row r="709" hidden="1" customHeight="1" spans="1:15">
      <c r="A709" s="44" t="s">
        <v>637</v>
      </c>
      <c r="B709" s="86">
        <v>45230</v>
      </c>
      <c r="C709" s="44" t="s">
        <v>1273</v>
      </c>
      <c r="D709" s="44" t="s">
        <v>2483</v>
      </c>
      <c r="E709" s="44" t="s">
        <v>640</v>
      </c>
      <c r="F709" s="44" t="s">
        <v>641</v>
      </c>
      <c r="G709" s="44" t="s">
        <v>1899</v>
      </c>
      <c r="H709" s="44" t="s">
        <v>650</v>
      </c>
      <c r="I709" s="44" t="s">
        <v>737</v>
      </c>
      <c r="J709" s="44" t="s">
        <v>656</v>
      </c>
      <c r="K709" s="44" t="s">
        <v>166</v>
      </c>
      <c r="L709" s="104">
        <v>22975.76</v>
      </c>
      <c r="M709" s="104">
        <v>21675.25</v>
      </c>
      <c r="N709" s="104">
        <v>1300.51</v>
      </c>
      <c r="O709" s="44" t="s">
        <v>2583</v>
      </c>
    </row>
    <row r="710" hidden="1" customHeight="1" spans="1:15">
      <c r="A710" s="44" t="s">
        <v>637</v>
      </c>
      <c r="B710" s="86">
        <v>45230</v>
      </c>
      <c r="C710" s="44" t="s">
        <v>1273</v>
      </c>
      <c r="D710" s="44" t="s">
        <v>2483</v>
      </c>
      <c r="E710" s="44" t="s">
        <v>640</v>
      </c>
      <c r="F710" s="44" t="s">
        <v>641</v>
      </c>
      <c r="G710" s="44" t="s">
        <v>1899</v>
      </c>
      <c r="H710" s="44" t="s">
        <v>650</v>
      </c>
      <c r="I710" s="44" t="s">
        <v>1957</v>
      </c>
      <c r="J710" s="44" t="s">
        <v>656</v>
      </c>
      <c r="K710" s="44" t="s">
        <v>166</v>
      </c>
      <c r="L710" s="104">
        <v>1107.3</v>
      </c>
      <c r="M710" s="104">
        <v>1044.62</v>
      </c>
      <c r="N710" s="104">
        <v>62.68</v>
      </c>
      <c r="O710" s="44" t="s">
        <v>2584</v>
      </c>
    </row>
    <row r="711" hidden="1" customHeight="1" spans="1:15">
      <c r="A711" s="44" t="s">
        <v>637</v>
      </c>
      <c r="B711" s="86">
        <v>45230</v>
      </c>
      <c r="C711" s="44" t="s">
        <v>1273</v>
      </c>
      <c r="D711" s="44" t="s">
        <v>2483</v>
      </c>
      <c r="E711" s="44" t="s">
        <v>640</v>
      </c>
      <c r="F711" s="44" t="s">
        <v>641</v>
      </c>
      <c r="G711" s="44" t="s">
        <v>1899</v>
      </c>
      <c r="H711" s="44" t="s">
        <v>650</v>
      </c>
      <c r="I711" s="44" t="s">
        <v>1944</v>
      </c>
      <c r="J711" s="44" t="s">
        <v>656</v>
      </c>
      <c r="K711" s="44" t="s">
        <v>166</v>
      </c>
      <c r="L711" s="104">
        <v>41293.03</v>
      </c>
      <c r="M711" s="104">
        <v>38955.69</v>
      </c>
      <c r="N711" s="104">
        <v>2337.34</v>
      </c>
      <c r="O711" s="44" t="s">
        <v>2585</v>
      </c>
    </row>
    <row r="712" hidden="1" customHeight="1" spans="1:15">
      <c r="A712" s="44" t="s">
        <v>637</v>
      </c>
      <c r="B712" s="86">
        <v>45230</v>
      </c>
      <c r="C712" s="44" t="s">
        <v>1273</v>
      </c>
      <c r="D712" s="44" t="s">
        <v>2483</v>
      </c>
      <c r="E712" s="44" t="s">
        <v>640</v>
      </c>
      <c r="F712" s="44" t="s">
        <v>641</v>
      </c>
      <c r="G712" s="44" t="s">
        <v>1899</v>
      </c>
      <c r="H712" s="44" t="s">
        <v>650</v>
      </c>
      <c r="I712" s="44" t="s">
        <v>1946</v>
      </c>
      <c r="J712" s="44" t="s">
        <v>656</v>
      </c>
      <c r="K712" s="44" t="s">
        <v>166</v>
      </c>
      <c r="L712" s="104">
        <v>54110.4</v>
      </c>
      <c r="M712" s="104">
        <v>51047.55</v>
      </c>
      <c r="N712" s="104">
        <v>3062.85</v>
      </c>
      <c r="O712" s="44" t="s">
        <v>2586</v>
      </c>
    </row>
    <row r="713" hidden="1" customHeight="1" spans="1:15">
      <c r="A713" s="44" t="s">
        <v>637</v>
      </c>
      <c r="B713" s="86">
        <v>45230</v>
      </c>
      <c r="C713" s="44" t="s">
        <v>1273</v>
      </c>
      <c r="D713" s="44" t="s">
        <v>2483</v>
      </c>
      <c r="E713" s="44" t="s">
        <v>640</v>
      </c>
      <c r="F713" s="44" t="s">
        <v>641</v>
      </c>
      <c r="G713" s="44" t="s">
        <v>1901</v>
      </c>
      <c r="H713" s="44" t="s">
        <v>650</v>
      </c>
      <c r="I713" s="44" t="s">
        <v>748</v>
      </c>
      <c r="J713" s="44" t="s">
        <v>656</v>
      </c>
      <c r="K713" s="44" t="s">
        <v>166</v>
      </c>
      <c r="L713" s="104">
        <v>140325.61</v>
      </c>
      <c r="M713" s="104">
        <v>132382.65</v>
      </c>
      <c r="N713" s="104">
        <v>7942.96</v>
      </c>
      <c r="O713" s="44" t="s">
        <v>2587</v>
      </c>
    </row>
    <row r="714" hidden="1" customHeight="1" spans="1:15">
      <c r="A714" s="44" t="s">
        <v>637</v>
      </c>
      <c r="B714" s="86">
        <v>45230</v>
      </c>
      <c r="C714" s="44" t="s">
        <v>646</v>
      </c>
      <c r="D714" s="44" t="s">
        <v>1296</v>
      </c>
      <c r="E714" s="44" t="s">
        <v>640</v>
      </c>
      <c r="F714" s="44" t="s">
        <v>641</v>
      </c>
      <c r="G714" s="44" t="s">
        <v>1901</v>
      </c>
      <c r="H714" s="44" t="s">
        <v>650</v>
      </c>
      <c r="I714" s="44" t="s">
        <v>2054</v>
      </c>
      <c r="J714" s="44" t="s">
        <v>644</v>
      </c>
      <c r="K714" s="44" t="s">
        <v>20</v>
      </c>
      <c r="L714" s="104">
        <v>8080</v>
      </c>
      <c r="M714" s="104">
        <v>7622.64</v>
      </c>
      <c r="N714" s="104">
        <v>457.36</v>
      </c>
      <c r="O714" s="44" t="s">
        <v>2588</v>
      </c>
    </row>
    <row r="715" hidden="1" customHeight="1" spans="1:15">
      <c r="A715" s="44" t="s">
        <v>637</v>
      </c>
      <c r="B715" s="86">
        <v>45230</v>
      </c>
      <c r="C715" s="44" t="s">
        <v>638</v>
      </c>
      <c r="D715" s="44" t="s">
        <v>1836</v>
      </c>
      <c r="E715" s="44" t="s">
        <v>640</v>
      </c>
      <c r="F715" s="44" t="s">
        <v>641</v>
      </c>
      <c r="G715" s="44" t="s">
        <v>1899</v>
      </c>
      <c r="H715" s="44" t="s">
        <v>643</v>
      </c>
      <c r="I715" s="44" t="s">
        <v>430</v>
      </c>
      <c r="J715" s="44" t="s">
        <v>656</v>
      </c>
      <c r="K715" s="44" t="s">
        <v>14</v>
      </c>
      <c r="L715" s="104">
        <v>3959.19</v>
      </c>
      <c r="M715" s="104">
        <v>3735.08</v>
      </c>
      <c r="N715" s="104">
        <v>224.11</v>
      </c>
      <c r="O715" s="44" t="s">
        <v>2589</v>
      </c>
    </row>
    <row r="716" hidden="1" customHeight="1" spans="1:15">
      <c r="A716" s="44" t="s">
        <v>637</v>
      </c>
      <c r="B716" s="86">
        <v>45230</v>
      </c>
      <c r="C716" s="44" t="s">
        <v>646</v>
      </c>
      <c r="D716" s="44" t="s">
        <v>653</v>
      </c>
      <c r="E716" s="44" t="s">
        <v>640</v>
      </c>
      <c r="F716" s="44" t="s">
        <v>641</v>
      </c>
      <c r="G716" s="44" t="s">
        <v>1899</v>
      </c>
      <c r="H716" s="44" t="s">
        <v>650</v>
      </c>
      <c r="I716" s="44" t="s">
        <v>1955</v>
      </c>
      <c r="J716" s="44" t="s">
        <v>656</v>
      </c>
      <c r="K716" s="44" t="s">
        <v>166</v>
      </c>
      <c r="L716" s="104">
        <v>19912.86</v>
      </c>
      <c r="M716" s="104">
        <v>18785.72</v>
      </c>
      <c r="N716" s="104">
        <v>1127.14</v>
      </c>
      <c r="O716" s="44" t="s">
        <v>2590</v>
      </c>
    </row>
    <row r="717" hidden="1" customHeight="1" spans="1:15">
      <c r="A717" s="44" t="s">
        <v>637</v>
      </c>
      <c r="B717" s="86">
        <v>45230</v>
      </c>
      <c r="C717" s="44" t="s">
        <v>646</v>
      </c>
      <c r="D717" s="44" t="s">
        <v>2483</v>
      </c>
      <c r="E717" s="44" t="s">
        <v>640</v>
      </c>
      <c r="F717" s="44" t="s">
        <v>641</v>
      </c>
      <c r="G717" s="44" t="s">
        <v>1899</v>
      </c>
      <c r="H717" s="44" t="s">
        <v>650</v>
      </c>
      <c r="I717" s="44" t="s">
        <v>1953</v>
      </c>
      <c r="J717" s="44" t="s">
        <v>656</v>
      </c>
      <c r="K717" s="44" t="s">
        <v>166</v>
      </c>
      <c r="L717" s="104">
        <v>33760.14</v>
      </c>
      <c r="M717" s="104">
        <v>31849.19</v>
      </c>
      <c r="N717" s="104">
        <v>1910.95</v>
      </c>
      <c r="O717" s="44" t="s">
        <v>2591</v>
      </c>
    </row>
    <row r="718" hidden="1" customHeight="1" spans="1:15">
      <c r="A718" s="44" t="s">
        <v>637</v>
      </c>
      <c r="B718" s="86">
        <v>45230</v>
      </c>
      <c r="C718" s="44" t="s">
        <v>646</v>
      </c>
      <c r="D718" s="44" t="s">
        <v>1296</v>
      </c>
      <c r="E718" s="44" t="s">
        <v>640</v>
      </c>
      <c r="F718" s="44" t="s">
        <v>641</v>
      </c>
      <c r="G718" s="44" t="s">
        <v>1899</v>
      </c>
      <c r="H718" s="44" t="s">
        <v>650</v>
      </c>
      <c r="I718" s="44" t="s">
        <v>2007</v>
      </c>
      <c r="J718" s="44" t="s">
        <v>644</v>
      </c>
      <c r="K718" s="44" t="s">
        <v>14</v>
      </c>
      <c r="L718" s="104">
        <v>1697.71</v>
      </c>
      <c r="M718" s="104">
        <v>1601.61</v>
      </c>
      <c r="N718" s="104">
        <v>96.1</v>
      </c>
      <c r="O718" s="44" t="s">
        <v>2592</v>
      </c>
    </row>
    <row r="719" hidden="1" customHeight="1" spans="1:15">
      <c r="A719" s="44" t="s">
        <v>637</v>
      </c>
      <c r="B719" s="86">
        <v>45230</v>
      </c>
      <c r="C719" s="44" t="s">
        <v>646</v>
      </c>
      <c r="D719" s="44" t="s">
        <v>726</v>
      </c>
      <c r="E719" s="44" t="s">
        <v>640</v>
      </c>
      <c r="F719" s="44" t="s">
        <v>641</v>
      </c>
      <c r="G719" s="44" t="s">
        <v>1899</v>
      </c>
      <c r="H719" s="44" t="s">
        <v>643</v>
      </c>
      <c r="I719" s="44" t="s">
        <v>1987</v>
      </c>
      <c r="J719" s="44" t="s">
        <v>656</v>
      </c>
      <c r="K719" s="44" t="s">
        <v>14</v>
      </c>
      <c r="L719" s="104">
        <v>-500</v>
      </c>
      <c r="M719" s="104">
        <v>-471.7</v>
      </c>
      <c r="N719" s="104">
        <v>-28.3</v>
      </c>
      <c r="O719" s="44" t="s">
        <v>2593</v>
      </c>
    </row>
    <row r="720" hidden="1" customHeight="1" spans="1:15">
      <c r="A720" s="44" t="s">
        <v>637</v>
      </c>
      <c r="B720" s="86">
        <v>45230</v>
      </c>
      <c r="C720" s="44" t="s">
        <v>646</v>
      </c>
      <c r="D720" s="44" t="s">
        <v>1296</v>
      </c>
      <c r="E720" s="44" t="s">
        <v>640</v>
      </c>
      <c r="F720" s="44" t="s">
        <v>641</v>
      </c>
      <c r="G720" s="44" t="s">
        <v>1899</v>
      </c>
      <c r="H720" s="44" t="s">
        <v>643</v>
      </c>
      <c r="I720" s="44" t="s">
        <v>1993</v>
      </c>
      <c r="J720" s="44" t="s">
        <v>644</v>
      </c>
      <c r="K720" s="44" t="s">
        <v>14</v>
      </c>
      <c r="L720" s="104">
        <v>144097.31</v>
      </c>
      <c r="M720" s="104">
        <v>135940.86</v>
      </c>
      <c r="N720" s="104">
        <v>8156.45</v>
      </c>
      <c r="O720" s="44" t="s">
        <v>2594</v>
      </c>
    </row>
    <row r="721" hidden="1" customHeight="1" spans="1:15">
      <c r="A721" s="44" t="s">
        <v>637</v>
      </c>
      <c r="B721" s="86">
        <v>45230</v>
      </c>
      <c r="C721" s="44" t="s">
        <v>646</v>
      </c>
      <c r="D721" s="44" t="s">
        <v>1296</v>
      </c>
      <c r="E721" s="44" t="s">
        <v>640</v>
      </c>
      <c r="F721" s="44" t="s">
        <v>641</v>
      </c>
      <c r="G721" s="44" t="s">
        <v>1899</v>
      </c>
      <c r="H721" s="44" t="s">
        <v>650</v>
      </c>
      <c r="I721" s="44" t="s">
        <v>2028</v>
      </c>
      <c r="J721" s="44" t="s">
        <v>656</v>
      </c>
      <c r="K721" s="44" t="s">
        <v>13</v>
      </c>
      <c r="L721" s="104">
        <v>14055.6</v>
      </c>
      <c r="M721" s="104">
        <v>13260</v>
      </c>
      <c r="N721" s="104">
        <v>795.6</v>
      </c>
      <c r="O721" s="44" t="s">
        <v>2595</v>
      </c>
    </row>
    <row r="722" hidden="1" customHeight="1" spans="1:15">
      <c r="A722" s="44" t="s">
        <v>637</v>
      </c>
      <c r="B722" s="86">
        <v>45230</v>
      </c>
      <c r="C722" s="44" t="s">
        <v>646</v>
      </c>
      <c r="D722" s="44" t="s">
        <v>1296</v>
      </c>
      <c r="E722" s="44" t="s">
        <v>640</v>
      </c>
      <c r="F722" s="44" t="s">
        <v>641</v>
      </c>
      <c r="G722" s="44" t="s">
        <v>1899</v>
      </c>
      <c r="H722" s="44" t="s">
        <v>650</v>
      </c>
      <c r="I722" s="44" t="s">
        <v>1934</v>
      </c>
      <c r="J722" s="44" t="s">
        <v>656</v>
      </c>
      <c r="K722" s="44" t="s">
        <v>13</v>
      </c>
      <c r="L722" s="104">
        <v>20555.15</v>
      </c>
      <c r="M722" s="104">
        <v>19391.65</v>
      </c>
      <c r="N722" s="104">
        <v>1163.5</v>
      </c>
      <c r="O722" s="44" t="s">
        <v>2596</v>
      </c>
    </row>
    <row r="723" hidden="1" customHeight="1" spans="1:15">
      <c r="A723" s="44" t="s">
        <v>637</v>
      </c>
      <c r="B723" s="86">
        <v>45230</v>
      </c>
      <c r="C723" s="44" t="s">
        <v>646</v>
      </c>
      <c r="D723" s="44" t="s">
        <v>2134</v>
      </c>
      <c r="E723" s="44" t="s">
        <v>640</v>
      </c>
      <c r="F723" s="44" t="s">
        <v>641</v>
      </c>
      <c r="G723" s="44" t="s">
        <v>1899</v>
      </c>
      <c r="H723" s="44" t="s">
        <v>643</v>
      </c>
      <c r="I723" s="44" t="s">
        <v>1906</v>
      </c>
      <c r="J723" s="44" t="s">
        <v>656</v>
      </c>
      <c r="K723" s="44" t="s">
        <v>14</v>
      </c>
      <c r="L723" s="104">
        <v>13610.06</v>
      </c>
      <c r="M723" s="104">
        <v>12839.68</v>
      </c>
      <c r="N723" s="104">
        <v>770.38</v>
      </c>
      <c r="O723" s="44" t="s">
        <v>2597</v>
      </c>
    </row>
    <row r="724" hidden="1" customHeight="1" spans="1:15">
      <c r="A724" s="44" t="s">
        <v>637</v>
      </c>
      <c r="B724" s="86">
        <v>45230</v>
      </c>
      <c r="C724" s="44" t="s">
        <v>646</v>
      </c>
      <c r="D724" s="44" t="s">
        <v>1296</v>
      </c>
      <c r="E724" s="44" t="s">
        <v>640</v>
      </c>
      <c r="F724" s="44" t="s">
        <v>641</v>
      </c>
      <c r="G724" s="44" t="s">
        <v>1899</v>
      </c>
      <c r="H724" s="44" t="s">
        <v>650</v>
      </c>
      <c r="I724" s="44" t="s">
        <v>2044</v>
      </c>
      <c r="J724" s="44" t="s">
        <v>644</v>
      </c>
      <c r="K724" s="44" t="s">
        <v>20</v>
      </c>
      <c r="L724" s="104">
        <v>65200</v>
      </c>
      <c r="M724" s="104">
        <v>61509.43</v>
      </c>
      <c r="N724" s="104">
        <v>3690.57</v>
      </c>
      <c r="O724" s="44" t="s">
        <v>2598</v>
      </c>
    </row>
    <row r="725" hidden="1" customHeight="1" spans="1:15">
      <c r="A725" s="44" t="s">
        <v>637</v>
      </c>
      <c r="B725" s="86">
        <v>45230</v>
      </c>
      <c r="C725" s="44" t="s">
        <v>646</v>
      </c>
      <c r="D725" s="44" t="s">
        <v>2134</v>
      </c>
      <c r="E725" s="44" t="s">
        <v>640</v>
      </c>
      <c r="F725" s="44" t="s">
        <v>641</v>
      </c>
      <c r="G725" s="44" t="s">
        <v>1899</v>
      </c>
      <c r="H725" s="44" t="s">
        <v>643</v>
      </c>
      <c r="I725" s="44" t="s">
        <v>1989</v>
      </c>
      <c r="J725" s="44" t="s">
        <v>656</v>
      </c>
      <c r="K725" s="44" t="s">
        <v>14</v>
      </c>
      <c r="L725" s="104">
        <v>102.36</v>
      </c>
      <c r="M725" s="104">
        <v>96.57</v>
      </c>
      <c r="N725" s="104">
        <v>5.79</v>
      </c>
      <c r="O725" s="44" t="s">
        <v>2599</v>
      </c>
    </row>
    <row r="726" hidden="1" customHeight="1" spans="1:15">
      <c r="A726" s="44" t="s">
        <v>637</v>
      </c>
      <c r="B726" s="86">
        <v>45230</v>
      </c>
      <c r="C726" s="44" t="s">
        <v>646</v>
      </c>
      <c r="D726" s="44" t="s">
        <v>1296</v>
      </c>
      <c r="E726" s="44" t="s">
        <v>640</v>
      </c>
      <c r="F726" s="44" t="s">
        <v>641</v>
      </c>
      <c r="G726" s="44" t="s">
        <v>1899</v>
      </c>
      <c r="H726" s="44" t="s">
        <v>650</v>
      </c>
      <c r="I726" s="44" t="s">
        <v>2046</v>
      </c>
      <c r="J726" s="44" t="s">
        <v>644</v>
      </c>
      <c r="K726" s="44" t="s">
        <v>20</v>
      </c>
      <c r="L726" s="104">
        <v>3530.46</v>
      </c>
      <c r="M726" s="104">
        <v>3330.62</v>
      </c>
      <c r="N726" s="104">
        <v>199.84</v>
      </c>
      <c r="O726" s="44" t="s">
        <v>2600</v>
      </c>
    </row>
    <row r="727" hidden="1" customHeight="1" spans="1:15">
      <c r="A727" s="44" t="s">
        <v>637</v>
      </c>
      <c r="B727" s="86">
        <v>45230</v>
      </c>
      <c r="C727" s="44" t="s">
        <v>646</v>
      </c>
      <c r="D727" s="44" t="s">
        <v>1296</v>
      </c>
      <c r="E727" s="44" t="s">
        <v>640</v>
      </c>
      <c r="F727" s="44" t="s">
        <v>641</v>
      </c>
      <c r="G727" s="44" t="s">
        <v>1899</v>
      </c>
      <c r="H727" s="44" t="s">
        <v>643</v>
      </c>
      <c r="I727" s="44" t="s">
        <v>1995</v>
      </c>
      <c r="J727" s="44" t="s">
        <v>644</v>
      </c>
      <c r="K727" s="44" t="s">
        <v>14</v>
      </c>
      <c r="L727" s="104">
        <v>360082.36</v>
      </c>
      <c r="M727" s="104">
        <v>339700.34</v>
      </c>
      <c r="N727" s="104">
        <v>20382.02</v>
      </c>
      <c r="O727" s="44" t="s">
        <v>2601</v>
      </c>
    </row>
    <row r="728" hidden="1" customHeight="1" spans="1:15">
      <c r="A728" s="44" t="s">
        <v>637</v>
      </c>
      <c r="B728" s="86">
        <v>45230</v>
      </c>
      <c r="C728" s="44" t="s">
        <v>646</v>
      </c>
      <c r="D728" s="44" t="s">
        <v>2134</v>
      </c>
      <c r="E728" s="44" t="s">
        <v>640</v>
      </c>
      <c r="F728" s="44" t="s">
        <v>641</v>
      </c>
      <c r="G728" s="44" t="s">
        <v>1899</v>
      </c>
      <c r="H728" s="44" t="s">
        <v>643</v>
      </c>
      <c r="I728" s="44" t="s">
        <v>466</v>
      </c>
      <c r="J728" s="44" t="s">
        <v>656</v>
      </c>
      <c r="K728" s="44" t="s">
        <v>14</v>
      </c>
      <c r="L728" s="104">
        <v>37145.42</v>
      </c>
      <c r="M728" s="104">
        <v>35042.85</v>
      </c>
      <c r="N728" s="104">
        <v>2102.57</v>
      </c>
      <c r="O728" s="44" t="s">
        <v>2602</v>
      </c>
    </row>
    <row r="729" hidden="1" customHeight="1" spans="1:15">
      <c r="A729" s="44" t="s">
        <v>637</v>
      </c>
      <c r="B729" s="86">
        <v>45230</v>
      </c>
      <c r="C729" s="44" t="s">
        <v>646</v>
      </c>
      <c r="D729" s="44" t="s">
        <v>1296</v>
      </c>
      <c r="E729" s="44" t="s">
        <v>640</v>
      </c>
      <c r="F729" s="44" t="s">
        <v>641</v>
      </c>
      <c r="G729" s="44" t="s">
        <v>1899</v>
      </c>
      <c r="H729" s="44" t="s">
        <v>643</v>
      </c>
      <c r="I729" s="44" t="s">
        <v>429</v>
      </c>
      <c r="J729" s="44" t="s">
        <v>644</v>
      </c>
      <c r="K729" s="44" t="s">
        <v>14</v>
      </c>
      <c r="L729" s="104">
        <v>57418.91</v>
      </c>
      <c r="M729" s="104">
        <v>54168.78</v>
      </c>
      <c r="N729" s="104">
        <v>3250.13</v>
      </c>
      <c r="O729" s="44" t="s">
        <v>2603</v>
      </c>
    </row>
    <row r="730" hidden="1" customHeight="1" spans="1:15">
      <c r="A730" s="44" t="s">
        <v>637</v>
      </c>
      <c r="B730" s="86">
        <v>45230</v>
      </c>
      <c r="C730" s="44" t="s">
        <v>646</v>
      </c>
      <c r="D730" s="44" t="s">
        <v>1296</v>
      </c>
      <c r="E730" s="44" t="s">
        <v>640</v>
      </c>
      <c r="F730" s="44" t="s">
        <v>641</v>
      </c>
      <c r="G730" s="44" t="s">
        <v>1899</v>
      </c>
      <c r="H730" s="44" t="s">
        <v>643</v>
      </c>
      <c r="I730" s="44" t="s">
        <v>1982</v>
      </c>
      <c r="J730" s="44" t="s">
        <v>644</v>
      </c>
      <c r="K730" s="44" t="s">
        <v>14</v>
      </c>
      <c r="L730" s="104">
        <v>288329.21</v>
      </c>
      <c r="M730" s="104">
        <v>272008.69</v>
      </c>
      <c r="N730" s="104">
        <v>16320.52</v>
      </c>
      <c r="O730" s="44" t="s">
        <v>2604</v>
      </c>
    </row>
    <row r="731" hidden="1" customHeight="1" spans="1:15">
      <c r="A731" s="44" t="s">
        <v>637</v>
      </c>
      <c r="B731" s="86">
        <v>45230</v>
      </c>
      <c r="C731" s="44" t="s">
        <v>646</v>
      </c>
      <c r="D731" s="44" t="s">
        <v>1296</v>
      </c>
      <c r="E731" s="44" t="s">
        <v>640</v>
      </c>
      <c r="F731" s="44" t="s">
        <v>641</v>
      </c>
      <c r="G731" s="44" t="s">
        <v>1899</v>
      </c>
      <c r="H731" s="44" t="s">
        <v>650</v>
      </c>
      <c r="I731" s="44" t="s">
        <v>2007</v>
      </c>
      <c r="J731" s="44" t="s">
        <v>644</v>
      </c>
      <c r="K731" s="44" t="s">
        <v>14</v>
      </c>
      <c r="L731" s="104">
        <v>25.69</v>
      </c>
      <c r="M731" s="104">
        <v>24.24</v>
      </c>
      <c r="N731" s="104">
        <v>1.45</v>
      </c>
      <c r="O731" s="44" t="s">
        <v>2605</v>
      </c>
    </row>
    <row r="732" hidden="1" customHeight="1" spans="1:15">
      <c r="A732" s="44" t="s">
        <v>637</v>
      </c>
      <c r="B732" s="86">
        <v>45230</v>
      </c>
      <c r="C732" s="44" t="s">
        <v>646</v>
      </c>
      <c r="D732" s="44" t="s">
        <v>1902</v>
      </c>
      <c r="E732" s="44" t="s">
        <v>640</v>
      </c>
      <c r="F732" s="44" t="s">
        <v>641</v>
      </c>
      <c r="G732" s="44" t="s">
        <v>1899</v>
      </c>
      <c r="H732" s="44" t="s">
        <v>643</v>
      </c>
      <c r="I732" s="44" t="s">
        <v>466</v>
      </c>
      <c r="J732" s="44" t="s">
        <v>656</v>
      </c>
      <c r="K732" s="44" t="s">
        <v>14</v>
      </c>
      <c r="L732" s="104">
        <v>9631.15</v>
      </c>
      <c r="M732" s="104">
        <v>9085.99</v>
      </c>
      <c r="N732" s="104">
        <v>545.16</v>
      </c>
      <c r="O732" s="44" t="s">
        <v>2606</v>
      </c>
    </row>
    <row r="733" hidden="1" customHeight="1" spans="1:15">
      <c r="A733" s="44" t="s">
        <v>637</v>
      </c>
      <c r="B733" s="86">
        <v>45230</v>
      </c>
      <c r="C733" s="44" t="s">
        <v>646</v>
      </c>
      <c r="D733" s="44" t="s">
        <v>1296</v>
      </c>
      <c r="E733" s="44" t="s">
        <v>640</v>
      </c>
      <c r="F733" s="44" t="s">
        <v>641</v>
      </c>
      <c r="G733" s="44" t="s">
        <v>1899</v>
      </c>
      <c r="H733" s="44" t="s">
        <v>650</v>
      </c>
      <c r="I733" s="44" t="s">
        <v>2044</v>
      </c>
      <c r="J733" s="44" t="s">
        <v>644</v>
      </c>
      <c r="K733" s="44" t="s">
        <v>20</v>
      </c>
      <c r="L733" s="104">
        <v>400</v>
      </c>
      <c r="M733" s="104">
        <v>377.36</v>
      </c>
      <c r="N733" s="104">
        <v>22.64</v>
      </c>
      <c r="O733" s="44" t="s">
        <v>2607</v>
      </c>
    </row>
    <row r="734" hidden="1" customHeight="1" spans="1:15">
      <c r="A734" s="44" t="s">
        <v>637</v>
      </c>
      <c r="B734" s="86">
        <v>45230</v>
      </c>
      <c r="C734" s="44" t="s">
        <v>646</v>
      </c>
      <c r="D734" s="44" t="s">
        <v>1296</v>
      </c>
      <c r="E734" s="44" t="s">
        <v>640</v>
      </c>
      <c r="F734" s="44" t="s">
        <v>641</v>
      </c>
      <c r="G734" s="44" t="s">
        <v>1899</v>
      </c>
      <c r="H734" s="44" t="s">
        <v>650</v>
      </c>
      <c r="I734" s="44" t="s">
        <v>779</v>
      </c>
      <c r="J734" s="44" t="s">
        <v>644</v>
      </c>
      <c r="K734" s="44" t="s">
        <v>14</v>
      </c>
      <c r="L734" s="104">
        <v>11990.38</v>
      </c>
      <c r="M734" s="104">
        <v>11311.68</v>
      </c>
      <c r="N734" s="104">
        <v>678.7</v>
      </c>
      <c r="O734" s="44" t="s">
        <v>2608</v>
      </c>
    </row>
    <row r="735" hidden="1" customHeight="1" spans="1:15">
      <c r="A735" s="44" t="s">
        <v>637</v>
      </c>
      <c r="B735" s="86">
        <v>45230</v>
      </c>
      <c r="C735" s="44" t="s">
        <v>646</v>
      </c>
      <c r="D735" s="44" t="s">
        <v>1296</v>
      </c>
      <c r="E735" s="44" t="s">
        <v>640</v>
      </c>
      <c r="F735" s="44" t="s">
        <v>641</v>
      </c>
      <c r="G735" s="44" t="s">
        <v>1899</v>
      </c>
      <c r="H735" s="44" t="s">
        <v>650</v>
      </c>
      <c r="I735" s="44" t="s">
        <v>461</v>
      </c>
      <c r="J735" s="44" t="s">
        <v>644</v>
      </c>
      <c r="K735" s="44" t="s">
        <v>14</v>
      </c>
      <c r="L735" s="104">
        <v>7764.79</v>
      </c>
      <c r="M735" s="104">
        <v>7325.27</v>
      </c>
      <c r="N735" s="104">
        <v>439.52</v>
      </c>
      <c r="O735" s="44" t="s">
        <v>2609</v>
      </c>
    </row>
    <row r="736" hidden="1" customHeight="1" spans="1:15">
      <c r="A736" s="44" t="s">
        <v>637</v>
      </c>
      <c r="B736" s="86">
        <v>45230</v>
      </c>
      <c r="C736" s="44" t="s">
        <v>646</v>
      </c>
      <c r="D736" s="44" t="s">
        <v>726</v>
      </c>
      <c r="E736" s="44" t="s">
        <v>640</v>
      </c>
      <c r="F736" s="44" t="s">
        <v>641</v>
      </c>
      <c r="G736" s="44" t="s">
        <v>1899</v>
      </c>
      <c r="H736" s="44" t="s">
        <v>650</v>
      </c>
      <c r="I736" s="44" t="s">
        <v>1938</v>
      </c>
      <c r="J736" s="44" t="s">
        <v>656</v>
      </c>
      <c r="K736" s="44" t="s">
        <v>14</v>
      </c>
      <c r="L736" s="104">
        <v>37312.44</v>
      </c>
      <c r="M736" s="104">
        <v>35200.42</v>
      </c>
      <c r="N736" s="104">
        <v>2112.02</v>
      </c>
      <c r="O736" s="44" t="s">
        <v>2610</v>
      </c>
    </row>
    <row r="737" hidden="1" customHeight="1" spans="1:15">
      <c r="A737" s="44" t="s">
        <v>637</v>
      </c>
      <c r="B737" s="86">
        <v>45230</v>
      </c>
      <c r="C737" s="44" t="s">
        <v>646</v>
      </c>
      <c r="D737" s="44" t="s">
        <v>2483</v>
      </c>
      <c r="E737" s="44" t="s">
        <v>640</v>
      </c>
      <c r="F737" s="44" t="s">
        <v>641</v>
      </c>
      <c r="G737" s="44" t="s">
        <v>1899</v>
      </c>
      <c r="H737" s="44" t="s">
        <v>650</v>
      </c>
      <c r="I737" s="44" t="s">
        <v>1953</v>
      </c>
      <c r="J737" s="44" t="s">
        <v>656</v>
      </c>
      <c r="K737" s="44" t="s">
        <v>166</v>
      </c>
      <c r="L737" s="104">
        <v>-2868.64</v>
      </c>
      <c r="M737" s="104">
        <v>-2706.26</v>
      </c>
      <c r="N737" s="104">
        <v>-162.38</v>
      </c>
      <c r="O737" s="44" t="s">
        <v>2611</v>
      </c>
    </row>
    <row r="738" hidden="1" customHeight="1" spans="1:15">
      <c r="A738" s="44" t="s">
        <v>637</v>
      </c>
      <c r="B738" s="86">
        <v>45230</v>
      </c>
      <c r="C738" s="44" t="s">
        <v>646</v>
      </c>
      <c r="D738" s="44" t="s">
        <v>726</v>
      </c>
      <c r="E738" s="44" t="s">
        <v>1898</v>
      </c>
      <c r="F738" s="44" t="s">
        <v>641</v>
      </c>
      <c r="G738" s="44" t="s">
        <v>1899</v>
      </c>
      <c r="H738" s="44" t="s">
        <v>643</v>
      </c>
      <c r="I738" s="44" t="s">
        <v>466</v>
      </c>
      <c r="J738" s="44" t="s">
        <v>656</v>
      </c>
      <c r="K738" s="44" t="s">
        <v>14</v>
      </c>
      <c r="L738" s="104">
        <v>779270.69</v>
      </c>
      <c r="M738" s="104">
        <v>735161.03</v>
      </c>
      <c r="N738" s="104">
        <v>44109.66</v>
      </c>
      <c r="O738" s="44" t="s">
        <v>2612</v>
      </c>
    </row>
    <row r="739" hidden="1" customHeight="1" spans="1:15">
      <c r="A739" s="44" t="s">
        <v>637</v>
      </c>
      <c r="B739" s="86">
        <v>45230</v>
      </c>
      <c r="C739" s="44" t="s">
        <v>646</v>
      </c>
      <c r="D739" s="44" t="s">
        <v>726</v>
      </c>
      <c r="E739" s="44" t="s">
        <v>1898</v>
      </c>
      <c r="F739" s="44" t="s">
        <v>641</v>
      </c>
      <c r="G739" s="44" t="s">
        <v>1899</v>
      </c>
      <c r="H739" s="44" t="s">
        <v>643</v>
      </c>
      <c r="I739" s="44" t="s">
        <v>1906</v>
      </c>
      <c r="J739" s="44" t="s">
        <v>644</v>
      </c>
      <c r="K739" s="44" t="s">
        <v>14</v>
      </c>
      <c r="L739" s="104">
        <v>57643.49</v>
      </c>
      <c r="M739" s="104">
        <v>54380.65</v>
      </c>
      <c r="N739" s="104">
        <v>3262.84</v>
      </c>
      <c r="O739" s="44" t="s">
        <v>2613</v>
      </c>
    </row>
    <row r="740" hidden="1" customHeight="1" spans="1:15">
      <c r="A740" s="44" t="s">
        <v>637</v>
      </c>
      <c r="B740" s="86">
        <v>45230</v>
      </c>
      <c r="C740" s="44" t="s">
        <v>646</v>
      </c>
      <c r="D740" s="44" t="s">
        <v>1902</v>
      </c>
      <c r="E740" s="44" t="s">
        <v>1898</v>
      </c>
      <c r="F740" s="44" t="s">
        <v>641</v>
      </c>
      <c r="G740" s="44" t="s">
        <v>1899</v>
      </c>
      <c r="H740" s="44" t="s">
        <v>643</v>
      </c>
      <c r="I740" s="44" t="s">
        <v>436</v>
      </c>
      <c r="J740" s="44" t="s">
        <v>644</v>
      </c>
      <c r="K740" s="44" t="s">
        <v>350</v>
      </c>
      <c r="L740" s="104">
        <v>18655.92</v>
      </c>
      <c r="M740" s="104">
        <v>17599.92</v>
      </c>
      <c r="N740" s="104">
        <v>1056</v>
      </c>
      <c r="O740" s="44" t="s">
        <v>2614</v>
      </c>
    </row>
    <row r="741" hidden="1" customHeight="1" spans="1:15">
      <c r="A741" s="44" t="s">
        <v>637</v>
      </c>
      <c r="B741" s="86">
        <v>45230</v>
      </c>
      <c r="C741" s="44" t="s">
        <v>646</v>
      </c>
      <c r="D741" s="44" t="s">
        <v>726</v>
      </c>
      <c r="E741" s="44" t="s">
        <v>1898</v>
      </c>
      <c r="F741" s="44" t="s">
        <v>641</v>
      </c>
      <c r="G741" s="44" t="s">
        <v>1899</v>
      </c>
      <c r="H741" s="44" t="s">
        <v>650</v>
      </c>
      <c r="I741" s="44" t="s">
        <v>461</v>
      </c>
      <c r="J741" s="44" t="s">
        <v>656</v>
      </c>
      <c r="K741" s="44" t="s">
        <v>14</v>
      </c>
      <c r="L741" s="104">
        <v>76487.64</v>
      </c>
      <c r="M741" s="104">
        <v>72158.15</v>
      </c>
      <c r="N741" s="104">
        <v>4329.49</v>
      </c>
      <c r="O741" s="44" t="s">
        <v>2615</v>
      </c>
    </row>
    <row r="742" hidden="1" customHeight="1" spans="1:15">
      <c r="A742" s="44" t="s">
        <v>637</v>
      </c>
      <c r="B742" s="86">
        <v>45230</v>
      </c>
      <c r="C742" s="44" t="s">
        <v>646</v>
      </c>
      <c r="D742" s="44" t="s">
        <v>1296</v>
      </c>
      <c r="E742" s="44" t="s">
        <v>1898</v>
      </c>
      <c r="F742" s="44" t="s">
        <v>641</v>
      </c>
      <c r="G742" s="44" t="s">
        <v>1899</v>
      </c>
      <c r="H742" s="44" t="s">
        <v>643</v>
      </c>
      <c r="I742" s="44" t="s">
        <v>466</v>
      </c>
      <c r="J742" s="44" t="s">
        <v>656</v>
      </c>
      <c r="K742" s="44" t="s">
        <v>14</v>
      </c>
      <c r="L742" s="104">
        <v>176235.4</v>
      </c>
      <c r="M742" s="104">
        <v>166259.81</v>
      </c>
      <c r="N742" s="104">
        <v>9975.59</v>
      </c>
      <c r="O742" s="44" t="s">
        <v>2616</v>
      </c>
    </row>
    <row r="743" hidden="1" customHeight="1" spans="1:15">
      <c r="A743" s="44" t="s">
        <v>637</v>
      </c>
      <c r="B743" s="86">
        <v>45230</v>
      </c>
      <c r="C743" s="44" t="s">
        <v>646</v>
      </c>
      <c r="D743" s="44" t="s">
        <v>726</v>
      </c>
      <c r="E743" s="44" t="s">
        <v>1898</v>
      </c>
      <c r="F743" s="44" t="s">
        <v>641</v>
      </c>
      <c r="G743" s="44" t="s">
        <v>1899</v>
      </c>
      <c r="H743" s="44" t="s">
        <v>697</v>
      </c>
      <c r="I743" s="44" t="s">
        <v>1908</v>
      </c>
      <c r="J743" s="44" t="s">
        <v>656</v>
      </c>
      <c r="K743" s="44" t="s">
        <v>350</v>
      </c>
      <c r="L743" s="104">
        <v>3959.98</v>
      </c>
      <c r="M743" s="104">
        <v>3735.83</v>
      </c>
      <c r="N743" s="104">
        <v>224.15</v>
      </c>
      <c r="O743" s="44" t="s">
        <v>2617</v>
      </c>
    </row>
    <row r="744" hidden="1" customHeight="1" spans="1:15">
      <c r="A744" s="44" t="s">
        <v>637</v>
      </c>
      <c r="B744" s="86">
        <v>45230</v>
      </c>
      <c r="C744" s="44" t="s">
        <v>646</v>
      </c>
      <c r="D744" s="44" t="s">
        <v>1902</v>
      </c>
      <c r="E744" s="44" t="s">
        <v>1898</v>
      </c>
      <c r="F744" s="44" t="s">
        <v>641</v>
      </c>
      <c r="G744" s="44" t="s">
        <v>1899</v>
      </c>
      <c r="H744" s="44" t="s">
        <v>643</v>
      </c>
      <c r="I744" s="44" t="s">
        <v>466</v>
      </c>
      <c r="J744" s="44" t="s">
        <v>656</v>
      </c>
      <c r="K744" s="44" t="s">
        <v>14</v>
      </c>
      <c r="L744" s="104">
        <v>451897.23</v>
      </c>
      <c r="M744" s="104">
        <v>426318.14</v>
      </c>
      <c r="N744" s="104">
        <v>25579.09</v>
      </c>
      <c r="O744" s="44" t="s">
        <v>2618</v>
      </c>
    </row>
    <row r="745" hidden="1" customHeight="1" spans="1:15">
      <c r="A745" s="44" t="s">
        <v>637</v>
      </c>
      <c r="B745" s="86">
        <v>45230</v>
      </c>
      <c r="C745" s="44" t="s">
        <v>700</v>
      </c>
      <c r="D745" s="44" t="s">
        <v>1902</v>
      </c>
      <c r="E745" s="44" t="s">
        <v>640</v>
      </c>
      <c r="F745" s="44" t="s">
        <v>641</v>
      </c>
      <c r="G745" s="44" t="s">
        <v>1899</v>
      </c>
      <c r="H745" s="44" t="s">
        <v>643</v>
      </c>
      <c r="I745" s="44" t="s">
        <v>442</v>
      </c>
      <c r="J745" s="44" t="s">
        <v>656</v>
      </c>
      <c r="K745" s="44" t="s">
        <v>14</v>
      </c>
      <c r="L745" s="104">
        <v>20348.98</v>
      </c>
      <c r="M745" s="104">
        <v>19197.15</v>
      </c>
      <c r="N745" s="104">
        <v>1151.83</v>
      </c>
      <c r="O745" s="44" t="s">
        <v>2619</v>
      </c>
    </row>
    <row r="746" hidden="1" customHeight="1" spans="1:15">
      <c r="A746" s="44" t="s">
        <v>637</v>
      </c>
      <c r="B746" s="86">
        <v>45230</v>
      </c>
      <c r="C746" s="44" t="s">
        <v>646</v>
      </c>
      <c r="D746" s="44" t="s">
        <v>726</v>
      </c>
      <c r="E746" s="44" t="s">
        <v>1898</v>
      </c>
      <c r="F746" s="44" t="s">
        <v>641</v>
      </c>
      <c r="G746" s="44" t="s">
        <v>1899</v>
      </c>
      <c r="H746" s="44" t="s">
        <v>650</v>
      </c>
      <c r="I746" s="44" t="s">
        <v>779</v>
      </c>
      <c r="J746" s="44" t="s">
        <v>644</v>
      </c>
      <c r="K746" s="44" t="s">
        <v>14</v>
      </c>
      <c r="L746" s="104">
        <v>117000</v>
      </c>
      <c r="M746" s="104">
        <v>110377.36</v>
      </c>
      <c r="N746" s="104">
        <v>6622.64</v>
      </c>
      <c r="O746" s="44" t="s">
        <v>2620</v>
      </c>
    </row>
    <row r="747" hidden="1" customHeight="1" spans="1:15">
      <c r="A747" s="44" t="s">
        <v>637</v>
      </c>
      <c r="B747" s="86">
        <v>45230</v>
      </c>
      <c r="C747" s="44" t="s">
        <v>646</v>
      </c>
      <c r="D747" s="44" t="s">
        <v>1284</v>
      </c>
      <c r="E747" s="44" t="s">
        <v>1898</v>
      </c>
      <c r="F747" s="44" t="s">
        <v>641</v>
      </c>
      <c r="G747" s="44" t="s">
        <v>1899</v>
      </c>
      <c r="H747" s="44" t="s">
        <v>643</v>
      </c>
      <c r="I747" s="44" t="s">
        <v>466</v>
      </c>
      <c r="J747" s="44" t="s">
        <v>656</v>
      </c>
      <c r="K747" s="44" t="s">
        <v>14</v>
      </c>
      <c r="L747" s="104">
        <v>264464.31</v>
      </c>
      <c r="M747" s="104">
        <v>249494.63</v>
      </c>
      <c r="N747" s="104">
        <v>14969.68</v>
      </c>
      <c r="O747" s="44" t="s">
        <v>2621</v>
      </c>
    </row>
    <row r="748" hidden="1" customHeight="1" spans="1:15">
      <c r="A748" s="44" t="s">
        <v>637</v>
      </c>
      <c r="B748" s="86">
        <v>45230</v>
      </c>
      <c r="C748" s="44" t="s">
        <v>646</v>
      </c>
      <c r="D748" s="44" t="s">
        <v>1902</v>
      </c>
      <c r="E748" s="44" t="s">
        <v>1898</v>
      </c>
      <c r="F748" s="44" t="s">
        <v>641</v>
      </c>
      <c r="G748" s="44" t="s">
        <v>1899</v>
      </c>
      <c r="H748" s="44" t="s">
        <v>650</v>
      </c>
      <c r="I748" s="44" t="s">
        <v>779</v>
      </c>
      <c r="J748" s="44" t="s">
        <v>644</v>
      </c>
      <c r="K748" s="44" t="s">
        <v>14</v>
      </c>
      <c r="L748" s="104">
        <v>20000</v>
      </c>
      <c r="M748" s="104">
        <v>18867.92</v>
      </c>
      <c r="N748" s="104">
        <v>1132.08</v>
      </c>
      <c r="O748" s="44" t="s">
        <v>2622</v>
      </c>
    </row>
    <row r="749" hidden="1" customHeight="1" spans="1:15">
      <c r="A749" s="44" t="s">
        <v>637</v>
      </c>
      <c r="B749" s="86">
        <v>45230</v>
      </c>
      <c r="C749" s="44" t="s">
        <v>646</v>
      </c>
      <c r="D749" s="44" t="s">
        <v>1284</v>
      </c>
      <c r="E749" s="44" t="s">
        <v>1898</v>
      </c>
      <c r="F749" s="44" t="s">
        <v>641</v>
      </c>
      <c r="G749" s="44" t="s">
        <v>1899</v>
      </c>
      <c r="H749" s="44" t="s">
        <v>650</v>
      </c>
      <c r="I749" s="44" t="s">
        <v>779</v>
      </c>
      <c r="J749" s="44" t="s">
        <v>644</v>
      </c>
      <c r="K749" s="44" t="s">
        <v>14</v>
      </c>
      <c r="L749" s="104">
        <v>20000</v>
      </c>
      <c r="M749" s="104">
        <v>18867.92</v>
      </c>
      <c r="N749" s="104">
        <v>1132.08</v>
      </c>
      <c r="O749" s="44" t="s">
        <v>2623</v>
      </c>
    </row>
    <row r="750" hidden="1" customHeight="1" spans="1:15">
      <c r="A750" s="44" t="s">
        <v>637</v>
      </c>
      <c r="B750" s="86">
        <v>45230</v>
      </c>
      <c r="C750" s="44" t="s">
        <v>700</v>
      </c>
      <c r="D750" s="44" t="s">
        <v>2134</v>
      </c>
      <c r="E750" s="44" t="s">
        <v>640</v>
      </c>
      <c r="F750" s="44" t="s">
        <v>641</v>
      </c>
      <c r="G750" s="44" t="s">
        <v>1899</v>
      </c>
      <c r="H750" s="44" t="s">
        <v>643</v>
      </c>
      <c r="I750" s="44" t="s">
        <v>442</v>
      </c>
      <c r="J750" s="44" t="s">
        <v>656</v>
      </c>
      <c r="K750" s="44" t="s">
        <v>14</v>
      </c>
      <c r="L750" s="104">
        <v>5339.86</v>
      </c>
      <c r="M750" s="104">
        <v>5037.6</v>
      </c>
      <c r="N750" s="104">
        <v>302.26</v>
      </c>
      <c r="O750" s="44" t="s">
        <v>2624</v>
      </c>
    </row>
    <row r="751" hidden="1" customHeight="1" spans="1:15">
      <c r="A751" s="44" t="s">
        <v>637</v>
      </c>
      <c r="B751" s="86">
        <v>45230</v>
      </c>
      <c r="C751" s="44" t="s">
        <v>700</v>
      </c>
      <c r="D751" s="44" t="s">
        <v>1902</v>
      </c>
      <c r="E751" s="44" t="s">
        <v>640</v>
      </c>
      <c r="F751" s="44" t="s">
        <v>641</v>
      </c>
      <c r="G751" s="44" t="s">
        <v>1901</v>
      </c>
      <c r="H751" s="44" t="s">
        <v>650</v>
      </c>
      <c r="I751" s="44" t="s">
        <v>442</v>
      </c>
      <c r="J751" s="44" t="s">
        <v>656</v>
      </c>
      <c r="K751" s="44" t="s">
        <v>14</v>
      </c>
      <c r="L751" s="104">
        <v>8531.28</v>
      </c>
      <c r="M751" s="104">
        <v>8048.38</v>
      </c>
      <c r="N751" s="104">
        <v>482.9</v>
      </c>
      <c r="O751" s="44" t="s">
        <v>2625</v>
      </c>
    </row>
    <row r="752" hidden="1" customHeight="1" spans="1:15">
      <c r="A752" s="44" t="s">
        <v>637</v>
      </c>
      <c r="B752" s="86">
        <v>45230</v>
      </c>
      <c r="C752" s="44" t="s">
        <v>700</v>
      </c>
      <c r="D752" s="44" t="s">
        <v>1902</v>
      </c>
      <c r="E752" s="44" t="s">
        <v>1898</v>
      </c>
      <c r="F752" s="44" t="s">
        <v>641</v>
      </c>
      <c r="G752" s="44" t="s">
        <v>1899</v>
      </c>
      <c r="H752" s="44" t="s">
        <v>643</v>
      </c>
      <c r="I752" s="44" t="s">
        <v>442</v>
      </c>
      <c r="J752" s="44" t="s">
        <v>656</v>
      </c>
      <c r="K752" s="44" t="s">
        <v>14</v>
      </c>
      <c r="L752" s="104">
        <v>55914.02</v>
      </c>
      <c r="M752" s="104">
        <v>52749.08</v>
      </c>
      <c r="N752" s="104">
        <v>3164.94</v>
      </c>
      <c r="O752" s="44" t="s">
        <v>2626</v>
      </c>
    </row>
    <row r="753" hidden="1" customHeight="1" spans="1:15">
      <c r="A753" s="44" t="s">
        <v>637</v>
      </c>
      <c r="B753" s="86">
        <v>45230</v>
      </c>
      <c r="C753" s="44" t="s">
        <v>730</v>
      </c>
      <c r="D753" s="44" t="s">
        <v>2483</v>
      </c>
      <c r="E753" s="44" t="s">
        <v>640</v>
      </c>
      <c r="F753" s="44" t="s">
        <v>641</v>
      </c>
      <c r="G753" s="44" t="s">
        <v>1899</v>
      </c>
      <c r="H753" s="44" t="s">
        <v>650</v>
      </c>
      <c r="I753" s="44" t="s">
        <v>1941</v>
      </c>
      <c r="J753" s="44" t="s">
        <v>656</v>
      </c>
      <c r="K753" s="44" t="s">
        <v>166</v>
      </c>
      <c r="L753" s="104">
        <v>45000</v>
      </c>
      <c r="M753" s="104">
        <v>42452.83</v>
      </c>
      <c r="N753" s="104">
        <v>2547.17</v>
      </c>
      <c r="O753" s="44" t="s">
        <v>2627</v>
      </c>
    </row>
    <row r="754" hidden="1" customHeight="1" spans="1:15">
      <c r="A754" s="44" t="s">
        <v>637</v>
      </c>
      <c r="B754" s="86">
        <v>45230</v>
      </c>
      <c r="C754" s="44" t="s">
        <v>730</v>
      </c>
      <c r="D754" s="44" t="s">
        <v>2483</v>
      </c>
      <c r="E754" s="44" t="s">
        <v>640</v>
      </c>
      <c r="F754" s="44" t="s">
        <v>641</v>
      </c>
      <c r="G754" s="44" t="s">
        <v>1899</v>
      </c>
      <c r="H754" s="44" t="s">
        <v>650</v>
      </c>
      <c r="I754" s="44" t="s">
        <v>1951</v>
      </c>
      <c r="J754" s="44" t="s">
        <v>656</v>
      </c>
      <c r="K754" s="44" t="s">
        <v>166</v>
      </c>
      <c r="L754" s="104">
        <v>-498.72</v>
      </c>
      <c r="M754" s="104">
        <v>-470.49</v>
      </c>
      <c r="N754" s="104">
        <v>-28.23</v>
      </c>
      <c r="O754" s="44" t="s">
        <v>2628</v>
      </c>
    </row>
    <row r="755" hidden="1" customHeight="1" spans="1:15">
      <c r="A755" s="44" t="s">
        <v>637</v>
      </c>
      <c r="B755" s="86">
        <v>45230</v>
      </c>
      <c r="C755" s="44" t="s">
        <v>2102</v>
      </c>
      <c r="D755" s="44" t="s">
        <v>1296</v>
      </c>
      <c r="E755" s="44" t="s">
        <v>640</v>
      </c>
      <c r="F755" s="44" t="s">
        <v>641</v>
      </c>
      <c r="G755" s="44" t="s">
        <v>1899</v>
      </c>
      <c r="H755" s="44" t="s">
        <v>643</v>
      </c>
      <c r="I755" s="44" t="s">
        <v>486</v>
      </c>
      <c r="J755" s="44" t="s">
        <v>656</v>
      </c>
      <c r="K755" s="44" t="s">
        <v>14</v>
      </c>
      <c r="L755" s="104">
        <v>102132.58</v>
      </c>
      <c r="M755" s="104">
        <v>96351.49</v>
      </c>
      <c r="N755" s="104">
        <v>5781.09</v>
      </c>
      <c r="O755" s="44" t="s">
        <v>2629</v>
      </c>
    </row>
    <row r="756" hidden="1" customHeight="1" spans="1:15">
      <c r="A756" s="44" t="s">
        <v>637</v>
      </c>
      <c r="B756" s="86">
        <v>45230</v>
      </c>
      <c r="C756" s="44" t="s">
        <v>730</v>
      </c>
      <c r="D756" s="44" t="s">
        <v>2483</v>
      </c>
      <c r="E756" s="44" t="s">
        <v>640</v>
      </c>
      <c r="F756" s="44" t="s">
        <v>641</v>
      </c>
      <c r="G756" s="44" t="s">
        <v>1899</v>
      </c>
      <c r="H756" s="44" t="s">
        <v>650</v>
      </c>
      <c r="I756" s="44" t="s">
        <v>1941</v>
      </c>
      <c r="J756" s="44" t="s">
        <v>656</v>
      </c>
      <c r="K756" s="44" t="s">
        <v>166</v>
      </c>
      <c r="L756" s="104">
        <v>-12500</v>
      </c>
      <c r="M756" s="104">
        <v>-11792.45</v>
      </c>
      <c r="N756" s="104">
        <v>-707.55</v>
      </c>
      <c r="O756" s="44" t="s">
        <v>2630</v>
      </c>
    </row>
    <row r="757" hidden="1" customHeight="1" spans="1:15">
      <c r="A757" s="44" t="s">
        <v>637</v>
      </c>
      <c r="B757" s="86">
        <v>45230</v>
      </c>
      <c r="C757" s="44" t="s">
        <v>730</v>
      </c>
      <c r="D757" s="44" t="s">
        <v>2483</v>
      </c>
      <c r="E757" s="44" t="s">
        <v>640</v>
      </c>
      <c r="F757" s="44" t="s">
        <v>641</v>
      </c>
      <c r="G757" s="44" t="s">
        <v>1899</v>
      </c>
      <c r="H757" s="44" t="s">
        <v>650</v>
      </c>
      <c r="I757" s="44" t="s">
        <v>1951</v>
      </c>
      <c r="J757" s="44" t="s">
        <v>656</v>
      </c>
      <c r="K757" s="44" t="s">
        <v>166</v>
      </c>
      <c r="L757" s="104">
        <v>13718.2</v>
      </c>
      <c r="M757" s="104">
        <v>12941.7</v>
      </c>
      <c r="N757" s="104">
        <v>776.5</v>
      </c>
      <c r="O757" s="44" t="s">
        <v>2631</v>
      </c>
    </row>
    <row r="758" hidden="1" customHeight="1" spans="1:15">
      <c r="A758" s="44" t="s">
        <v>637</v>
      </c>
      <c r="B758" s="86">
        <v>45230</v>
      </c>
      <c r="C758" s="44" t="s">
        <v>811</v>
      </c>
      <c r="D758" s="44" t="s">
        <v>653</v>
      </c>
      <c r="E758" s="44" t="s">
        <v>640</v>
      </c>
      <c r="F758" s="44" t="s">
        <v>641</v>
      </c>
      <c r="G758" s="44" t="s">
        <v>1901</v>
      </c>
      <c r="H758" s="44" t="s">
        <v>650</v>
      </c>
      <c r="I758" s="44" t="s">
        <v>433</v>
      </c>
      <c r="J758" s="44" t="s">
        <v>656</v>
      </c>
      <c r="K758" s="44" t="s">
        <v>166</v>
      </c>
      <c r="L758" s="104">
        <v>21487.85</v>
      </c>
      <c r="M758" s="104">
        <v>20271.56</v>
      </c>
      <c r="N758" s="104">
        <v>1216.29</v>
      </c>
      <c r="O758" s="44" t="s">
        <v>2632</v>
      </c>
    </row>
    <row r="759" hidden="1" customHeight="1" spans="1:15">
      <c r="A759" s="44" t="s">
        <v>637</v>
      </c>
      <c r="B759" s="86">
        <v>45230</v>
      </c>
      <c r="C759" s="44" t="s">
        <v>811</v>
      </c>
      <c r="D759" s="44" t="s">
        <v>653</v>
      </c>
      <c r="E759" s="44" t="s">
        <v>640</v>
      </c>
      <c r="F759" s="44" t="s">
        <v>641</v>
      </c>
      <c r="G759" s="44" t="s">
        <v>1899</v>
      </c>
      <c r="H759" s="44" t="s">
        <v>650</v>
      </c>
      <c r="I759" s="44" t="s">
        <v>433</v>
      </c>
      <c r="J759" s="44" t="s">
        <v>656</v>
      </c>
      <c r="K759" s="44" t="s">
        <v>166</v>
      </c>
      <c r="L759" s="104">
        <v>2000000</v>
      </c>
      <c r="M759" s="104">
        <v>1886792.45</v>
      </c>
      <c r="N759" s="104">
        <v>113207.55</v>
      </c>
      <c r="O759" s="44" t="s">
        <v>2633</v>
      </c>
    </row>
    <row r="760" hidden="1" customHeight="1" spans="1:15">
      <c r="A760" s="44" t="s">
        <v>637</v>
      </c>
      <c r="B760" s="86">
        <v>45230</v>
      </c>
      <c r="C760" s="44" t="s">
        <v>811</v>
      </c>
      <c r="D760" s="44" t="s">
        <v>653</v>
      </c>
      <c r="E760" s="44" t="s">
        <v>640</v>
      </c>
      <c r="F760" s="44" t="s">
        <v>641</v>
      </c>
      <c r="G760" s="44" t="s">
        <v>1899</v>
      </c>
      <c r="H760" s="44" t="s">
        <v>650</v>
      </c>
      <c r="I760" s="44" t="s">
        <v>435</v>
      </c>
      <c r="J760" s="44" t="s">
        <v>644</v>
      </c>
      <c r="K760" s="44" t="s">
        <v>166</v>
      </c>
      <c r="L760" s="104">
        <v>1600000</v>
      </c>
      <c r="M760" s="104">
        <v>1509433.96</v>
      </c>
      <c r="N760" s="104">
        <v>90566.04</v>
      </c>
      <c r="O760" s="44" t="s">
        <v>2634</v>
      </c>
    </row>
    <row r="761" hidden="1" customHeight="1" spans="1:15">
      <c r="A761" s="44" t="s">
        <v>637</v>
      </c>
      <c r="B761" s="86">
        <v>45230</v>
      </c>
      <c r="C761" s="44" t="s">
        <v>811</v>
      </c>
      <c r="D761" s="44" t="s">
        <v>653</v>
      </c>
      <c r="E761" s="44" t="s">
        <v>640</v>
      </c>
      <c r="F761" s="44" t="s">
        <v>641</v>
      </c>
      <c r="G761" s="44" t="s">
        <v>1899</v>
      </c>
      <c r="H761" s="44" t="s">
        <v>650</v>
      </c>
      <c r="I761" s="44" t="s">
        <v>433</v>
      </c>
      <c r="J761" s="44" t="s">
        <v>656</v>
      </c>
      <c r="K761" s="44" t="s">
        <v>166</v>
      </c>
      <c r="L761" s="104">
        <v>-28363</v>
      </c>
      <c r="M761" s="104">
        <v>-26757.55</v>
      </c>
      <c r="N761" s="104">
        <v>-1605.45</v>
      </c>
      <c r="O761" s="44" t="s">
        <v>2635</v>
      </c>
    </row>
    <row r="762" hidden="1" customHeight="1" spans="1:15">
      <c r="A762" s="44" t="s">
        <v>637</v>
      </c>
      <c r="B762" s="86">
        <v>45230</v>
      </c>
      <c r="C762" s="44" t="s">
        <v>811</v>
      </c>
      <c r="D762" s="44" t="s">
        <v>653</v>
      </c>
      <c r="E762" s="44" t="s">
        <v>640</v>
      </c>
      <c r="F762" s="44" t="s">
        <v>641</v>
      </c>
      <c r="G762" s="44" t="s">
        <v>1901</v>
      </c>
      <c r="H762" s="44" t="s">
        <v>650</v>
      </c>
      <c r="I762" s="44" t="s">
        <v>435</v>
      </c>
      <c r="J762" s="44" t="s">
        <v>644</v>
      </c>
      <c r="K762" s="44" t="s">
        <v>166</v>
      </c>
      <c r="L762" s="104">
        <v>276621.42</v>
      </c>
      <c r="M762" s="104">
        <v>260963.6</v>
      </c>
      <c r="N762" s="104">
        <v>15657.82</v>
      </c>
      <c r="O762" s="44" t="s">
        <v>2636</v>
      </c>
    </row>
    <row r="763" hidden="1" customHeight="1" spans="1:15">
      <c r="A763" s="44" t="s">
        <v>637</v>
      </c>
      <c r="B763" s="86">
        <v>45230</v>
      </c>
      <c r="C763" s="44" t="s">
        <v>811</v>
      </c>
      <c r="D763" s="44" t="s">
        <v>653</v>
      </c>
      <c r="E763" s="44" t="s">
        <v>640</v>
      </c>
      <c r="F763" s="44" t="s">
        <v>641</v>
      </c>
      <c r="G763" s="44" t="s">
        <v>1899</v>
      </c>
      <c r="H763" s="44" t="s">
        <v>650</v>
      </c>
      <c r="I763" s="44" t="s">
        <v>433</v>
      </c>
      <c r="J763" s="44" t="s">
        <v>656</v>
      </c>
      <c r="K763" s="44" t="s">
        <v>166</v>
      </c>
      <c r="L763" s="104">
        <v>50649.84</v>
      </c>
      <c r="M763" s="104">
        <v>47782.87</v>
      </c>
      <c r="N763" s="104">
        <v>2866.97</v>
      </c>
      <c r="O763" s="44" t="s">
        <v>2637</v>
      </c>
    </row>
    <row r="764" hidden="1" customHeight="1" spans="1:15">
      <c r="A764" s="44" t="s">
        <v>637</v>
      </c>
      <c r="B764" s="86">
        <v>45230</v>
      </c>
      <c r="C764" s="44" t="s">
        <v>811</v>
      </c>
      <c r="D764" s="44" t="s">
        <v>653</v>
      </c>
      <c r="E764" s="44" t="s">
        <v>640</v>
      </c>
      <c r="F764" s="44" t="s">
        <v>641</v>
      </c>
      <c r="G764" s="44" t="s">
        <v>1901</v>
      </c>
      <c r="H764" s="44" t="s">
        <v>650</v>
      </c>
      <c r="I764" s="44" t="s">
        <v>433</v>
      </c>
      <c r="J764" s="44" t="s">
        <v>656</v>
      </c>
      <c r="K764" s="44" t="s">
        <v>166</v>
      </c>
      <c r="L764" s="104">
        <v>9100</v>
      </c>
      <c r="M764" s="104">
        <v>8584.91</v>
      </c>
      <c r="N764" s="104">
        <v>515.09</v>
      </c>
      <c r="O764" s="44" t="s">
        <v>2638</v>
      </c>
    </row>
    <row r="765" hidden="1" customHeight="1" spans="1:15">
      <c r="A765" s="44" t="s">
        <v>637</v>
      </c>
      <c r="B765" s="86">
        <v>45230</v>
      </c>
      <c r="C765" s="44" t="s">
        <v>811</v>
      </c>
      <c r="D765" s="44" t="s">
        <v>653</v>
      </c>
      <c r="E765" s="44" t="s">
        <v>640</v>
      </c>
      <c r="F765" s="44" t="s">
        <v>641</v>
      </c>
      <c r="G765" s="44" t="s">
        <v>1899</v>
      </c>
      <c r="H765" s="44" t="s">
        <v>650</v>
      </c>
      <c r="I765" s="44" t="s">
        <v>435</v>
      </c>
      <c r="J765" s="44" t="s">
        <v>644</v>
      </c>
      <c r="K765" s="44" t="s">
        <v>166</v>
      </c>
      <c r="L765" s="104">
        <v>-1169484.23</v>
      </c>
      <c r="M765" s="104">
        <v>-1103287.01</v>
      </c>
      <c r="N765" s="104">
        <v>-66197.22</v>
      </c>
      <c r="O765" s="44" t="s">
        <v>2639</v>
      </c>
    </row>
    <row r="766" hidden="1" customHeight="1" spans="1:15">
      <c r="A766" s="44" t="s">
        <v>637</v>
      </c>
      <c r="B766" s="86">
        <v>45230</v>
      </c>
      <c r="C766" s="44" t="s">
        <v>748</v>
      </c>
      <c r="D766" s="44" t="s">
        <v>2483</v>
      </c>
      <c r="E766" s="44" t="s">
        <v>640</v>
      </c>
      <c r="F766" s="44" t="s">
        <v>641</v>
      </c>
      <c r="G766" s="44" t="s">
        <v>1899</v>
      </c>
      <c r="H766" s="44" t="s">
        <v>650</v>
      </c>
      <c r="I766" s="44" t="s">
        <v>1273</v>
      </c>
      <c r="J766" s="44" t="s">
        <v>656</v>
      </c>
      <c r="K766" s="44" t="s">
        <v>166</v>
      </c>
      <c r="L766" s="104">
        <v>140325.61</v>
      </c>
      <c r="M766" s="104">
        <v>132382.65</v>
      </c>
      <c r="N766" s="104">
        <v>7942.96</v>
      </c>
      <c r="O766" s="44" t="s">
        <v>2640</v>
      </c>
    </row>
    <row r="767" hidden="1" customHeight="1" spans="1:15">
      <c r="A767" s="44" t="s">
        <v>637</v>
      </c>
      <c r="B767" s="86">
        <v>45230</v>
      </c>
      <c r="C767" s="44" t="s">
        <v>748</v>
      </c>
      <c r="D767" s="44" t="s">
        <v>726</v>
      </c>
      <c r="E767" s="44" t="s">
        <v>640</v>
      </c>
      <c r="F767" s="44" t="s">
        <v>641</v>
      </c>
      <c r="G767" s="44" t="s">
        <v>1899</v>
      </c>
      <c r="H767" s="44" t="s">
        <v>643</v>
      </c>
      <c r="I767" s="44" t="s">
        <v>779</v>
      </c>
      <c r="J767" s="44" t="s">
        <v>656</v>
      </c>
      <c r="K767" s="44" t="s">
        <v>14</v>
      </c>
      <c r="L767" s="104">
        <v>5345.3</v>
      </c>
      <c r="M767" s="104">
        <v>5042.74</v>
      </c>
      <c r="N767" s="104">
        <v>302.56</v>
      </c>
      <c r="O767" s="44" t="s">
        <v>2641</v>
      </c>
    </row>
    <row r="768" hidden="1" customHeight="1" spans="1:15">
      <c r="A768" s="44" t="s">
        <v>637</v>
      </c>
      <c r="B768" s="86">
        <v>45230</v>
      </c>
      <c r="C768" s="44" t="s">
        <v>748</v>
      </c>
      <c r="D768" s="44" t="s">
        <v>726</v>
      </c>
      <c r="E768" s="44" t="s">
        <v>640</v>
      </c>
      <c r="F768" s="44" t="s">
        <v>641</v>
      </c>
      <c r="G768" s="44" t="s">
        <v>1901</v>
      </c>
      <c r="H768" s="44" t="s">
        <v>643</v>
      </c>
      <c r="I768" s="44" t="s">
        <v>444</v>
      </c>
      <c r="J768" s="44" t="s">
        <v>656</v>
      </c>
      <c r="K768" s="44" t="s">
        <v>14</v>
      </c>
      <c r="L768" s="104">
        <v>30309.03</v>
      </c>
      <c r="M768" s="104">
        <v>28593.42</v>
      </c>
      <c r="N768" s="104">
        <v>1715.61</v>
      </c>
      <c r="O768" s="44" t="s">
        <v>2642</v>
      </c>
    </row>
    <row r="769" hidden="1" customHeight="1" spans="1:15">
      <c r="A769" s="44" t="s">
        <v>637</v>
      </c>
      <c r="B769" s="86">
        <v>45230</v>
      </c>
      <c r="C769" s="44" t="s">
        <v>748</v>
      </c>
      <c r="D769" s="44" t="s">
        <v>1284</v>
      </c>
      <c r="E769" s="44" t="s">
        <v>640</v>
      </c>
      <c r="F769" s="44" t="s">
        <v>641</v>
      </c>
      <c r="G769" s="44" t="s">
        <v>1901</v>
      </c>
      <c r="H769" s="44" t="s">
        <v>643</v>
      </c>
      <c r="I769" s="44" t="s">
        <v>444</v>
      </c>
      <c r="J769" s="44" t="s">
        <v>656</v>
      </c>
      <c r="K769" s="44" t="s">
        <v>14</v>
      </c>
      <c r="L769" s="104">
        <v>2925.85</v>
      </c>
      <c r="M769" s="104">
        <v>2760.24</v>
      </c>
      <c r="N769" s="104">
        <v>165.61</v>
      </c>
      <c r="O769" s="44" t="s">
        <v>2643</v>
      </c>
    </row>
    <row r="770" hidden="1" customHeight="1" spans="1:15">
      <c r="A770" s="44" t="s">
        <v>637</v>
      </c>
      <c r="B770" s="86">
        <v>45230</v>
      </c>
      <c r="C770" s="44" t="s">
        <v>748</v>
      </c>
      <c r="D770" s="44" t="s">
        <v>1902</v>
      </c>
      <c r="E770" s="44" t="s">
        <v>640</v>
      </c>
      <c r="F770" s="44" t="s">
        <v>641</v>
      </c>
      <c r="G770" s="44" t="s">
        <v>1901</v>
      </c>
      <c r="H770" s="44" t="s">
        <v>643</v>
      </c>
      <c r="I770" s="44" t="s">
        <v>444</v>
      </c>
      <c r="J770" s="44" t="s">
        <v>656</v>
      </c>
      <c r="K770" s="44" t="s">
        <v>14</v>
      </c>
      <c r="L770" s="104">
        <v>1582.53</v>
      </c>
      <c r="M770" s="104">
        <v>1492.95</v>
      </c>
      <c r="N770" s="104">
        <v>89.58</v>
      </c>
      <c r="O770" s="44" t="s">
        <v>2644</v>
      </c>
    </row>
    <row r="771" hidden="1" customHeight="1" spans="1:15">
      <c r="A771" s="44" t="s">
        <v>637</v>
      </c>
      <c r="B771" s="86">
        <v>45230</v>
      </c>
      <c r="C771" s="44" t="s">
        <v>646</v>
      </c>
      <c r="D771" s="44" t="s">
        <v>1296</v>
      </c>
      <c r="E771" s="44" t="s">
        <v>640</v>
      </c>
      <c r="F771" s="44" t="s">
        <v>641</v>
      </c>
      <c r="G771" s="44" t="s">
        <v>1901</v>
      </c>
      <c r="H771" s="44" t="s">
        <v>643</v>
      </c>
      <c r="I771" s="44" t="s">
        <v>2003</v>
      </c>
      <c r="J771" s="44" t="s">
        <v>644</v>
      </c>
      <c r="K771" s="44" t="s">
        <v>14</v>
      </c>
      <c r="L771" s="104">
        <v>531499.39</v>
      </c>
      <c r="M771" s="104">
        <v>501414.52</v>
      </c>
      <c r="N771" s="104">
        <v>30084.87</v>
      </c>
      <c r="O771" s="44" t="s">
        <v>2645</v>
      </c>
    </row>
    <row r="772" hidden="1" customHeight="1" spans="1:15">
      <c r="A772" s="44" t="s">
        <v>637</v>
      </c>
      <c r="B772" s="86">
        <v>45230</v>
      </c>
      <c r="C772" s="44" t="s">
        <v>1273</v>
      </c>
      <c r="D772" s="44" t="s">
        <v>653</v>
      </c>
      <c r="E772" s="44" t="s">
        <v>640</v>
      </c>
      <c r="F772" s="44" t="s">
        <v>641</v>
      </c>
      <c r="G772" s="44" t="s">
        <v>1901</v>
      </c>
      <c r="H772" s="44" t="s">
        <v>650</v>
      </c>
      <c r="I772" s="44" t="s">
        <v>1946</v>
      </c>
      <c r="J772" s="44" t="s">
        <v>644</v>
      </c>
      <c r="K772" s="44" t="s">
        <v>166</v>
      </c>
      <c r="L772" s="104">
        <v>9693.81</v>
      </c>
      <c r="M772" s="104">
        <v>9145.1</v>
      </c>
      <c r="N772" s="104">
        <v>548.71</v>
      </c>
      <c r="O772" s="44" t="s">
        <v>2646</v>
      </c>
    </row>
    <row r="773" hidden="1" customHeight="1" spans="1:15">
      <c r="A773" s="44" t="s">
        <v>637</v>
      </c>
      <c r="B773" s="86">
        <v>45230</v>
      </c>
      <c r="C773" s="44" t="s">
        <v>1273</v>
      </c>
      <c r="D773" s="44" t="s">
        <v>653</v>
      </c>
      <c r="E773" s="44" t="s">
        <v>640</v>
      </c>
      <c r="F773" s="44" t="s">
        <v>641</v>
      </c>
      <c r="G773" s="44" t="s">
        <v>1899</v>
      </c>
      <c r="H773" s="44" t="s">
        <v>650</v>
      </c>
      <c r="I773" s="44" t="s">
        <v>1946</v>
      </c>
      <c r="J773" s="44" t="s">
        <v>644</v>
      </c>
      <c r="K773" s="44" t="s">
        <v>166</v>
      </c>
      <c r="L773" s="104">
        <v>16292.36</v>
      </c>
      <c r="M773" s="104">
        <v>15370.15</v>
      </c>
      <c r="N773" s="104">
        <v>922.21</v>
      </c>
      <c r="O773" s="44" t="s">
        <v>2647</v>
      </c>
    </row>
    <row r="774" hidden="1" customHeight="1" spans="1:15">
      <c r="A774" s="44" t="s">
        <v>637</v>
      </c>
      <c r="B774" s="86">
        <v>45230</v>
      </c>
      <c r="C774" s="44" t="s">
        <v>646</v>
      </c>
      <c r="D774" s="44" t="s">
        <v>682</v>
      </c>
      <c r="E774" s="44" t="s">
        <v>640</v>
      </c>
      <c r="F774" s="44" t="s">
        <v>641</v>
      </c>
      <c r="G774" s="44" t="s">
        <v>1899</v>
      </c>
      <c r="H774" s="44" t="s">
        <v>650</v>
      </c>
      <c r="I774" s="44" t="s">
        <v>1934</v>
      </c>
      <c r="J774" s="44" t="s">
        <v>656</v>
      </c>
      <c r="K774" s="44" t="s">
        <v>13</v>
      </c>
      <c r="L774" s="104">
        <v>11244.85</v>
      </c>
      <c r="M774" s="104">
        <v>10608.35</v>
      </c>
      <c r="N774" s="104">
        <v>636.5</v>
      </c>
      <c r="O774" s="44" t="s">
        <v>2648</v>
      </c>
    </row>
    <row r="775" hidden="1" customHeight="1" spans="1:15">
      <c r="A775" s="44" t="s">
        <v>637</v>
      </c>
      <c r="B775" s="86">
        <v>45230</v>
      </c>
      <c r="C775" s="44" t="s">
        <v>730</v>
      </c>
      <c r="D775" s="44" t="s">
        <v>2483</v>
      </c>
      <c r="E775" s="44" t="s">
        <v>640</v>
      </c>
      <c r="F775" s="44" t="s">
        <v>641</v>
      </c>
      <c r="G775" s="44" t="s">
        <v>1899</v>
      </c>
      <c r="H775" s="44" t="s">
        <v>650</v>
      </c>
      <c r="I775" s="44" t="s">
        <v>1959</v>
      </c>
      <c r="J775" s="44" t="s">
        <v>656</v>
      </c>
      <c r="K775" s="44" t="s">
        <v>166</v>
      </c>
      <c r="L775" s="104">
        <v>-4000</v>
      </c>
      <c r="M775" s="104">
        <v>-3773.58</v>
      </c>
      <c r="N775" s="104">
        <v>-226.42</v>
      </c>
      <c r="O775" s="44" t="s">
        <v>2649</v>
      </c>
    </row>
    <row r="776" hidden="1" customHeight="1" spans="1:15">
      <c r="A776" s="44" t="s">
        <v>637</v>
      </c>
      <c r="B776" s="86">
        <v>45230</v>
      </c>
      <c r="C776" s="44" t="s">
        <v>811</v>
      </c>
      <c r="D776" s="44" t="s">
        <v>653</v>
      </c>
      <c r="E776" s="44" t="s">
        <v>1898</v>
      </c>
      <c r="F776" s="44" t="s">
        <v>641</v>
      </c>
      <c r="G776" s="44" t="s">
        <v>1899</v>
      </c>
      <c r="H776" s="44" t="s">
        <v>650</v>
      </c>
      <c r="I776" s="44" t="s">
        <v>433</v>
      </c>
      <c r="J776" s="44" t="s">
        <v>656</v>
      </c>
      <c r="K776" s="44" t="s">
        <v>166</v>
      </c>
      <c r="L776" s="104">
        <v>1161758.71</v>
      </c>
      <c r="M776" s="104">
        <v>1095998.78</v>
      </c>
      <c r="N776" s="104">
        <v>65759.93</v>
      </c>
      <c r="O776" s="44" t="s">
        <v>2650</v>
      </c>
    </row>
    <row r="777" hidden="1" customHeight="1" spans="1:15">
      <c r="A777" s="44" t="s">
        <v>637</v>
      </c>
      <c r="B777" s="86">
        <v>45230</v>
      </c>
      <c r="C777" s="44" t="s">
        <v>811</v>
      </c>
      <c r="D777" s="44" t="s">
        <v>653</v>
      </c>
      <c r="E777" s="44" t="s">
        <v>1898</v>
      </c>
      <c r="F777" s="44" t="s">
        <v>641</v>
      </c>
      <c r="G777" s="44" t="s">
        <v>1899</v>
      </c>
      <c r="H777" s="44" t="s">
        <v>650</v>
      </c>
      <c r="I777" s="44" t="s">
        <v>435</v>
      </c>
      <c r="J777" s="44" t="s">
        <v>656</v>
      </c>
      <c r="K777" s="44" t="s">
        <v>166</v>
      </c>
      <c r="L777" s="104">
        <v>965324.31</v>
      </c>
      <c r="M777" s="104">
        <v>910683.31</v>
      </c>
      <c r="N777" s="104">
        <v>54641</v>
      </c>
      <c r="O777" s="44" t="s">
        <v>2651</v>
      </c>
    </row>
    <row r="778" hidden="1" customHeight="1" spans="1:30">
      <c r="A778" s="27" t="s">
        <v>1980</v>
      </c>
      <c r="B778" s="86">
        <v>45230</v>
      </c>
      <c r="C778" s="28" t="s">
        <v>811</v>
      </c>
      <c r="D778" s="44" t="s">
        <v>653</v>
      </c>
      <c r="E778" s="37" t="s">
        <v>640</v>
      </c>
      <c r="F778" s="37" t="s">
        <v>641</v>
      </c>
      <c r="G778" s="27" t="s">
        <v>1899</v>
      </c>
      <c r="H778" s="44" t="s">
        <v>650</v>
      </c>
      <c r="I778" s="27" t="s">
        <v>433</v>
      </c>
      <c r="J778" s="44" t="s">
        <v>656</v>
      </c>
      <c r="K778" s="29" t="s">
        <v>166</v>
      </c>
      <c r="L778" s="29">
        <v>-1423013.42</v>
      </c>
      <c r="M778" s="29">
        <v>-1342465.5</v>
      </c>
      <c r="N778" s="31">
        <f t="shared" ref="N778:N786" si="13">L778-M778</f>
        <v>-80547.9199999999</v>
      </c>
      <c r="O778" s="31"/>
      <c r="P778" s="29"/>
      <c r="Q778" s="27"/>
      <c r="T778" s="29"/>
      <c r="U778" s="32"/>
      <c r="V778" s="91"/>
      <c r="X778" s="29"/>
      <c r="Y778" s="27"/>
      <c r="Z778" s="30"/>
      <c r="AA778" s="34"/>
      <c r="AD778" s="29"/>
    </row>
    <row r="779" hidden="1" customHeight="1" spans="1:30">
      <c r="A779" s="27" t="s">
        <v>1980</v>
      </c>
      <c r="B779" s="86">
        <v>45230</v>
      </c>
      <c r="C779" s="28" t="s">
        <v>811</v>
      </c>
      <c r="D779" s="44" t="s">
        <v>653</v>
      </c>
      <c r="E779" s="37" t="s">
        <v>640</v>
      </c>
      <c r="F779" s="37" t="s">
        <v>641</v>
      </c>
      <c r="G779" s="44" t="s">
        <v>1901</v>
      </c>
      <c r="H779" s="44" t="s">
        <v>650</v>
      </c>
      <c r="I779" s="27" t="s">
        <v>433</v>
      </c>
      <c r="J779" s="44" t="s">
        <v>656</v>
      </c>
      <c r="K779" s="29" t="s">
        <v>166</v>
      </c>
      <c r="L779" s="29">
        <v>305709.19</v>
      </c>
      <c r="M779" s="29">
        <v>288404.87</v>
      </c>
      <c r="N779" s="31">
        <f t="shared" si="13"/>
        <v>17304.32</v>
      </c>
      <c r="O779" s="31"/>
      <c r="P779" s="29"/>
      <c r="Q779" s="27"/>
      <c r="T779" s="29"/>
      <c r="U779" s="32"/>
      <c r="V779" s="91"/>
      <c r="X779" s="29"/>
      <c r="Y779" s="27"/>
      <c r="Z779" s="30"/>
      <c r="AA779" s="34"/>
      <c r="AD779" s="29"/>
    </row>
    <row r="780" hidden="1" customHeight="1" spans="1:30">
      <c r="A780" s="27" t="s">
        <v>1085</v>
      </c>
      <c r="B780" s="86">
        <v>45230</v>
      </c>
      <c r="C780" s="28" t="s">
        <v>2478</v>
      </c>
      <c r="D780" s="44" t="s">
        <v>1296</v>
      </c>
      <c r="E780" s="37" t="s">
        <v>640</v>
      </c>
      <c r="F780" s="37" t="s">
        <v>641</v>
      </c>
      <c r="G780" s="27" t="s">
        <v>1899</v>
      </c>
      <c r="H780" s="44" t="s">
        <v>650</v>
      </c>
      <c r="I780" s="27" t="s">
        <v>2037</v>
      </c>
      <c r="J780" s="44" t="s">
        <v>656</v>
      </c>
      <c r="K780" s="29" t="s">
        <v>20</v>
      </c>
      <c r="L780" s="29">
        <v>245285.05</v>
      </c>
      <c r="M780" s="29">
        <v>238140.83</v>
      </c>
      <c r="N780" s="31">
        <f t="shared" si="13"/>
        <v>7144.22</v>
      </c>
      <c r="O780" s="31"/>
      <c r="P780" s="29"/>
      <c r="Q780" s="27"/>
      <c r="T780" s="29"/>
      <c r="U780" s="32"/>
      <c r="V780" s="91"/>
      <c r="X780" s="29"/>
      <c r="Y780" s="27"/>
      <c r="Z780" s="30"/>
      <c r="AA780" s="34"/>
      <c r="AD780" s="29"/>
    </row>
    <row r="781" hidden="1" customHeight="1" spans="1:30">
      <c r="A781" s="27" t="s">
        <v>1085</v>
      </c>
      <c r="B781" s="86">
        <v>45230</v>
      </c>
      <c r="C781" s="28" t="s">
        <v>2478</v>
      </c>
      <c r="D781" s="44" t="s">
        <v>1296</v>
      </c>
      <c r="E781" s="37" t="s">
        <v>640</v>
      </c>
      <c r="F781" s="37" t="s">
        <v>641</v>
      </c>
      <c r="G781" s="27" t="s">
        <v>1899</v>
      </c>
      <c r="H781" s="44" t="s">
        <v>650</v>
      </c>
      <c r="I781" s="27" t="s">
        <v>2037</v>
      </c>
      <c r="J781" s="44" t="s">
        <v>656</v>
      </c>
      <c r="K781" s="29" t="s">
        <v>20</v>
      </c>
      <c r="L781" s="29">
        <v>-245285.06</v>
      </c>
      <c r="M781" s="29">
        <v>-231401</v>
      </c>
      <c r="N781" s="31">
        <f t="shared" si="13"/>
        <v>-13884.06</v>
      </c>
      <c r="O781" s="31"/>
      <c r="P781" s="29"/>
      <c r="Q781" s="27"/>
      <c r="T781" s="29"/>
      <c r="U781" s="32"/>
      <c r="V781" s="91"/>
      <c r="X781" s="29"/>
      <c r="Y781" s="27"/>
      <c r="Z781" s="30"/>
      <c r="AA781" s="34"/>
      <c r="AD781" s="29"/>
    </row>
    <row r="782" hidden="1" customHeight="1" spans="1:30">
      <c r="A782" s="27" t="s">
        <v>1085</v>
      </c>
      <c r="B782" s="86">
        <v>45230</v>
      </c>
      <c r="C782" s="28" t="s">
        <v>2478</v>
      </c>
      <c r="D782" s="44" t="s">
        <v>1296</v>
      </c>
      <c r="E782" s="37" t="s">
        <v>640</v>
      </c>
      <c r="F782" s="37" t="s">
        <v>641</v>
      </c>
      <c r="G782" s="44" t="s">
        <v>1901</v>
      </c>
      <c r="H782" s="44" t="s">
        <v>650</v>
      </c>
      <c r="I782" s="27" t="s">
        <v>2003</v>
      </c>
      <c r="J782" s="44" t="s">
        <v>656</v>
      </c>
      <c r="K782" s="29" t="s">
        <v>20</v>
      </c>
      <c r="L782" s="29">
        <v>-425.24</v>
      </c>
      <c r="M782" s="29">
        <v>-401.17</v>
      </c>
      <c r="N782" s="31">
        <f t="shared" si="13"/>
        <v>-24.07</v>
      </c>
      <c r="O782" s="31"/>
      <c r="P782" s="29"/>
      <c r="Q782" s="27"/>
      <c r="T782" s="29"/>
      <c r="U782" s="32"/>
      <c r="V782" s="91"/>
      <c r="X782" s="29"/>
      <c r="Y782" s="27"/>
      <c r="Z782" s="30"/>
      <c r="AA782" s="34"/>
      <c r="AD782" s="29"/>
    </row>
    <row r="783" hidden="1" customHeight="1" spans="1:30">
      <c r="A783" s="27" t="s">
        <v>1085</v>
      </c>
      <c r="B783" s="86">
        <v>45230</v>
      </c>
      <c r="C783" s="28" t="s">
        <v>715</v>
      </c>
      <c r="D783" s="44" t="s">
        <v>653</v>
      </c>
      <c r="E783" s="37" t="s">
        <v>640</v>
      </c>
      <c r="F783" s="37" t="s">
        <v>641</v>
      </c>
      <c r="G783" s="27" t="s">
        <v>1899</v>
      </c>
      <c r="H783" s="44" t="s">
        <v>650</v>
      </c>
      <c r="I783" s="27" t="s">
        <v>1929</v>
      </c>
      <c r="J783" s="44" t="s">
        <v>656</v>
      </c>
      <c r="K783" s="29" t="s">
        <v>14</v>
      </c>
      <c r="L783" s="29">
        <v>-5572.74</v>
      </c>
      <c r="M783" s="29">
        <v>-5257.3</v>
      </c>
      <c r="N783" s="31">
        <f t="shared" si="13"/>
        <v>-315.44</v>
      </c>
      <c r="O783" s="31"/>
      <c r="P783" s="29"/>
      <c r="Q783" s="27"/>
      <c r="T783" s="29"/>
      <c r="U783" s="32"/>
      <c r="V783" s="91"/>
      <c r="X783" s="29"/>
      <c r="Y783" s="27"/>
      <c r="Z783" s="30"/>
      <c r="AA783" s="34"/>
      <c r="AD783" s="29"/>
    </row>
    <row r="784" hidden="1" customHeight="1" spans="1:30">
      <c r="A784" s="27" t="s">
        <v>1085</v>
      </c>
      <c r="B784" s="86">
        <v>45230</v>
      </c>
      <c r="C784" s="28" t="s">
        <v>730</v>
      </c>
      <c r="D784" s="44" t="s">
        <v>653</v>
      </c>
      <c r="E784" s="37" t="s">
        <v>640</v>
      </c>
      <c r="F784" s="37" t="s">
        <v>641</v>
      </c>
      <c r="G784" s="27" t="s">
        <v>1899</v>
      </c>
      <c r="H784" s="44" t="s">
        <v>650</v>
      </c>
      <c r="I784" s="27" t="s">
        <v>473</v>
      </c>
      <c r="J784" s="44" t="s">
        <v>656</v>
      </c>
      <c r="K784" s="29" t="s">
        <v>14</v>
      </c>
      <c r="L784" s="29">
        <v>243132.69</v>
      </c>
      <c r="M784" s="29">
        <v>229370.46</v>
      </c>
      <c r="N784" s="31">
        <f t="shared" si="13"/>
        <v>13762.23</v>
      </c>
      <c r="O784" s="31"/>
      <c r="P784" s="29"/>
      <c r="Q784" s="27"/>
      <c r="T784" s="29"/>
      <c r="U784" s="32"/>
      <c r="V784" s="91"/>
      <c r="X784" s="29"/>
      <c r="Y784" s="27"/>
      <c r="Z784" s="30"/>
      <c r="AA784" s="34"/>
      <c r="AD784" s="29"/>
    </row>
    <row r="785" hidden="1" customHeight="1" spans="1:30">
      <c r="A785" s="27" t="s">
        <v>1085</v>
      </c>
      <c r="B785" s="86">
        <v>45230</v>
      </c>
      <c r="C785" s="28" t="s">
        <v>730</v>
      </c>
      <c r="D785" s="44" t="s">
        <v>653</v>
      </c>
      <c r="E785" s="37" t="s">
        <v>640</v>
      </c>
      <c r="F785" s="37" t="s">
        <v>641</v>
      </c>
      <c r="G785" s="27" t="s">
        <v>1899</v>
      </c>
      <c r="H785" s="44" t="s">
        <v>650</v>
      </c>
      <c r="I785" s="27" t="s">
        <v>1959</v>
      </c>
      <c r="J785" s="44" t="s">
        <v>656</v>
      </c>
      <c r="K785" s="29" t="s">
        <v>166</v>
      </c>
      <c r="L785" s="29">
        <v>3999.99</v>
      </c>
      <c r="M785" s="29">
        <v>3773.58</v>
      </c>
      <c r="N785" s="31">
        <f t="shared" si="13"/>
        <v>226.41</v>
      </c>
      <c r="O785" s="31"/>
      <c r="P785" s="29"/>
      <c r="Q785" s="27"/>
      <c r="T785" s="29"/>
      <c r="U785" s="32"/>
      <c r="V785" s="91"/>
      <c r="X785" s="29"/>
      <c r="Y785" s="27"/>
      <c r="Z785" s="30"/>
      <c r="AA785" s="34"/>
      <c r="AD785" s="29"/>
    </row>
    <row r="786" customHeight="1" spans="1:30">
      <c r="A786" s="27" t="s">
        <v>1085</v>
      </c>
      <c r="B786" s="86">
        <v>45230</v>
      </c>
      <c r="C786" s="28" t="s">
        <v>811</v>
      </c>
      <c r="D786" s="44" t="s">
        <v>653</v>
      </c>
      <c r="E786" s="37" t="s">
        <v>640</v>
      </c>
      <c r="F786" s="37" t="s">
        <v>641</v>
      </c>
      <c r="G786" s="27" t="s">
        <v>1899</v>
      </c>
      <c r="H786" s="44" t="s">
        <v>650</v>
      </c>
      <c r="I786" s="27" t="s">
        <v>435</v>
      </c>
      <c r="J786" s="44" t="s">
        <v>656</v>
      </c>
      <c r="K786" s="29" t="s">
        <v>166</v>
      </c>
      <c r="L786" s="29">
        <v>-122781.44</v>
      </c>
      <c r="M786" s="29">
        <v>-115831.55</v>
      </c>
      <c r="N786" s="31">
        <f t="shared" si="13"/>
        <v>-6949.89</v>
      </c>
      <c r="O786" s="31"/>
      <c r="P786" s="29"/>
      <c r="Q786" s="27"/>
      <c r="T786" s="29"/>
      <c r="U786" s="32"/>
      <c r="V786" s="91"/>
      <c r="X786" s="29"/>
      <c r="Y786" s="27"/>
      <c r="Z786" s="30"/>
      <c r="AA786" s="34"/>
      <c r="AD786" s="29"/>
    </row>
    <row r="787" hidden="1" customHeight="1" spans="1:15">
      <c r="A787" s="44" t="s">
        <v>637</v>
      </c>
      <c r="B787" s="86">
        <v>45260</v>
      </c>
      <c r="C787" s="44" t="s">
        <v>2478</v>
      </c>
      <c r="D787" s="44" t="s">
        <v>1296</v>
      </c>
      <c r="E787" s="44" t="s">
        <v>640</v>
      </c>
      <c r="F787" s="44" t="s">
        <v>641</v>
      </c>
      <c r="G787" s="44" t="s">
        <v>1899</v>
      </c>
      <c r="H787" s="44" t="s">
        <v>650</v>
      </c>
      <c r="I787" s="44" t="s">
        <v>2050</v>
      </c>
      <c r="J787" s="44" t="s">
        <v>644</v>
      </c>
      <c r="K787" s="44" t="s">
        <v>20</v>
      </c>
      <c r="L787" s="104">
        <v>5634.9</v>
      </c>
      <c r="M787" s="104">
        <v>5315.94</v>
      </c>
      <c r="N787" s="104">
        <v>318.96</v>
      </c>
      <c r="O787" s="44" t="s">
        <v>2652</v>
      </c>
    </row>
    <row r="788" hidden="1" customHeight="1" spans="1:15">
      <c r="A788" s="44" t="s">
        <v>637</v>
      </c>
      <c r="B788" s="86">
        <v>45260</v>
      </c>
      <c r="C788" s="44" t="s">
        <v>1273</v>
      </c>
      <c r="D788" s="44" t="s">
        <v>2483</v>
      </c>
      <c r="E788" s="44" t="s">
        <v>640</v>
      </c>
      <c r="F788" s="44" t="s">
        <v>641</v>
      </c>
      <c r="G788" s="44" t="s">
        <v>1899</v>
      </c>
      <c r="H788" s="44" t="s">
        <v>650</v>
      </c>
      <c r="I788" s="44" t="s">
        <v>737</v>
      </c>
      <c r="J788" s="44" t="s">
        <v>656</v>
      </c>
      <c r="K788" s="44" t="s">
        <v>166</v>
      </c>
      <c r="L788" s="104">
        <v>-15293.58</v>
      </c>
      <c r="M788" s="104">
        <v>-14427.91</v>
      </c>
      <c r="N788" s="104">
        <v>-865.67</v>
      </c>
      <c r="O788" s="44" t="s">
        <v>2653</v>
      </c>
    </row>
    <row r="789" hidden="1" customHeight="1" spans="1:15">
      <c r="A789" s="44" t="s">
        <v>637</v>
      </c>
      <c r="B789" s="86">
        <v>45260</v>
      </c>
      <c r="C789" s="44" t="s">
        <v>1273</v>
      </c>
      <c r="D789" s="44" t="s">
        <v>653</v>
      </c>
      <c r="E789" s="44" t="s">
        <v>640</v>
      </c>
      <c r="F789" s="44" t="s">
        <v>641</v>
      </c>
      <c r="G789" s="44" t="s">
        <v>1901</v>
      </c>
      <c r="H789" s="44" t="s">
        <v>650</v>
      </c>
      <c r="I789" s="44" t="s">
        <v>1946</v>
      </c>
      <c r="J789" s="44" t="s">
        <v>644</v>
      </c>
      <c r="K789" s="44" t="s">
        <v>166</v>
      </c>
      <c r="L789" s="104">
        <v>8332.18</v>
      </c>
      <c r="M789" s="104">
        <v>7860.55</v>
      </c>
      <c r="N789" s="104">
        <v>471.63</v>
      </c>
      <c r="O789" s="44" t="s">
        <v>2654</v>
      </c>
    </row>
    <row r="790" hidden="1" customHeight="1" spans="1:15">
      <c r="A790" s="44" t="s">
        <v>637</v>
      </c>
      <c r="B790" s="86">
        <v>45260</v>
      </c>
      <c r="C790" s="44" t="s">
        <v>1273</v>
      </c>
      <c r="D790" s="44" t="s">
        <v>2483</v>
      </c>
      <c r="E790" s="44" t="s">
        <v>640</v>
      </c>
      <c r="F790" s="44" t="s">
        <v>641</v>
      </c>
      <c r="G790" s="44" t="s">
        <v>1901</v>
      </c>
      <c r="H790" s="44" t="s">
        <v>650</v>
      </c>
      <c r="I790" s="44" t="s">
        <v>1946</v>
      </c>
      <c r="J790" s="44" t="s">
        <v>656</v>
      </c>
      <c r="K790" s="44" t="s">
        <v>166</v>
      </c>
      <c r="L790" s="104">
        <v>15883.52</v>
      </c>
      <c r="M790" s="104">
        <v>14984.45</v>
      </c>
      <c r="N790" s="104">
        <v>899.07</v>
      </c>
      <c r="O790" s="44" t="s">
        <v>2655</v>
      </c>
    </row>
    <row r="791" hidden="1" customHeight="1" spans="1:15">
      <c r="A791" s="44" t="s">
        <v>637</v>
      </c>
      <c r="B791" s="86">
        <v>45260</v>
      </c>
      <c r="C791" s="44" t="s">
        <v>1273</v>
      </c>
      <c r="D791" s="44" t="s">
        <v>653</v>
      </c>
      <c r="E791" s="44" t="s">
        <v>640</v>
      </c>
      <c r="F791" s="44" t="s">
        <v>641</v>
      </c>
      <c r="G791" s="44" t="s">
        <v>1899</v>
      </c>
      <c r="H791" s="44" t="s">
        <v>650</v>
      </c>
      <c r="I791" s="44" t="s">
        <v>1946</v>
      </c>
      <c r="J791" s="44" t="s">
        <v>644</v>
      </c>
      <c r="K791" s="44" t="s">
        <v>166</v>
      </c>
      <c r="L791" s="104">
        <v>12581.01</v>
      </c>
      <c r="M791" s="104">
        <v>11868.88</v>
      </c>
      <c r="N791" s="104">
        <v>712.13</v>
      </c>
      <c r="O791" s="44" t="s">
        <v>2656</v>
      </c>
    </row>
    <row r="792" hidden="1" customHeight="1" spans="1:15">
      <c r="A792" s="44" t="s">
        <v>637</v>
      </c>
      <c r="B792" s="86">
        <v>45260</v>
      </c>
      <c r="C792" s="44" t="s">
        <v>1273</v>
      </c>
      <c r="D792" s="44" t="s">
        <v>2483</v>
      </c>
      <c r="E792" s="44" t="s">
        <v>640</v>
      </c>
      <c r="F792" s="44" t="s">
        <v>641</v>
      </c>
      <c r="G792" s="44" t="s">
        <v>1901</v>
      </c>
      <c r="H792" s="44" t="s">
        <v>650</v>
      </c>
      <c r="I792" s="44" t="s">
        <v>748</v>
      </c>
      <c r="J792" s="44" t="s">
        <v>656</v>
      </c>
      <c r="K792" s="44" t="s">
        <v>166</v>
      </c>
      <c r="L792" s="104">
        <v>160526.64</v>
      </c>
      <c r="M792" s="104">
        <v>151440.23</v>
      </c>
      <c r="N792" s="104">
        <v>9086.41</v>
      </c>
      <c r="O792" s="44" t="s">
        <v>2657</v>
      </c>
    </row>
    <row r="793" hidden="1" customHeight="1" spans="1:15">
      <c r="A793" s="44" t="s">
        <v>637</v>
      </c>
      <c r="B793" s="86">
        <v>45260</v>
      </c>
      <c r="C793" s="44" t="s">
        <v>646</v>
      </c>
      <c r="D793" s="44" t="s">
        <v>1296</v>
      </c>
      <c r="E793" s="44" t="s">
        <v>640</v>
      </c>
      <c r="F793" s="44" t="s">
        <v>641</v>
      </c>
      <c r="G793" s="44" t="s">
        <v>1901</v>
      </c>
      <c r="H793" s="44" t="s">
        <v>650</v>
      </c>
      <c r="I793" s="44" t="s">
        <v>2024</v>
      </c>
      <c r="J793" s="44" t="s">
        <v>656</v>
      </c>
      <c r="K793" s="44" t="s">
        <v>13</v>
      </c>
      <c r="L793" s="104">
        <v>16750</v>
      </c>
      <c r="M793" s="104">
        <v>15801.89</v>
      </c>
      <c r="N793" s="104">
        <v>948.11</v>
      </c>
      <c r="O793" s="44" t="s">
        <v>2658</v>
      </c>
    </row>
    <row r="794" hidden="1" customHeight="1" spans="1:15">
      <c r="A794" s="44" t="s">
        <v>637</v>
      </c>
      <c r="B794" s="86">
        <v>45260</v>
      </c>
      <c r="C794" s="44" t="s">
        <v>646</v>
      </c>
      <c r="D794" s="44" t="s">
        <v>682</v>
      </c>
      <c r="E794" s="44" t="s">
        <v>640</v>
      </c>
      <c r="F794" s="44" t="s">
        <v>641</v>
      </c>
      <c r="G794" s="44" t="s">
        <v>1901</v>
      </c>
      <c r="H794" s="44" t="s">
        <v>650</v>
      </c>
      <c r="I794" s="44" t="s">
        <v>2024</v>
      </c>
      <c r="J794" s="44" t="s">
        <v>656</v>
      </c>
      <c r="K794" s="44" t="s">
        <v>13</v>
      </c>
      <c r="L794" s="104">
        <v>16750</v>
      </c>
      <c r="M794" s="104">
        <v>15801.89</v>
      </c>
      <c r="N794" s="104">
        <v>948.11</v>
      </c>
      <c r="O794" s="44" t="s">
        <v>2659</v>
      </c>
    </row>
    <row r="795" hidden="1" customHeight="1" spans="1:15">
      <c r="A795" s="44" t="s">
        <v>637</v>
      </c>
      <c r="B795" s="86">
        <v>45260</v>
      </c>
      <c r="C795" s="44" t="s">
        <v>646</v>
      </c>
      <c r="D795" s="44" t="s">
        <v>682</v>
      </c>
      <c r="E795" s="44" t="s">
        <v>640</v>
      </c>
      <c r="F795" s="44" t="s">
        <v>641</v>
      </c>
      <c r="G795" s="44" t="s">
        <v>1899</v>
      </c>
      <c r="H795" s="44" t="s">
        <v>650</v>
      </c>
      <c r="I795" s="44" t="s">
        <v>1934</v>
      </c>
      <c r="J795" s="44" t="s">
        <v>656</v>
      </c>
      <c r="K795" s="44" t="s">
        <v>13</v>
      </c>
      <c r="L795" s="104">
        <v>21557.98</v>
      </c>
      <c r="M795" s="104">
        <v>20337.72</v>
      </c>
      <c r="N795" s="104">
        <v>1220.26</v>
      </c>
      <c r="O795" s="44" t="s">
        <v>2660</v>
      </c>
    </row>
    <row r="796" hidden="1" customHeight="1" spans="1:15">
      <c r="A796" s="44" t="s">
        <v>637</v>
      </c>
      <c r="B796" s="86">
        <v>45260</v>
      </c>
      <c r="C796" s="44" t="s">
        <v>646</v>
      </c>
      <c r="D796" s="44" t="s">
        <v>682</v>
      </c>
      <c r="E796" s="44" t="s">
        <v>640</v>
      </c>
      <c r="F796" s="44" t="s">
        <v>641</v>
      </c>
      <c r="G796" s="44" t="s">
        <v>1901</v>
      </c>
      <c r="H796" s="44" t="s">
        <v>650</v>
      </c>
      <c r="I796" s="44" t="s">
        <v>748</v>
      </c>
      <c r="J796" s="44" t="s">
        <v>656</v>
      </c>
      <c r="K796" s="44" t="s">
        <v>14</v>
      </c>
      <c r="L796" s="104">
        <v>3000</v>
      </c>
      <c r="M796" s="104">
        <v>2830.19</v>
      </c>
      <c r="N796" s="104">
        <v>169.81</v>
      </c>
      <c r="O796" s="44" t="s">
        <v>2661</v>
      </c>
    </row>
    <row r="797" hidden="1" customHeight="1" spans="1:15">
      <c r="A797" s="44" t="s">
        <v>637</v>
      </c>
      <c r="B797" s="86">
        <v>45260</v>
      </c>
      <c r="C797" s="44" t="s">
        <v>646</v>
      </c>
      <c r="D797" s="44" t="s">
        <v>726</v>
      </c>
      <c r="E797" s="44" t="s">
        <v>640</v>
      </c>
      <c r="F797" s="44" t="s">
        <v>641</v>
      </c>
      <c r="G797" s="44" t="s">
        <v>1899</v>
      </c>
      <c r="H797" s="44" t="s">
        <v>650</v>
      </c>
      <c r="I797" s="44" t="s">
        <v>794</v>
      </c>
      <c r="J797" s="44" t="s">
        <v>656</v>
      </c>
      <c r="K797" s="44" t="s">
        <v>14</v>
      </c>
      <c r="L797" s="104">
        <v>54367.67</v>
      </c>
      <c r="M797" s="104">
        <v>51290.25</v>
      </c>
      <c r="N797" s="104">
        <v>3077.42</v>
      </c>
      <c r="O797" s="44" t="s">
        <v>2662</v>
      </c>
    </row>
    <row r="798" hidden="1" customHeight="1" spans="1:15">
      <c r="A798" s="44" t="s">
        <v>637</v>
      </c>
      <c r="B798" s="86">
        <v>45260</v>
      </c>
      <c r="C798" s="44" t="s">
        <v>646</v>
      </c>
      <c r="D798" s="44" t="s">
        <v>1296</v>
      </c>
      <c r="E798" s="44" t="s">
        <v>640</v>
      </c>
      <c r="F798" s="44" t="s">
        <v>641</v>
      </c>
      <c r="G798" s="44" t="s">
        <v>1901</v>
      </c>
      <c r="H798" s="44" t="s">
        <v>650</v>
      </c>
      <c r="I798" s="44" t="s">
        <v>2048</v>
      </c>
      <c r="J798" s="44" t="s">
        <v>644</v>
      </c>
      <c r="K798" s="44" t="s">
        <v>20</v>
      </c>
      <c r="L798" s="104">
        <v>40000</v>
      </c>
      <c r="M798" s="104">
        <v>37735.85</v>
      </c>
      <c r="N798" s="104">
        <v>2264.15</v>
      </c>
      <c r="O798" s="44" t="s">
        <v>2663</v>
      </c>
    </row>
    <row r="799" hidden="1" customHeight="1" spans="1:15">
      <c r="A799" s="44" t="s">
        <v>637</v>
      </c>
      <c r="B799" s="86">
        <v>45260</v>
      </c>
      <c r="C799" s="44" t="s">
        <v>646</v>
      </c>
      <c r="D799" s="44" t="s">
        <v>2483</v>
      </c>
      <c r="E799" s="44" t="s">
        <v>640</v>
      </c>
      <c r="F799" s="44" t="s">
        <v>641</v>
      </c>
      <c r="G799" s="44" t="s">
        <v>1901</v>
      </c>
      <c r="H799" s="44" t="s">
        <v>650</v>
      </c>
      <c r="I799" s="44" t="s">
        <v>1953</v>
      </c>
      <c r="J799" s="44" t="s">
        <v>656</v>
      </c>
      <c r="K799" s="44" t="s">
        <v>166</v>
      </c>
      <c r="L799" s="104">
        <v>1996.66</v>
      </c>
      <c r="M799" s="104">
        <v>1883.64</v>
      </c>
      <c r="N799" s="104">
        <v>113.02</v>
      </c>
      <c r="O799" s="44" t="s">
        <v>2664</v>
      </c>
    </row>
    <row r="800" hidden="1" customHeight="1" spans="1:15">
      <c r="A800" s="44" t="s">
        <v>637</v>
      </c>
      <c r="B800" s="86">
        <v>45260</v>
      </c>
      <c r="C800" s="44" t="s">
        <v>646</v>
      </c>
      <c r="D800" s="44" t="s">
        <v>1296</v>
      </c>
      <c r="E800" s="44" t="s">
        <v>640</v>
      </c>
      <c r="F800" s="44" t="s">
        <v>641</v>
      </c>
      <c r="G800" s="44" t="s">
        <v>1899</v>
      </c>
      <c r="H800" s="44" t="s">
        <v>643</v>
      </c>
      <c r="I800" s="44" t="s">
        <v>1993</v>
      </c>
      <c r="J800" s="44" t="s">
        <v>644</v>
      </c>
      <c r="K800" s="44" t="s">
        <v>14</v>
      </c>
      <c r="L800" s="104">
        <v>168367.87</v>
      </c>
      <c r="M800" s="104">
        <v>158837.61</v>
      </c>
      <c r="N800" s="104">
        <v>9530.26</v>
      </c>
      <c r="O800" s="44" t="s">
        <v>2665</v>
      </c>
    </row>
    <row r="801" hidden="1" customHeight="1" spans="1:15">
      <c r="A801" s="44" t="s">
        <v>637</v>
      </c>
      <c r="B801" s="86">
        <v>45260</v>
      </c>
      <c r="C801" s="44" t="s">
        <v>646</v>
      </c>
      <c r="D801" s="44" t="s">
        <v>1296</v>
      </c>
      <c r="E801" s="44" t="s">
        <v>640</v>
      </c>
      <c r="F801" s="44" t="s">
        <v>641</v>
      </c>
      <c r="G801" s="44" t="s">
        <v>1899</v>
      </c>
      <c r="H801" s="44" t="s">
        <v>650</v>
      </c>
      <c r="I801" s="44" t="s">
        <v>779</v>
      </c>
      <c r="J801" s="44" t="s">
        <v>644</v>
      </c>
      <c r="K801" s="44" t="s">
        <v>14</v>
      </c>
      <c r="L801" s="104">
        <v>12572.46</v>
      </c>
      <c r="M801" s="104">
        <v>11860.81</v>
      </c>
      <c r="N801" s="104">
        <v>711.65</v>
      </c>
      <c r="O801" s="44" t="s">
        <v>2666</v>
      </c>
    </row>
    <row r="802" hidden="1" customHeight="1" spans="1:15">
      <c r="A802" s="44" t="s">
        <v>637</v>
      </c>
      <c r="B802" s="86">
        <v>45260</v>
      </c>
      <c r="C802" s="44" t="s">
        <v>646</v>
      </c>
      <c r="D802" s="44" t="s">
        <v>1296</v>
      </c>
      <c r="E802" s="44" t="s">
        <v>640</v>
      </c>
      <c r="F802" s="44" t="s">
        <v>641</v>
      </c>
      <c r="G802" s="44" t="s">
        <v>1899</v>
      </c>
      <c r="H802" s="44" t="s">
        <v>650</v>
      </c>
      <c r="I802" s="44" t="s">
        <v>461</v>
      </c>
      <c r="J802" s="44" t="s">
        <v>644</v>
      </c>
      <c r="K802" s="44" t="s">
        <v>14</v>
      </c>
      <c r="L802" s="104">
        <v>610837.72</v>
      </c>
      <c r="M802" s="104">
        <v>576262</v>
      </c>
      <c r="N802" s="104">
        <v>34575.72</v>
      </c>
      <c r="O802" s="44" t="s">
        <v>2667</v>
      </c>
    </row>
    <row r="803" hidden="1" customHeight="1" spans="1:15">
      <c r="A803" s="44" t="s">
        <v>637</v>
      </c>
      <c r="B803" s="86">
        <v>45260</v>
      </c>
      <c r="C803" s="44" t="s">
        <v>646</v>
      </c>
      <c r="D803" s="44" t="s">
        <v>1902</v>
      </c>
      <c r="E803" s="44" t="s">
        <v>640</v>
      </c>
      <c r="F803" s="44" t="s">
        <v>641</v>
      </c>
      <c r="G803" s="44" t="s">
        <v>1899</v>
      </c>
      <c r="H803" s="44" t="s">
        <v>643</v>
      </c>
      <c r="I803" s="44" t="s">
        <v>466</v>
      </c>
      <c r="J803" s="44" t="s">
        <v>656</v>
      </c>
      <c r="K803" s="44" t="s">
        <v>14</v>
      </c>
      <c r="L803" s="104">
        <v>504090.94</v>
      </c>
      <c r="M803" s="104">
        <v>475557.49</v>
      </c>
      <c r="N803" s="104">
        <v>28533.45</v>
      </c>
      <c r="O803" s="44" t="s">
        <v>2668</v>
      </c>
    </row>
    <row r="804" hidden="1" customHeight="1" spans="1:15">
      <c r="A804" s="44" t="s">
        <v>637</v>
      </c>
      <c r="B804" s="86">
        <v>45260</v>
      </c>
      <c r="C804" s="44" t="s">
        <v>646</v>
      </c>
      <c r="D804" s="44" t="s">
        <v>726</v>
      </c>
      <c r="E804" s="44" t="s">
        <v>1898</v>
      </c>
      <c r="F804" s="44" t="s">
        <v>641</v>
      </c>
      <c r="G804" s="44" t="s">
        <v>1899</v>
      </c>
      <c r="H804" s="44" t="s">
        <v>643</v>
      </c>
      <c r="I804" s="44" t="s">
        <v>1906</v>
      </c>
      <c r="J804" s="44" t="s">
        <v>644</v>
      </c>
      <c r="K804" s="44" t="s">
        <v>14</v>
      </c>
      <c r="L804" s="104">
        <v>178513.77</v>
      </c>
      <c r="M804" s="104">
        <v>168409.22</v>
      </c>
      <c r="N804" s="104">
        <v>10104.55</v>
      </c>
      <c r="O804" s="44" t="s">
        <v>2669</v>
      </c>
    </row>
    <row r="805" hidden="1" customHeight="1" spans="1:15">
      <c r="A805" s="44" t="s">
        <v>637</v>
      </c>
      <c r="B805" s="86">
        <v>45260</v>
      </c>
      <c r="C805" s="44" t="s">
        <v>646</v>
      </c>
      <c r="D805" s="44" t="s">
        <v>1902</v>
      </c>
      <c r="E805" s="44" t="s">
        <v>1898</v>
      </c>
      <c r="F805" s="44" t="s">
        <v>641</v>
      </c>
      <c r="G805" s="44" t="s">
        <v>1899</v>
      </c>
      <c r="H805" s="44" t="s">
        <v>643</v>
      </c>
      <c r="I805" s="44" t="s">
        <v>466</v>
      </c>
      <c r="J805" s="44" t="s">
        <v>656</v>
      </c>
      <c r="K805" s="44" t="s">
        <v>14</v>
      </c>
      <c r="L805" s="104">
        <v>1310.48</v>
      </c>
      <c r="M805" s="104">
        <v>1236.3</v>
      </c>
      <c r="N805" s="104">
        <v>74.18</v>
      </c>
      <c r="O805" s="44" t="s">
        <v>2670</v>
      </c>
    </row>
    <row r="806" hidden="1" customHeight="1" spans="1:15">
      <c r="A806" s="44" t="s">
        <v>637</v>
      </c>
      <c r="B806" s="86">
        <v>45260</v>
      </c>
      <c r="C806" s="44" t="s">
        <v>646</v>
      </c>
      <c r="D806" s="44" t="s">
        <v>726</v>
      </c>
      <c r="E806" s="44" t="s">
        <v>1898</v>
      </c>
      <c r="F806" s="44" t="s">
        <v>641</v>
      </c>
      <c r="G806" s="44" t="s">
        <v>1899</v>
      </c>
      <c r="H806" s="44" t="s">
        <v>697</v>
      </c>
      <c r="I806" s="44" t="s">
        <v>1908</v>
      </c>
      <c r="J806" s="44" t="s">
        <v>656</v>
      </c>
      <c r="K806" s="44" t="s">
        <v>350</v>
      </c>
      <c r="L806" s="104">
        <v>3959.98</v>
      </c>
      <c r="M806" s="104">
        <v>3735.83</v>
      </c>
      <c r="N806" s="104">
        <v>224.15</v>
      </c>
      <c r="O806" s="44" t="s">
        <v>2671</v>
      </c>
    </row>
    <row r="807" hidden="1" customHeight="1" spans="1:15">
      <c r="A807" s="44" t="s">
        <v>637</v>
      </c>
      <c r="B807" s="86">
        <v>45260</v>
      </c>
      <c r="C807" s="44" t="s">
        <v>700</v>
      </c>
      <c r="D807" s="44" t="s">
        <v>1902</v>
      </c>
      <c r="E807" s="44" t="s">
        <v>640</v>
      </c>
      <c r="F807" s="44" t="s">
        <v>641</v>
      </c>
      <c r="G807" s="44" t="s">
        <v>1901</v>
      </c>
      <c r="H807" s="44" t="s">
        <v>650</v>
      </c>
      <c r="I807" s="44" t="s">
        <v>442</v>
      </c>
      <c r="J807" s="44" t="s">
        <v>656</v>
      </c>
      <c r="K807" s="44" t="s">
        <v>14</v>
      </c>
      <c r="L807" s="104">
        <v>13345.61</v>
      </c>
      <c r="M807" s="104">
        <v>12590.2</v>
      </c>
      <c r="N807" s="104">
        <v>755.41</v>
      </c>
      <c r="O807" s="44" t="s">
        <v>2672</v>
      </c>
    </row>
    <row r="808" hidden="1" customHeight="1" spans="1:15">
      <c r="A808" s="44" t="s">
        <v>637</v>
      </c>
      <c r="B808" s="86">
        <v>45260</v>
      </c>
      <c r="C808" s="44" t="s">
        <v>700</v>
      </c>
      <c r="D808" s="44" t="s">
        <v>2134</v>
      </c>
      <c r="E808" s="44" t="s">
        <v>640</v>
      </c>
      <c r="F808" s="44" t="s">
        <v>641</v>
      </c>
      <c r="G808" s="44" t="s">
        <v>1899</v>
      </c>
      <c r="H808" s="44" t="s">
        <v>643</v>
      </c>
      <c r="I808" s="44" t="s">
        <v>442</v>
      </c>
      <c r="J808" s="44" t="s">
        <v>656</v>
      </c>
      <c r="K808" s="44" t="s">
        <v>14</v>
      </c>
      <c r="L808" s="104">
        <v>3551.07</v>
      </c>
      <c r="M808" s="104">
        <v>3350.07</v>
      </c>
      <c r="N808" s="104">
        <v>201</v>
      </c>
      <c r="O808" s="44" t="s">
        <v>2673</v>
      </c>
    </row>
    <row r="809" hidden="1" customHeight="1" spans="1:15">
      <c r="A809" s="44" t="s">
        <v>637</v>
      </c>
      <c r="B809" s="86">
        <v>45260</v>
      </c>
      <c r="C809" s="44" t="s">
        <v>700</v>
      </c>
      <c r="D809" s="44" t="s">
        <v>1902</v>
      </c>
      <c r="E809" s="44" t="s">
        <v>1898</v>
      </c>
      <c r="F809" s="44" t="s">
        <v>641</v>
      </c>
      <c r="G809" s="44" t="s">
        <v>1899</v>
      </c>
      <c r="H809" s="44" t="s">
        <v>643</v>
      </c>
      <c r="I809" s="44" t="s">
        <v>442</v>
      </c>
      <c r="J809" s="44" t="s">
        <v>656</v>
      </c>
      <c r="K809" s="44" t="s">
        <v>14</v>
      </c>
      <c r="L809" s="104">
        <v>72914.42</v>
      </c>
      <c r="M809" s="104">
        <v>68787.19</v>
      </c>
      <c r="N809" s="104">
        <v>4127.23</v>
      </c>
      <c r="O809" s="44" t="s">
        <v>2674</v>
      </c>
    </row>
    <row r="810" hidden="1" customHeight="1" spans="1:15">
      <c r="A810" s="44" t="s">
        <v>637</v>
      </c>
      <c r="B810" s="86">
        <v>45260</v>
      </c>
      <c r="C810" s="44" t="s">
        <v>715</v>
      </c>
      <c r="D810" s="44" t="s">
        <v>733</v>
      </c>
      <c r="E810" s="44" t="s">
        <v>640</v>
      </c>
      <c r="F810" s="44" t="s">
        <v>641</v>
      </c>
      <c r="G810" s="44" t="s">
        <v>1899</v>
      </c>
      <c r="H810" s="44" t="s">
        <v>643</v>
      </c>
      <c r="I810" s="44" t="s">
        <v>430</v>
      </c>
      <c r="J810" s="44" t="s">
        <v>644</v>
      </c>
      <c r="K810" s="44" t="s">
        <v>14</v>
      </c>
      <c r="L810" s="104">
        <v>141763.27</v>
      </c>
      <c r="M810" s="104">
        <v>133738.93</v>
      </c>
      <c r="N810" s="104">
        <v>8024.34</v>
      </c>
      <c r="O810" s="44" t="s">
        <v>2675</v>
      </c>
    </row>
    <row r="811" hidden="1" customHeight="1" spans="1:15">
      <c r="A811" s="44" t="s">
        <v>637</v>
      </c>
      <c r="B811" s="86">
        <v>45260</v>
      </c>
      <c r="C811" s="44" t="s">
        <v>811</v>
      </c>
      <c r="D811" s="44" t="s">
        <v>653</v>
      </c>
      <c r="E811" s="44" t="s">
        <v>640</v>
      </c>
      <c r="F811" s="44" t="s">
        <v>641</v>
      </c>
      <c r="G811" s="44" t="s">
        <v>1901</v>
      </c>
      <c r="H811" s="44" t="s">
        <v>650</v>
      </c>
      <c r="I811" s="44" t="s">
        <v>1921</v>
      </c>
      <c r="J811" s="44" t="s">
        <v>644</v>
      </c>
      <c r="K811" s="44" t="s">
        <v>166</v>
      </c>
      <c r="L811" s="104">
        <v>4662.06</v>
      </c>
      <c r="M811" s="104">
        <v>4398.17</v>
      </c>
      <c r="N811" s="104">
        <v>263.89</v>
      </c>
      <c r="O811" s="44" t="s">
        <v>2676</v>
      </c>
    </row>
    <row r="812" hidden="1" customHeight="1" spans="1:15">
      <c r="A812" s="44" t="s">
        <v>637</v>
      </c>
      <c r="B812" s="86">
        <v>45260</v>
      </c>
      <c r="C812" s="44" t="s">
        <v>811</v>
      </c>
      <c r="D812" s="44" t="s">
        <v>653</v>
      </c>
      <c r="E812" s="44" t="s">
        <v>640</v>
      </c>
      <c r="F812" s="44" t="s">
        <v>641</v>
      </c>
      <c r="G812" s="44" t="s">
        <v>1899</v>
      </c>
      <c r="H812" s="44" t="s">
        <v>650</v>
      </c>
      <c r="I812" s="44" t="s">
        <v>1921</v>
      </c>
      <c r="J812" s="44" t="s">
        <v>644</v>
      </c>
      <c r="K812" s="44" t="s">
        <v>166</v>
      </c>
      <c r="L812" s="104">
        <v>6872.03</v>
      </c>
      <c r="M812" s="104">
        <v>6483.05</v>
      </c>
      <c r="N812" s="104">
        <v>388.98</v>
      </c>
      <c r="O812" s="44" t="s">
        <v>2677</v>
      </c>
    </row>
    <row r="813" hidden="1" customHeight="1" spans="1:15">
      <c r="A813" s="44" t="s">
        <v>637</v>
      </c>
      <c r="B813" s="86">
        <v>45260</v>
      </c>
      <c r="C813" s="44" t="s">
        <v>730</v>
      </c>
      <c r="D813" s="44" t="s">
        <v>2483</v>
      </c>
      <c r="E813" s="44" t="s">
        <v>640</v>
      </c>
      <c r="F813" s="44" t="s">
        <v>641</v>
      </c>
      <c r="G813" s="44" t="s">
        <v>1899</v>
      </c>
      <c r="H813" s="44" t="s">
        <v>650</v>
      </c>
      <c r="I813" s="44" t="s">
        <v>1941</v>
      </c>
      <c r="J813" s="44" t="s">
        <v>656</v>
      </c>
      <c r="K813" s="44" t="s">
        <v>166</v>
      </c>
      <c r="L813" s="104">
        <v>45000</v>
      </c>
      <c r="M813" s="104">
        <v>42452.83</v>
      </c>
      <c r="N813" s="104">
        <v>2547.17</v>
      </c>
      <c r="O813" s="44" t="s">
        <v>2678</v>
      </c>
    </row>
    <row r="814" hidden="1" customHeight="1" spans="1:15">
      <c r="A814" s="44" t="s">
        <v>637</v>
      </c>
      <c r="B814" s="86">
        <v>45260</v>
      </c>
      <c r="C814" s="44" t="s">
        <v>811</v>
      </c>
      <c r="D814" s="44" t="s">
        <v>653</v>
      </c>
      <c r="E814" s="44" t="s">
        <v>1898</v>
      </c>
      <c r="F814" s="44" t="s">
        <v>641</v>
      </c>
      <c r="G814" s="44" t="s">
        <v>1899</v>
      </c>
      <c r="H814" s="44" t="s">
        <v>650</v>
      </c>
      <c r="I814" s="44" t="s">
        <v>433</v>
      </c>
      <c r="J814" s="44" t="s">
        <v>656</v>
      </c>
      <c r="K814" s="44" t="s">
        <v>166</v>
      </c>
      <c r="L814" s="104">
        <v>164121.31</v>
      </c>
      <c r="M814" s="104">
        <v>154831.42</v>
      </c>
      <c r="N814" s="104">
        <v>9289.89</v>
      </c>
      <c r="O814" s="44" t="s">
        <v>2679</v>
      </c>
    </row>
    <row r="815" hidden="1" customHeight="1" spans="1:15">
      <c r="A815" s="44" t="s">
        <v>637</v>
      </c>
      <c r="B815" s="86">
        <v>45260</v>
      </c>
      <c r="C815" s="44" t="s">
        <v>811</v>
      </c>
      <c r="D815" s="44" t="s">
        <v>653</v>
      </c>
      <c r="E815" s="44" t="s">
        <v>1898</v>
      </c>
      <c r="F815" s="44" t="s">
        <v>641</v>
      </c>
      <c r="G815" s="44" t="s">
        <v>1899</v>
      </c>
      <c r="H815" s="44" t="s">
        <v>697</v>
      </c>
      <c r="I815" s="44" t="s">
        <v>435</v>
      </c>
      <c r="J815" s="44" t="s">
        <v>656</v>
      </c>
      <c r="K815" s="44" t="s">
        <v>166</v>
      </c>
      <c r="L815" s="104">
        <v>212890.11</v>
      </c>
      <c r="M815" s="104">
        <v>200839.73</v>
      </c>
      <c r="N815" s="104">
        <v>12050.38</v>
      </c>
      <c r="O815" s="44" t="s">
        <v>2680</v>
      </c>
    </row>
    <row r="816" hidden="1" customHeight="1" spans="1:15">
      <c r="A816" s="44" t="s">
        <v>637</v>
      </c>
      <c r="B816" s="86">
        <v>45260</v>
      </c>
      <c r="C816" s="44" t="s">
        <v>748</v>
      </c>
      <c r="D816" s="44" t="s">
        <v>726</v>
      </c>
      <c r="E816" s="44" t="s">
        <v>640</v>
      </c>
      <c r="F816" s="44" t="s">
        <v>641</v>
      </c>
      <c r="G816" s="44" t="s">
        <v>1899</v>
      </c>
      <c r="H816" s="44" t="s">
        <v>643</v>
      </c>
      <c r="I816" s="44" t="s">
        <v>779</v>
      </c>
      <c r="J816" s="44" t="s">
        <v>656</v>
      </c>
      <c r="K816" s="44" t="s">
        <v>14</v>
      </c>
      <c r="L816" s="104">
        <v>32341.4</v>
      </c>
      <c r="M816" s="104">
        <v>30510.75</v>
      </c>
      <c r="N816" s="104">
        <v>1830.65</v>
      </c>
      <c r="O816" s="44" t="s">
        <v>2681</v>
      </c>
    </row>
    <row r="817" hidden="1" customHeight="1" spans="1:15">
      <c r="A817" s="44" t="s">
        <v>637</v>
      </c>
      <c r="B817" s="86">
        <v>45260</v>
      </c>
      <c r="C817" s="44" t="s">
        <v>748</v>
      </c>
      <c r="D817" s="44" t="s">
        <v>726</v>
      </c>
      <c r="E817" s="44" t="s">
        <v>640</v>
      </c>
      <c r="F817" s="44" t="s">
        <v>641</v>
      </c>
      <c r="G817" s="44" t="s">
        <v>1899</v>
      </c>
      <c r="H817" s="44" t="s">
        <v>650</v>
      </c>
      <c r="I817" s="44" t="s">
        <v>779</v>
      </c>
      <c r="J817" s="44" t="s">
        <v>656</v>
      </c>
      <c r="K817" s="44" t="s">
        <v>14</v>
      </c>
      <c r="L817" s="104">
        <v>5179.4</v>
      </c>
      <c r="M817" s="104">
        <v>4886.23</v>
      </c>
      <c r="N817" s="104">
        <v>293.17</v>
      </c>
      <c r="O817" s="44" t="s">
        <v>2682</v>
      </c>
    </row>
    <row r="818" hidden="1" customHeight="1" spans="1:15">
      <c r="A818" s="44" t="s">
        <v>637</v>
      </c>
      <c r="B818" s="86">
        <v>45260</v>
      </c>
      <c r="C818" s="44" t="s">
        <v>748</v>
      </c>
      <c r="D818" s="44" t="s">
        <v>682</v>
      </c>
      <c r="E818" s="44" t="s">
        <v>640</v>
      </c>
      <c r="F818" s="44" t="s">
        <v>641</v>
      </c>
      <c r="G818" s="44" t="s">
        <v>1899</v>
      </c>
      <c r="H818" s="44" t="s">
        <v>650</v>
      </c>
      <c r="I818" s="44" t="s">
        <v>646</v>
      </c>
      <c r="J818" s="44" t="s">
        <v>656</v>
      </c>
      <c r="K818" s="44" t="s">
        <v>14</v>
      </c>
      <c r="L818" s="104">
        <v>3000</v>
      </c>
      <c r="M818" s="104">
        <v>2830.19</v>
      </c>
      <c r="N818" s="104">
        <v>169.81</v>
      </c>
      <c r="O818" s="44" t="s">
        <v>2683</v>
      </c>
    </row>
    <row r="819" hidden="1" customHeight="1" spans="1:15">
      <c r="A819" s="44" t="s">
        <v>637</v>
      </c>
      <c r="B819" s="86">
        <v>45260</v>
      </c>
      <c r="C819" s="44" t="s">
        <v>748</v>
      </c>
      <c r="D819" s="44" t="s">
        <v>682</v>
      </c>
      <c r="E819" s="44" t="s">
        <v>640</v>
      </c>
      <c r="F819" s="44" t="s">
        <v>641</v>
      </c>
      <c r="G819" s="44" t="s">
        <v>1901</v>
      </c>
      <c r="H819" s="44" t="s">
        <v>650</v>
      </c>
      <c r="I819" s="44" t="s">
        <v>2030</v>
      </c>
      <c r="J819" s="44" t="s">
        <v>656</v>
      </c>
      <c r="K819" s="44" t="s">
        <v>13</v>
      </c>
      <c r="L819" s="104">
        <v>3000</v>
      </c>
      <c r="M819" s="104">
        <v>2830.19</v>
      </c>
      <c r="N819" s="104">
        <v>169.81</v>
      </c>
      <c r="O819" s="44" t="s">
        <v>2684</v>
      </c>
    </row>
    <row r="820" hidden="1" customHeight="1" spans="1:15">
      <c r="A820" s="44" t="s">
        <v>637</v>
      </c>
      <c r="B820" s="86">
        <v>45260</v>
      </c>
      <c r="C820" s="44" t="s">
        <v>748</v>
      </c>
      <c r="D820" s="44" t="s">
        <v>1284</v>
      </c>
      <c r="E820" s="44" t="s">
        <v>640</v>
      </c>
      <c r="F820" s="44" t="s">
        <v>641</v>
      </c>
      <c r="G820" s="44" t="s">
        <v>1899</v>
      </c>
      <c r="H820" s="44" t="s">
        <v>697</v>
      </c>
      <c r="I820" s="44" t="s">
        <v>444</v>
      </c>
      <c r="J820" s="44" t="s">
        <v>656</v>
      </c>
      <c r="K820" s="44" t="s">
        <v>14</v>
      </c>
      <c r="L820" s="104">
        <v>-422.88</v>
      </c>
      <c r="M820" s="104">
        <v>-398.94</v>
      </c>
      <c r="N820" s="104">
        <v>-23.94</v>
      </c>
      <c r="O820" s="44" t="s">
        <v>2685</v>
      </c>
    </row>
    <row r="821" hidden="1" customHeight="1" spans="1:15">
      <c r="A821" s="44" t="s">
        <v>637</v>
      </c>
      <c r="B821" s="86">
        <v>45260</v>
      </c>
      <c r="C821" s="44" t="s">
        <v>748</v>
      </c>
      <c r="D821" s="44" t="s">
        <v>653</v>
      </c>
      <c r="E821" s="44" t="s">
        <v>640</v>
      </c>
      <c r="F821" s="44" t="s">
        <v>641</v>
      </c>
      <c r="G821" s="44" t="s">
        <v>1901</v>
      </c>
      <c r="H821" s="44" t="s">
        <v>650</v>
      </c>
      <c r="I821" s="44" t="s">
        <v>463</v>
      </c>
      <c r="J821" s="44" t="s">
        <v>656</v>
      </c>
      <c r="K821" s="44" t="s">
        <v>166</v>
      </c>
      <c r="L821" s="104">
        <v>32481.61</v>
      </c>
      <c r="M821" s="104">
        <v>30643.03</v>
      </c>
      <c r="N821" s="104">
        <v>1838.58</v>
      </c>
      <c r="O821" s="44" t="s">
        <v>2686</v>
      </c>
    </row>
    <row r="822" hidden="1" customHeight="1" spans="1:15">
      <c r="A822" s="44" t="s">
        <v>637</v>
      </c>
      <c r="B822" s="86">
        <v>45260</v>
      </c>
      <c r="C822" s="44" t="s">
        <v>748</v>
      </c>
      <c r="D822" s="44" t="s">
        <v>653</v>
      </c>
      <c r="E822" s="44" t="s">
        <v>640</v>
      </c>
      <c r="F822" s="44" t="s">
        <v>641</v>
      </c>
      <c r="G822" s="44" t="s">
        <v>1901</v>
      </c>
      <c r="H822" s="44" t="s">
        <v>650</v>
      </c>
      <c r="I822" s="44" t="s">
        <v>463</v>
      </c>
      <c r="J822" s="44" t="s">
        <v>656</v>
      </c>
      <c r="K822" s="44" t="s">
        <v>166</v>
      </c>
      <c r="L822" s="104">
        <v>9270.54</v>
      </c>
      <c r="M822" s="104">
        <v>8745.79</v>
      </c>
      <c r="N822" s="104">
        <v>524.75</v>
      </c>
      <c r="O822" s="44" t="s">
        <v>2687</v>
      </c>
    </row>
    <row r="823" hidden="1" customHeight="1" spans="1:15">
      <c r="A823" s="44" t="s">
        <v>637</v>
      </c>
      <c r="B823" s="86">
        <v>45260</v>
      </c>
      <c r="C823" s="44" t="s">
        <v>748</v>
      </c>
      <c r="D823" s="44" t="s">
        <v>1902</v>
      </c>
      <c r="E823" s="44" t="s">
        <v>640</v>
      </c>
      <c r="F823" s="44" t="s">
        <v>641</v>
      </c>
      <c r="G823" s="44" t="s">
        <v>1901</v>
      </c>
      <c r="H823" s="44" t="s">
        <v>643</v>
      </c>
      <c r="I823" s="44" t="s">
        <v>444</v>
      </c>
      <c r="J823" s="44" t="s">
        <v>656</v>
      </c>
      <c r="K823" s="44" t="s">
        <v>14</v>
      </c>
      <c r="L823" s="104">
        <v>52754.63</v>
      </c>
      <c r="M823" s="104">
        <v>49768.52</v>
      </c>
      <c r="N823" s="104">
        <v>2986.11</v>
      </c>
      <c r="O823" s="44" t="s">
        <v>2688</v>
      </c>
    </row>
    <row r="824" hidden="1" customHeight="1" spans="1:15">
      <c r="A824" s="44" t="s">
        <v>637</v>
      </c>
      <c r="B824" s="86">
        <v>45260</v>
      </c>
      <c r="C824" s="44" t="s">
        <v>748</v>
      </c>
      <c r="D824" s="44" t="s">
        <v>726</v>
      </c>
      <c r="E824" s="44" t="s">
        <v>640</v>
      </c>
      <c r="F824" s="44" t="s">
        <v>641</v>
      </c>
      <c r="G824" s="44" t="s">
        <v>1899</v>
      </c>
      <c r="H824" s="44" t="s">
        <v>643</v>
      </c>
      <c r="I824" s="44" t="s">
        <v>779</v>
      </c>
      <c r="J824" s="44" t="s">
        <v>656</v>
      </c>
      <c r="K824" s="44" t="s">
        <v>14</v>
      </c>
      <c r="L824" s="104">
        <v>44204.29</v>
      </c>
      <c r="M824" s="104">
        <v>41702.16</v>
      </c>
      <c r="N824" s="104">
        <v>2502.13</v>
      </c>
      <c r="O824" s="44" t="s">
        <v>2689</v>
      </c>
    </row>
    <row r="825" hidden="1" customHeight="1" spans="1:15">
      <c r="A825" s="44" t="s">
        <v>637</v>
      </c>
      <c r="B825" s="86">
        <v>45260</v>
      </c>
      <c r="C825" s="44" t="s">
        <v>748</v>
      </c>
      <c r="D825" s="44" t="s">
        <v>1902</v>
      </c>
      <c r="E825" s="44" t="s">
        <v>640</v>
      </c>
      <c r="F825" s="44" t="s">
        <v>641</v>
      </c>
      <c r="G825" s="44" t="s">
        <v>1901</v>
      </c>
      <c r="H825" s="44" t="s">
        <v>643</v>
      </c>
      <c r="I825" s="44" t="s">
        <v>444</v>
      </c>
      <c r="J825" s="44" t="s">
        <v>656</v>
      </c>
      <c r="K825" s="44" t="s">
        <v>14</v>
      </c>
      <c r="L825" s="104">
        <v>3566.91</v>
      </c>
      <c r="M825" s="104">
        <v>3365.01</v>
      </c>
      <c r="N825" s="104">
        <v>201.9</v>
      </c>
      <c r="O825" s="44" t="s">
        <v>2690</v>
      </c>
    </row>
    <row r="826" hidden="1" customHeight="1" spans="1:15">
      <c r="A826" s="44" t="s">
        <v>637</v>
      </c>
      <c r="B826" s="86">
        <v>45260</v>
      </c>
      <c r="C826" s="44" t="s">
        <v>748</v>
      </c>
      <c r="D826" s="44" t="s">
        <v>1902</v>
      </c>
      <c r="E826" s="44" t="s">
        <v>1898</v>
      </c>
      <c r="F826" s="44" t="s">
        <v>641</v>
      </c>
      <c r="G826" s="44" t="s">
        <v>1899</v>
      </c>
      <c r="H826" s="44" t="s">
        <v>643</v>
      </c>
      <c r="I826" s="44" t="s">
        <v>444</v>
      </c>
      <c r="J826" s="44" t="s">
        <v>656</v>
      </c>
      <c r="K826" s="44" t="s">
        <v>14</v>
      </c>
      <c r="L826" s="104">
        <v>36270.31</v>
      </c>
      <c r="M826" s="104">
        <v>34217.27</v>
      </c>
      <c r="N826" s="104">
        <v>2053.04</v>
      </c>
      <c r="O826" s="44" t="s">
        <v>2691</v>
      </c>
    </row>
    <row r="827" hidden="1" customHeight="1" spans="1:15">
      <c r="A827" s="44" t="s">
        <v>637</v>
      </c>
      <c r="B827" s="86">
        <v>45260</v>
      </c>
      <c r="C827" s="44" t="s">
        <v>748</v>
      </c>
      <c r="D827" s="44" t="s">
        <v>726</v>
      </c>
      <c r="E827" s="44" t="s">
        <v>1898</v>
      </c>
      <c r="F827" s="44" t="s">
        <v>641</v>
      </c>
      <c r="G827" s="44" t="s">
        <v>1899</v>
      </c>
      <c r="H827" s="44" t="s">
        <v>643</v>
      </c>
      <c r="I827" s="44" t="s">
        <v>444</v>
      </c>
      <c r="J827" s="44" t="s">
        <v>656</v>
      </c>
      <c r="K827" s="44" t="s">
        <v>14</v>
      </c>
      <c r="L827" s="104">
        <v>321286.37</v>
      </c>
      <c r="M827" s="104">
        <v>303100.35</v>
      </c>
      <c r="N827" s="104">
        <v>18186.02</v>
      </c>
      <c r="O827" s="44" t="s">
        <v>2692</v>
      </c>
    </row>
    <row r="828" hidden="1" customHeight="1" spans="1:15">
      <c r="A828" s="44" t="s">
        <v>637</v>
      </c>
      <c r="B828" s="86">
        <v>45260</v>
      </c>
      <c r="C828" s="44" t="s">
        <v>2478</v>
      </c>
      <c r="D828" s="44" t="s">
        <v>1296</v>
      </c>
      <c r="E828" s="44" t="s">
        <v>640</v>
      </c>
      <c r="F828" s="44" t="s">
        <v>641</v>
      </c>
      <c r="G828" s="44" t="s">
        <v>1901</v>
      </c>
      <c r="H828" s="44" t="s">
        <v>650</v>
      </c>
      <c r="I828" s="44" t="s">
        <v>2056</v>
      </c>
      <c r="J828" s="44" t="s">
        <v>644</v>
      </c>
      <c r="K828" s="44" t="s">
        <v>20</v>
      </c>
      <c r="L828" s="104">
        <v>20000</v>
      </c>
      <c r="M828" s="104">
        <v>18867.92</v>
      </c>
      <c r="N828" s="104">
        <v>1132.08</v>
      </c>
      <c r="O828" s="44" t="s">
        <v>2693</v>
      </c>
    </row>
    <row r="829" hidden="1" customHeight="1" spans="1:15">
      <c r="A829" s="44" t="s">
        <v>637</v>
      </c>
      <c r="B829" s="86">
        <v>45260</v>
      </c>
      <c r="C829" s="44" t="s">
        <v>2478</v>
      </c>
      <c r="D829" s="44" t="s">
        <v>1296</v>
      </c>
      <c r="E829" s="44" t="s">
        <v>640</v>
      </c>
      <c r="F829" s="44" t="s">
        <v>641</v>
      </c>
      <c r="G829" s="44" t="s">
        <v>1901</v>
      </c>
      <c r="H829" s="44" t="s">
        <v>650</v>
      </c>
      <c r="I829" s="44" t="s">
        <v>2058</v>
      </c>
      <c r="J829" s="44" t="s">
        <v>644</v>
      </c>
      <c r="K829" s="44" t="s">
        <v>20</v>
      </c>
      <c r="L829" s="104">
        <v>9768</v>
      </c>
      <c r="M829" s="104">
        <v>9215.09</v>
      </c>
      <c r="N829" s="104">
        <v>552.91</v>
      </c>
      <c r="O829" s="44" t="s">
        <v>2694</v>
      </c>
    </row>
    <row r="830" hidden="1" customHeight="1" spans="1:15">
      <c r="A830" s="44" t="s">
        <v>637</v>
      </c>
      <c r="B830" s="86">
        <v>45260</v>
      </c>
      <c r="C830" s="44" t="s">
        <v>646</v>
      </c>
      <c r="D830" s="44" t="s">
        <v>726</v>
      </c>
      <c r="E830" s="44" t="s">
        <v>640</v>
      </c>
      <c r="F830" s="44" t="s">
        <v>641</v>
      </c>
      <c r="G830" s="44" t="s">
        <v>1899</v>
      </c>
      <c r="H830" s="44" t="s">
        <v>650</v>
      </c>
      <c r="I830" s="44" t="s">
        <v>461</v>
      </c>
      <c r="J830" s="44" t="s">
        <v>656</v>
      </c>
      <c r="K830" s="44" t="s">
        <v>14</v>
      </c>
      <c r="L830" s="104">
        <v>202680.42</v>
      </c>
      <c r="M830" s="104">
        <v>191207.94</v>
      </c>
      <c r="N830" s="104">
        <v>11472.48</v>
      </c>
      <c r="O830" s="44" t="s">
        <v>2695</v>
      </c>
    </row>
    <row r="831" hidden="1" customHeight="1" spans="1:15">
      <c r="A831" s="44" t="s">
        <v>637</v>
      </c>
      <c r="B831" s="86">
        <v>45260</v>
      </c>
      <c r="C831" s="44" t="s">
        <v>646</v>
      </c>
      <c r="D831" s="44" t="s">
        <v>1296</v>
      </c>
      <c r="E831" s="44" t="s">
        <v>640</v>
      </c>
      <c r="F831" s="44" t="s">
        <v>641</v>
      </c>
      <c r="G831" s="44" t="s">
        <v>1899</v>
      </c>
      <c r="H831" s="44" t="s">
        <v>643</v>
      </c>
      <c r="I831" s="44" t="s">
        <v>1982</v>
      </c>
      <c r="J831" s="44" t="s">
        <v>644</v>
      </c>
      <c r="K831" s="44" t="s">
        <v>14</v>
      </c>
      <c r="L831" s="104">
        <v>2593351.24</v>
      </c>
      <c r="M831" s="104">
        <v>2446557.77</v>
      </c>
      <c r="N831" s="104">
        <v>146793.47</v>
      </c>
      <c r="O831" s="44" t="s">
        <v>2696</v>
      </c>
    </row>
    <row r="832" hidden="1" customHeight="1" spans="1:15">
      <c r="A832" s="44" t="s">
        <v>637</v>
      </c>
      <c r="B832" s="86">
        <v>45260</v>
      </c>
      <c r="C832" s="44" t="s">
        <v>646</v>
      </c>
      <c r="D832" s="44" t="s">
        <v>1296</v>
      </c>
      <c r="E832" s="44" t="s">
        <v>640</v>
      </c>
      <c r="F832" s="44" t="s">
        <v>641</v>
      </c>
      <c r="G832" s="44" t="s">
        <v>1899</v>
      </c>
      <c r="H832" s="44" t="s">
        <v>643</v>
      </c>
      <c r="I832" s="44" t="s">
        <v>1925</v>
      </c>
      <c r="J832" s="44" t="s">
        <v>644</v>
      </c>
      <c r="K832" s="44" t="s">
        <v>14</v>
      </c>
      <c r="L832" s="104">
        <v>171780</v>
      </c>
      <c r="M832" s="104">
        <v>162056.6</v>
      </c>
      <c r="N832" s="104">
        <v>9723.4</v>
      </c>
      <c r="O832" s="44" t="s">
        <v>2697</v>
      </c>
    </row>
    <row r="833" hidden="1" customHeight="1" spans="1:15">
      <c r="A833" s="44" t="s">
        <v>637</v>
      </c>
      <c r="B833" s="86">
        <v>45260</v>
      </c>
      <c r="C833" s="44" t="s">
        <v>646</v>
      </c>
      <c r="D833" s="44" t="s">
        <v>1296</v>
      </c>
      <c r="E833" s="44" t="s">
        <v>640</v>
      </c>
      <c r="F833" s="44" t="s">
        <v>641</v>
      </c>
      <c r="G833" s="44" t="s">
        <v>1899</v>
      </c>
      <c r="H833" s="44" t="s">
        <v>643</v>
      </c>
      <c r="I833" s="44" t="s">
        <v>1995</v>
      </c>
      <c r="J833" s="44" t="s">
        <v>644</v>
      </c>
      <c r="K833" s="44" t="s">
        <v>14</v>
      </c>
      <c r="L833" s="104">
        <v>987788.59</v>
      </c>
      <c r="M833" s="104">
        <v>931876.03</v>
      </c>
      <c r="N833" s="104">
        <v>55912.56</v>
      </c>
      <c r="O833" s="44" t="s">
        <v>2698</v>
      </c>
    </row>
    <row r="834" hidden="1" customHeight="1" spans="1:15">
      <c r="A834" s="44" t="s">
        <v>637</v>
      </c>
      <c r="B834" s="86">
        <v>45260</v>
      </c>
      <c r="C834" s="44" t="s">
        <v>646</v>
      </c>
      <c r="D834" s="44" t="s">
        <v>2483</v>
      </c>
      <c r="E834" s="44" t="s">
        <v>640</v>
      </c>
      <c r="F834" s="44" t="s">
        <v>641</v>
      </c>
      <c r="G834" s="44" t="s">
        <v>1899</v>
      </c>
      <c r="H834" s="44" t="s">
        <v>650</v>
      </c>
      <c r="I834" s="44" t="s">
        <v>1955</v>
      </c>
      <c r="J834" s="44" t="s">
        <v>656</v>
      </c>
      <c r="K834" s="44" t="s">
        <v>166</v>
      </c>
      <c r="L834" s="104">
        <v>2219.75</v>
      </c>
      <c r="M834" s="104">
        <v>2094.1</v>
      </c>
      <c r="N834" s="104">
        <v>125.65</v>
      </c>
      <c r="O834" s="44" t="s">
        <v>2699</v>
      </c>
    </row>
    <row r="835" hidden="1" customHeight="1" spans="1:15">
      <c r="A835" s="44" t="s">
        <v>637</v>
      </c>
      <c r="B835" s="86">
        <v>45260</v>
      </c>
      <c r="C835" s="44" t="s">
        <v>811</v>
      </c>
      <c r="D835" s="44" t="s">
        <v>653</v>
      </c>
      <c r="E835" s="44" t="s">
        <v>640</v>
      </c>
      <c r="F835" s="44" t="s">
        <v>641</v>
      </c>
      <c r="G835" s="44" t="s">
        <v>1899</v>
      </c>
      <c r="H835" s="44" t="s">
        <v>650</v>
      </c>
      <c r="I835" s="44" t="s">
        <v>435</v>
      </c>
      <c r="J835" s="44" t="s">
        <v>656</v>
      </c>
      <c r="K835" s="44" t="s">
        <v>166</v>
      </c>
      <c r="L835" s="104">
        <v>-14356.2</v>
      </c>
      <c r="M835" s="104">
        <v>-13543.58</v>
      </c>
      <c r="N835" s="104">
        <v>-812.62</v>
      </c>
      <c r="O835" s="44" t="s">
        <v>2700</v>
      </c>
    </row>
    <row r="836" hidden="1" customHeight="1" spans="1:15">
      <c r="A836" s="44" t="s">
        <v>637</v>
      </c>
      <c r="B836" s="86">
        <v>45260</v>
      </c>
      <c r="C836" s="44" t="s">
        <v>811</v>
      </c>
      <c r="D836" s="44" t="s">
        <v>653</v>
      </c>
      <c r="E836" s="44" t="s">
        <v>640</v>
      </c>
      <c r="F836" s="44" t="s">
        <v>641</v>
      </c>
      <c r="G836" s="44" t="s">
        <v>1901</v>
      </c>
      <c r="H836" s="44" t="s">
        <v>650</v>
      </c>
      <c r="I836" s="44" t="s">
        <v>435</v>
      </c>
      <c r="J836" s="44" t="s">
        <v>644</v>
      </c>
      <c r="K836" s="44" t="s">
        <v>166</v>
      </c>
      <c r="L836" s="104">
        <v>59184.11</v>
      </c>
      <c r="M836" s="104">
        <v>55834.07</v>
      </c>
      <c r="N836" s="104">
        <v>3350.04</v>
      </c>
      <c r="O836" s="44" t="s">
        <v>2701</v>
      </c>
    </row>
    <row r="837" hidden="1" customHeight="1" spans="1:15">
      <c r="A837" s="44" t="s">
        <v>637</v>
      </c>
      <c r="B837" s="86">
        <v>45260</v>
      </c>
      <c r="C837" s="44" t="s">
        <v>730</v>
      </c>
      <c r="D837" s="44" t="s">
        <v>2483</v>
      </c>
      <c r="E837" s="44" t="s">
        <v>640</v>
      </c>
      <c r="F837" s="44" t="s">
        <v>641</v>
      </c>
      <c r="G837" s="44" t="s">
        <v>1899</v>
      </c>
      <c r="H837" s="44" t="s">
        <v>650</v>
      </c>
      <c r="I837" s="44" t="s">
        <v>1951</v>
      </c>
      <c r="J837" s="44" t="s">
        <v>656</v>
      </c>
      <c r="K837" s="44" t="s">
        <v>166</v>
      </c>
      <c r="L837" s="104">
        <v>8379.31</v>
      </c>
      <c r="M837" s="104">
        <v>7905.01</v>
      </c>
      <c r="N837" s="104">
        <v>474.3</v>
      </c>
      <c r="O837" s="44" t="s">
        <v>2702</v>
      </c>
    </row>
    <row r="838" hidden="1" customHeight="1" spans="1:15">
      <c r="A838" s="44" t="s">
        <v>637</v>
      </c>
      <c r="B838" s="86">
        <v>45260</v>
      </c>
      <c r="C838" s="44" t="s">
        <v>748</v>
      </c>
      <c r="D838" s="44" t="s">
        <v>2483</v>
      </c>
      <c r="E838" s="44" t="s">
        <v>640</v>
      </c>
      <c r="F838" s="44" t="s">
        <v>641</v>
      </c>
      <c r="G838" s="44" t="s">
        <v>1899</v>
      </c>
      <c r="H838" s="44" t="s">
        <v>650</v>
      </c>
      <c r="I838" s="44" t="s">
        <v>1273</v>
      </c>
      <c r="J838" s="44" t="s">
        <v>656</v>
      </c>
      <c r="K838" s="44" t="s">
        <v>166</v>
      </c>
      <c r="L838" s="104">
        <v>160526.64</v>
      </c>
      <c r="M838" s="104">
        <v>151440.23</v>
      </c>
      <c r="N838" s="104">
        <v>9086.41</v>
      </c>
      <c r="O838" s="44" t="s">
        <v>2703</v>
      </c>
    </row>
    <row r="839" hidden="1" customHeight="1" spans="1:15">
      <c r="A839" s="44" t="s">
        <v>637</v>
      </c>
      <c r="B839" s="86">
        <v>45260</v>
      </c>
      <c r="C839" s="44" t="s">
        <v>748</v>
      </c>
      <c r="D839" s="44" t="s">
        <v>1284</v>
      </c>
      <c r="E839" s="44" t="s">
        <v>640</v>
      </c>
      <c r="F839" s="44" t="s">
        <v>641</v>
      </c>
      <c r="G839" s="44" t="s">
        <v>1901</v>
      </c>
      <c r="H839" s="44" t="s">
        <v>643</v>
      </c>
      <c r="I839" s="44" t="s">
        <v>444</v>
      </c>
      <c r="J839" s="44" t="s">
        <v>656</v>
      </c>
      <c r="K839" s="44" t="s">
        <v>14</v>
      </c>
      <c r="L839" s="104">
        <v>12906.54</v>
      </c>
      <c r="M839" s="104">
        <v>12175.98</v>
      </c>
      <c r="N839" s="104">
        <v>730.56</v>
      </c>
      <c r="O839" s="44" t="s">
        <v>2704</v>
      </c>
    </row>
    <row r="840" hidden="1" customHeight="1" spans="1:15">
      <c r="A840" s="44" t="s">
        <v>637</v>
      </c>
      <c r="B840" s="86">
        <v>45260</v>
      </c>
      <c r="C840" s="44" t="s">
        <v>748</v>
      </c>
      <c r="D840" s="44" t="s">
        <v>2483</v>
      </c>
      <c r="E840" s="44" t="s">
        <v>640</v>
      </c>
      <c r="F840" s="44" t="s">
        <v>641</v>
      </c>
      <c r="G840" s="44" t="s">
        <v>1901</v>
      </c>
      <c r="H840" s="44" t="s">
        <v>650</v>
      </c>
      <c r="I840" s="44" t="s">
        <v>463</v>
      </c>
      <c r="J840" s="44" t="s">
        <v>656</v>
      </c>
      <c r="K840" s="44" t="s">
        <v>166</v>
      </c>
      <c r="L840" s="104">
        <v>160526.64</v>
      </c>
      <c r="M840" s="104">
        <v>151440.23</v>
      </c>
      <c r="N840" s="104">
        <v>9086.41</v>
      </c>
      <c r="O840" s="44" t="s">
        <v>2705</v>
      </c>
    </row>
    <row r="841" hidden="1" customHeight="1" spans="1:15">
      <c r="A841" s="44" t="s">
        <v>637</v>
      </c>
      <c r="B841" s="86">
        <v>45260</v>
      </c>
      <c r="C841" s="44" t="s">
        <v>748</v>
      </c>
      <c r="D841" s="44" t="s">
        <v>1284</v>
      </c>
      <c r="E841" s="44" t="s">
        <v>1898</v>
      </c>
      <c r="F841" s="44" t="s">
        <v>641</v>
      </c>
      <c r="G841" s="44" t="s">
        <v>1899</v>
      </c>
      <c r="H841" s="44" t="s">
        <v>643</v>
      </c>
      <c r="I841" s="44" t="s">
        <v>444</v>
      </c>
      <c r="J841" s="44" t="s">
        <v>656</v>
      </c>
      <c r="K841" s="44" t="s">
        <v>14</v>
      </c>
      <c r="L841" s="104">
        <v>19853.29</v>
      </c>
      <c r="M841" s="104">
        <v>18729.52</v>
      </c>
      <c r="N841" s="104">
        <v>1123.77</v>
      </c>
      <c r="O841" s="44" t="s">
        <v>2706</v>
      </c>
    </row>
    <row r="842" hidden="1" customHeight="1" spans="1:15">
      <c r="A842" s="44" t="s">
        <v>637</v>
      </c>
      <c r="B842" s="86">
        <v>45260</v>
      </c>
      <c r="C842" s="44" t="s">
        <v>2478</v>
      </c>
      <c r="D842" s="44" t="s">
        <v>1296</v>
      </c>
      <c r="E842" s="44" t="s">
        <v>640</v>
      </c>
      <c r="F842" s="44" t="s">
        <v>641</v>
      </c>
      <c r="G842" s="44" t="s">
        <v>1899</v>
      </c>
      <c r="H842" s="44" t="s">
        <v>650</v>
      </c>
      <c r="I842" s="44" t="s">
        <v>2046</v>
      </c>
      <c r="J842" s="44" t="s">
        <v>644</v>
      </c>
      <c r="K842" s="44" t="s">
        <v>20</v>
      </c>
      <c r="L842" s="104">
        <v>1114.75</v>
      </c>
      <c r="M842" s="104">
        <v>1051.65</v>
      </c>
      <c r="N842" s="104">
        <v>63.1</v>
      </c>
      <c r="O842" s="44" t="s">
        <v>2707</v>
      </c>
    </row>
    <row r="843" hidden="1" customHeight="1" spans="1:15">
      <c r="A843" s="44" t="s">
        <v>637</v>
      </c>
      <c r="B843" s="86">
        <v>45260</v>
      </c>
      <c r="C843" s="44" t="s">
        <v>2478</v>
      </c>
      <c r="D843" s="44" t="s">
        <v>1296</v>
      </c>
      <c r="E843" s="44" t="s">
        <v>640</v>
      </c>
      <c r="F843" s="44" t="s">
        <v>641</v>
      </c>
      <c r="G843" s="44" t="s">
        <v>1899</v>
      </c>
      <c r="H843" s="44" t="s">
        <v>650</v>
      </c>
      <c r="I843" s="44" t="s">
        <v>2044</v>
      </c>
      <c r="J843" s="44" t="s">
        <v>644</v>
      </c>
      <c r="K843" s="44" t="s">
        <v>20</v>
      </c>
      <c r="L843" s="104">
        <v>40793.85</v>
      </c>
      <c r="M843" s="104">
        <v>38484.76</v>
      </c>
      <c r="N843" s="104">
        <v>2309.09</v>
      </c>
      <c r="O843" s="44" t="s">
        <v>2708</v>
      </c>
    </row>
    <row r="844" hidden="1" customHeight="1" spans="1:15">
      <c r="A844" s="44" t="s">
        <v>637</v>
      </c>
      <c r="B844" s="86">
        <v>45260</v>
      </c>
      <c r="C844" s="44" t="s">
        <v>646</v>
      </c>
      <c r="D844" s="44" t="s">
        <v>2134</v>
      </c>
      <c r="E844" s="44" t="s">
        <v>640</v>
      </c>
      <c r="F844" s="44" t="s">
        <v>641</v>
      </c>
      <c r="G844" s="44" t="s">
        <v>1899</v>
      </c>
      <c r="H844" s="44" t="s">
        <v>643</v>
      </c>
      <c r="I844" s="44" t="s">
        <v>1906</v>
      </c>
      <c r="J844" s="44" t="s">
        <v>656</v>
      </c>
      <c r="K844" s="44" t="s">
        <v>14</v>
      </c>
      <c r="L844" s="104">
        <v>12809.9</v>
      </c>
      <c r="M844" s="104">
        <v>12084.81</v>
      </c>
      <c r="N844" s="104">
        <v>725.09</v>
      </c>
      <c r="O844" s="44" t="s">
        <v>2709</v>
      </c>
    </row>
    <row r="845" hidden="1" customHeight="1" spans="1:15">
      <c r="A845" s="44" t="s">
        <v>637</v>
      </c>
      <c r="B845" s="86">
        <v>45260</v>
      </c>
      <c r="C845" s="44" t="s">
        <v>1273</v>
      </c>
      <c r="D845" s="44" t="s">
        <v>2483</v>
      </c>
      <c r="E845" s="44" t="s">
        <v>640</v>
      </c>
      <c r="F845" s="44" t="s">
        <v>641</v>
      </c>
      <c r="G845" s="44" t="s">
        <v>1899</v>
      </c>
      <c r="H845" s="44" t="s">
        <v>650</v>
      </c>
      <c r="I845" s="44" t="s">
        <v>737</v>
      </c>
      <c r="J845" s="44" t="s">
        <v>656</v>
      </c>
      <c r="K845" s="44" t="s">
        <v>166</v>
      </c>
      <c r="L845" s="104">
        <v>503321.13</v>
      </c>
      <c r="M845" s="104">
        <v>474831.25</v>
      </c>
      <c r="N845" s="104">
        <v>28489.88</v>
      </c>
      <c r="O845" s="44" t="s">
        <v>2710</v>
      </c>
    </row>
    <row r="846" hidden="1" customHeight="1" spans="1:15">
      <c r="A846" s="44" t="s">
        <v>637</v>
      </c>
      <c r="B846" s="86">
        <v>45260</v>
      </c>
      <c r="C846" s="44" t="s">
        <v>2478</v>
      </c>
      <c r="D846" s="44" t="s">
        <v>1296</v>
      </c>
      <c r="E846" s="44" t="s">
        <v>640</v>
      </c>
      <c r="F846" s="44" t="s">
        <v>641</v>
      </c>
      <c r="G846" s="44" t="s">
        <v>1899</v>
      </c>
      <c r="H846" s="44" t="s">
        <v>650</v>
      </c>
      <c r="I846" s="44" t="s">
        <v>2037</v>
      </c>
      <c r="J846" s="44" t="s">
        <v>644</v>
      </c>
      <c r="K846" s="44" t="s">
        <v>20</v>
      </c>
      <c r="L846" s="104">
        <v>139173.13</v>
      </c>
      <c r="M846" s="104">
        <v>131295.41</v>
      </c>
      <c r="N846" s="104">
        <v>7877.72</v>
      </c>
      <c r="O846" s="44" t="s">
        <v>2711</v>
      </c>
    </row>
    <row r="847" hidden="1" customHeight="1" spans="1:15">
      <c r="A847" s="44" t="s">
        <v>637</v>
      </c>
      <c r="B847" s="86">
        <v>45260</v>
      </c>
      <c r="C847" s="44" t="s">
        <v>1273</v>
      </c>
      <c r="D847" s="44" t="s">
        <v>2483</v>
      </c>
      <c r="E847" s="44" t="s">
        <v>640</v>
      </c>
      <c r="F847" s="44" t="s">
        <v>641</v>
      </c>
      <c r="G847" s="44" t="s">
        <v>1899</v>
      </c>
      <c r="H847" s="44" t="s">
        <v>650</v>
      </c>
      <c r="I847" s="44" t="s">
        <v>1961</v>
      </c>
      <c r="J847" s="44" t="s">
        <v>656</v>
      </c>
      <c r="K847" s="44" t="s">
        <v>166</v>
      </c>
      <c r="L847" s="104">
        <v>7540.37</v>
      </c>
      <c r="M847" s="104">
        <v>7113.56</v>
      </c>
      <c r="N847" s="104">
        <v>426.81</v>
      </c>
      <c r="O847" s="44" t="s">
        <v>2712</v>
      </c>
    </row>
    <row r="848" hidden="1" customHeight="1" spans="1:15">
      <c r="A848" s="44" t="s">
        <v>637</v>
      </c>
      <c r="B848" s="86">
        <v>45260</v>
      </c>
      <c r="C848" s="44" t="s">
        <v>2433</v>
      </c>
      <c r="D848" s="44" t="s">
        <v>1296</v>
      </c>
      <c r="E848" s="44" t="s">
        <v>640</v>
      </c>
      <c r="F848" s="44" t="s">
        <v>641</v>
      </c>
      <c r="G848" s="44" t="s">
        <v>1899</v>
      </c>
      <c r="H848" s="44" t="s">
        <v>643</v>
      </c>
      <c r="I848" s="44" t="s">
        <v>444</v>
      </c>
      <c r="J848" s="44" t="s">
        <v>644</v>
      </c>
      <c r="K848" s="44" t="s">
        <v>14</v>
      </c>
      <c r="L848" s="104">
        <v>408669.58</v>
      </c>
      <c r="M848" s="104">
        <v>385537.34</v>
      </c>
      <c r="N848" s="104">
        <v>23132.24</v>
      </c>
      <c r="O848" s="44" t="s">
        <v>2713</v>
      </c>
    </row>
    <row r="849" hidden="1" customHeight="1" spans="1:15">
      <c r="A849" s="44" t="s">
        <v>637</v>
      </c>
      <c r="B849" s="86">
        <v>45260</v>
      </c>
      <c r="C849" s="44" t="s">
        <v>1273</v>
      </c>
      <c r="D849" s="44" t="s">
        <v>2483</v>
      </c>
      <c r="E849" s="44" t="s">
        <v>640</v>
      </c>
      <c r="F849" s="44" t="s">
        <v>641</v>
      </c>
      <c r="G849" s="44" t="s">
        <v>1899</v>
      </c>
      <c r="H849" s="44" t="s">
        <v>650</v>
      </c>
      <c r="I849" s="44" t="s">
        <v>1944</v>
      </c>
      <c r="J849" s="44" t="s">
        <v>656</v>
      </c>
      <c r="K849" s="44" t="s">
        <v>166</v>
      </c>
      <c r="L849" s="104">
        <v>47492.21</v>
      </c>
      <c r="M849" s="104">
        <v>44803.97</v>
      </c>
      <c r="N849" s="104">
        <v>2688.24</v>
      </c>
      <c r="O849" s="44" t="s">
        <v>2714</v>
      </c>
    </row>
    <row r="850" hidden="1" customHeight="1" spans="1:15">
      <c r="A850" s="44" t="s">
        <v>637</v>
      </c>
      <c r="B850" s="86">
        <v>45260</v>
      </c>
      <c r="C850" s="44" t="s">
        <v>646</v>
      </c>
      <c r="D850" s="44" t="s">
        <v>726</v>
      </c>
      <c r="E850" s="44" t="s">
        <v>640</v>
      </c>
      <c r="F850" s="44" t="s">
        <v>641</v>
      </c>
      <c r="G850" s="44" t="s">
        <v>1899</v>
      </c>
      <c r="H850" s="44" t="s">
        <v>650</v>
      </c>
      <c r="I850" s="44" t="s">
        <v>794</v>
      </c>
      <c r="J850" s="44" t="s">
        <v>656</v>
      </c>
      <c r="K850" s="44" t="s">
        <v>14</v>
      </c>
      <c r="L850" s="104">
        <v>31745.75</v>
      </c>
      <c r="M850" s="104">
        <v>29948.82</v>
      </c>
      <c r="N850" s="104">
        <v>1796.93</v>
      </c>
      <c r="O850" s="44" t="s">
        <v>2715</v>
      </c>
    </row>
    <row r="851" hidden="1" customHeight="1" spans="1:15">
      <c r="A851" s="44" t="s">
        <v>637</v>
      </c>
      <c r="B851" s="86">
        <v>45260</v>
      </c>
      <c r="C851" s="44" t="s">
        <v>646</v>
      </c>
      <c r="D851" s="44" t="s">
        <v>1296</v>
      </c>
      <c r="E851" s="44" t="s">
        <v>640</v>
      </c>
      <c r="F851" s="44" t="s">
        <v>641</v>
      </c>
      <c r="G851" s="44" t="s">
        <v>1899</v>
      </c>
      <c r="H851" s="44" t="s">
        <v>643</v>
      </c>
      <c r="I851" s="44" t="s">
        <v>429</v>
      </c>
      <c r="J851" s="44" t="s">
        <v>644</v>
      </c>
      <c r="K851" s="44" t="s">
        <v>14</v>
      </c>
      <c r="L851" s="104">
        <v>339740.85</v>
      </c>
      <c r="M851" s="104">
        <v>320510.24</v>
      </c>
      <c r="N851" s="104">
        <v>19230.61</v>
      </c>
      <c r="O851" s="44" t="s">
        <v>2716</v>
      </c>
    </row>
    <row r="852" hidden="1" customHeight="1" spans="1:15">
      <c r="A852" s="44" t="s">
        <v>637</v>
      </c>
      <c r="B852" s="86">
        <v>45260</v>
      </c>
      <c r="C852" s="44" t="s">
        <v>646</v>
      </c>
      <c r="D852" s="44" t="s">
        <v>2134</v>
      </c>
      <c r="E852" s="44" t="s">
        <v>640</v>
      </c>
      <c r="F852" s="44" t="s">
        <v>641</v>
      </c>
      <c r="G852" s="44" t="s">
        <v>1899</v>
      </c>
      <c r="H852" s="44" t="s">
        <v>643</v>
      </c>
      <c r="I852" s="44" t="s">
        <v>1989</v>
      </c>
      <c r="J852" s="44" t="s">
        <v>656</v>
      </c>
      <c r="K852" s="44" t="s">
        <v>14</v>
      </c>
      <c r="L852" s="104">
        <v>86.91</v>
      </c>
      <c r="M852" s="104">
        <v>81.99</v>
      </c>
      <c r="N852" s="104">
        <v>4.92</v>
      </c>
      <c r="O852" s="44" t="s">
        <v>2717</v>
      </c>
    </row>
    <row r="853" hidden="1" customHeight="1" spans="1:15">
      <c r="A853" s="44" t="s">
        <v>637</v>
      </c>
      <c r="B853" s="86">
        <v>45260</v>
      </c>
      <c r="C853" s="44" t="s">
        <v>646</v>
      </c>
      <c r="D853" s="44" t="s">
        <v>2483</v>
      </c>
      <c r="E853" s="44" t="s">
        <v>640</v>
      </c>
      <c r="F853" s="44" t="s">
        <v>641</v>
      </c>
      <c r="G853" s="44" t="s">
        <v>1899</v>
      </c>
      <c r="H853" s="44" t="s">
        <v>650</v>
      </c>
      <c r="I853" s="44" t="s">
        <v>1953</v>
      </c>
      <c r="J853" s="44" t="s">
        <v>656</v>
      </c>
      <c r="K853" s="44" t="s">
        <v>166</v>
      </c>
      <c r="L853" s="104">
        <v>252173.36</v>
      </c>
      <c r="M853" s="104">
        <v>237899.4</v>
      </c>
      <c r="N853" s="104">
        <v>14273.96</v>
      </c>
      <c r="O853" s="44" t="s">
        <v>2718</v>
      </c>
    </row>
    <row r="854" hidden="1" customHeight="1" spans="1:15">
      <c r="A854" s="44" t="s">
        <v>637</v>
      </c>
      <c r="B854" s="86">
        <v>45260</v>
      </c>
      <c r="C854" s="44" t="s">
        <v>646</v>
      </c>
      <c r="D854" s="44" t="s">
        <v>1296</v>
      </c>
      <c r="E854" s="44" t="s">
        <v>640</v>
      </c>
      <c r="F854" s="44" t="s">
        <v>641</v>
      </c>
      <c r="G854" s="44" t="s">
        <v>1899</v>
      </c>
      <c r="H854" s="44" t="s">
        <v>643</v>
      </c>
      <c r="I854" s="44" t="s">
        <v>779</v>
      </c>
      <c r="J854" s="44" t="s">
        <v>644</v>
      </c>
      <c r="K854" s="44" t="s">
        <v>14</v>
      </c>
      <c r="L854" s="104">
        <v>23389.85</v>
      </c>
      <c r="M854" s="104">
        <v>22065.9</v>
      </c>
      <c r="N854" s="104">
        <v>1323.95</v>
      </c>
      <c r="O854" s="44" t="s">
        <v>2719</v>
      </c>
    </row>
    <row r="855" hidden="1" customHeight="1" spans="1:15">
      <c r="A855" s="44" t="s">
        <v>637</v>
      </c>
      <c r="B855" s="86">
        <v>45260</v>
      </c>
      <c r="C855" s="44" t="s">
        <v>646</v>
      </c>
      <c r="D855" s="44" t="s">
        <v>2483</v>
      </c>
      <c r="E855" s="44" t="s">
        <v>640</v>
      </c>
      <c r="F855" s="44" t="s">
        <v>641</v>
      </c>
      <c r="G855" s="44" t="s">
        <v>1899</v>
      </c>
      <c r="H855" s="44" t="s">
        <v>650</v>
      </c>
      <c r="I855" s="44" t="s">
        <v>1953</v>
      </c>
      <c r="J855" s="44" t="s">
        <v>656</v>
      </c>
      <c r="K855" s="44" t="s">
        <v>166</v>
      </c>
      <c r="L855" s="104">
        <v>35659.4</v>
      </c>
      <c r="M855" s="104">
        <v>33640.94</v>
      </c>
      <c r="N855" s="104">
        <v>2018.46</v>
      </c>
      <c r="O855" s="44" t="s">
        <v>2720</v>
      </c>
    </row>
    <row r="856" hidden="1" customHeight="1" spans="1:15">
      <c r="A856" s="44" t="s">
        <v>637</v>
      </c>
      <c r="B856" s="86">
        <v>45260</v>
      </c>
      <c r="C856" s="44" t="s">
        <v>646</v>
      </c>
      <c r="D856" s="44" t="s">
        <v>1296</v>
      </c>
      <c r="E856" s="44" t="s">
        <v>640</v>
      </c>
      <c r="F856" s="44" t="s">
        <v>641</v>
      </c>
      <c r="G856" s="44" t="s">
        <v>1899</v>
      </c>
      <c r="H856" s="44" t="s">
        <v>650</v>
      </c>
      <c r="I856" s="44" t="s">
        <v>2028</v>
      </c>
      <c r="J856" s="44" t="s">
        <v>656</v>
      </c>
      <c r="K856" s="44" t="s">
        <v>13</v>
      </c>
      <c r="L856" s="104">
        <v>14055.6</v>
      </c>
      <c r="M856" s="104">
        <v>13260</v>
      </c>
      <c r="N856" s="104">
        <v>795.6</v>
      </c>
      <c r="O856" s="44" t="s">
        <v>2721</v>
      </c>
    </row>
    <row r="857" hidden="1" customHeight="1" spans="1:15">
      <c r="A857" s="44" t="s">
        <v>637</v>
      </c>
      <c r="B857" s="86">
        <v>45260</v>
      </c>
      <c r="C857" s="44" t="s">
        <v>1273</v>
      </c>
      <c r="D857" s="44" t="s">
        <v>2483</v>
      </c>
      <c r="E857" s="44" t="s">
        <v>640</v>
      </c>
      <c r="F857" s="44" t="s">
        <v>641</v>
      </c>
      <c r="G857" s="44" t="s">
        <v>1899</v>
      </c>
      <c r="H857" s="44" t="s">
        <v>650</v>
      </c>
      <c r="I857" s="44" t="s">
        <v>1957</v>
      </c>
      <c r="J857" s="44" t="s">
        <v>656</v>
      </c>
      <c r="K857" s="44" t="s">
        <v>166</v>
      </c>
      <c r="L857" s="104">
        <v>58.2</v>
      </c>
      <c r="M857" s="104">
        <v>54.91</v>
      </c>
      <c r="N857" s="104">
        <v>3.29</v>
      </c>
      <c r="O857" s="44" t="s">
        <v>2722</v>
      </c>
    </row>
    <row r="858" hidden="1" customHeight="1" spans="1:15">
      <c r="A858" s="44" t="s">
        <v>637</v>
      </c>
      <c r="B858" s="86">
        <v>45260</v>
      </c>
      <c r="C858" s="44" t="s">
        <v>646</v>
      </c>
      <c r="D858" s="44" t="s">
        <v>1296</v>
      </c>
      <c r="E858" s="44" t="s">
        <v>640</v>
      </c>
      <c r="F858" s="44" t="s">
        <v>641</v>
      </c>
      <c r="G858" s="44" t="s">
        <v>1899</v>
      </c>
      <c r="H858" s="44" t="s">
        <v>650</v>
      </c>
      <c r="I858" s="44" t="s">
        <v>1934</v>
      </c>
      <c r="J858" s="44" t="s">
        <v>656</v>
      </c>
      <c r="K858" s="44" t="s">
        <v>13</v>
      </c>
      <c r="L858" s="104">
        <v>10242.02</v>
      </c>
      <c r="M858" s="104">
        <v>9662.28</v>
      </c>
      <c r="N858" s="104">
        <v>579.74</v>
      </c>
      <c r="O858" s="44" t="s">
        <v>2723</v>
      </c>
    </row>
    <row r="859" hidden="1" customHeight="1" spans="1:15">
      <c r="A859" s="44" t="s">
        <v>637</v>
      </c>
      <c r="B859" s="86">
        <v>45260</v>
      </c>
      <c r="C859" s="44" t="s">
        <v>1273</v>
      </c>
      <c r="D859" s="44" t="s">
        <v>2483</v>
      </c>
      <c r="E859" s="44" t="s">
        <v>640</v>
      </c>
      <c r="F859" s="44" t="s">
        <v>641</v>
      </c>
      <c r="G859" s="44" t="s">
        <v>1899</v>
      </c>
      <c r="H859" s="44" t="s">
        <v>650</v>
      </c>
      <c r="I859" s="44" t="s">
        <v>1946</v>
      </c>
      <c r="J859" s="44" t="s">
        <v>656</v>
      </c>
      <c r="K859" s="44" t="s">
        <v>166</v>
      </c>
      <c r="L859" s="104">
        <v>71588</v>
      </c>
      <c r="M859" s="104">
        <v>67535.85</v>
      </c>
      <c r="N859" s="104">
        <v>4052.15</v>
      </c>
      <c r="O859" s="44" t="s">
        <v>2724</v>
      </c>
    </row>
    <row r="860" hidden="1" customHeight="1" spans="1:15">
      <c r="A860" s="44" t="s">
        <v>637</v>
      </c>
      <c r="B860" s="86">
        <v>45260</v>
      </c>
      <c r="C860" s="44" t="s">
        <v>646</v>
      </c>
      <c r="D860" s="44" t="s">
        <v>726</v>
      </c>
      <c r="E860" s="44" t="s">
        <v>1898</v>
      </c>
      <c r="F860" s="44" t="s">
        <v>641</v>
      </c>
      <c r="G860" s="44" t="s">
        <v>1899</v>
      </c>
      <c r="H860" s="44" t="s">
        <v>643</v>
      </c>
      <c r="I860" s="44" t="s">
        <v>466</v>
      </c>
      <c r="J860" s="44" t="s">
        <v>656</v>
      </c>
      <c r="K860" s="44" t="s">
        <v>14</v>
      </c>
      <c r="L860" s="104">
        <v>1413932.82</v>
      </c>
      <c r="M860" s="104">
        <v>1333898.89</v>
      </c>
      <c r="N860" s="104">
        <v>80033.93</v>
      </c>
      <c r="O860" s="44" t="s">
        <v>2725</v>
      </c>
    </row>
    <row r="861" hidden="1" customHeight="1" spans="1:15">
      <c r="A861" s="44" t="s">
        <v>637</v>
      </c>
      <c r="B861" s="86">
        <v>45260</v>
      </c>
      <c r="C861" s="44" t="s">
        <v>646</v>
      </c>
      <c r="D861" s="44" t="s">
        <v>1902</v>
      </c>
      <c r="E861" s="44" t="s">
        <v>1898</v>
      </c>
      <c r="F861" s="44" t="s">
        <v>641</v>
      </c>
      <c r="G861" s="44" t="s">
        <v>1899</v>
      </c>
      <c r="H861" s="44" t="s">
        <v>643</v>
      </c>
      <c r="I861" s="44" t="s">
        <v>436</v>
      </c>
      <c r="J861" s="44" t="s">
        <v>644</v>
      </c>
      <c r="K861" s="44" t="s">
        <v>350</v>
      </c>
      <c r="L861" s="104">
        <v>17792.98</v>
      </c>
      <c r="M861" s="104">
        <v>16785.83</v>
      </c>
      <c r="N861" s="104">
        <v>1007.15</v>
      </c>
      <c r="O861" s="44" t="s">
        <v>2726</v>
      </c>
    </row>
    <row r="862" hidden="1" customHeight="1" spans="1:15">
      <c r="A862" s="44" t="s">
        <v>637</v>
      </c>
      <c r="B862" s="86">
        <v>45260</v>
      </c>
      <c r="C862" s="44" t="s">
        <v>646</v>
      </c>
      <c r="D862" s="44" t="s">
        <v>2483</v>
      </c>
      <c r="E862" s="44" t="s">
        <v>640</v>
      </c>
      <c r="F862" s="44" t="s">
        <v>641</v>
      </c>
      <c r="G862" s="44" t="s">
        <v>1899</v>
      </c>
      <c r="H862" s="44" t="s">
        <v>650</v>
      </c>
      <c r="I862" s="44" t="s">
        <v>1953</v>
      </c>
      <c r="J862" s="44" t="s">
        <v>656</v>
      </c>
      <c r="K862" s="44" t="s">
        <v>166</v>
      </c>
      <c r="L862" s="104">
        <v>151820.28</v>
      </c>
      <c r="M862" s="104">
        <v>143226.68</v>
      </c>
      <c r="N862" s="104">
        <v>8593.6</v>
      </c>
      <c r="O862" s="44" t="s">
        <v>2727</v>
      </c>
    </row>
    <row r="863" hidden="1" customHeight="1" spans="1:15">
      <c r="A863" s="44" t="s">
        <v>637</v>
      </c>
      <c r="B863" s="86">
        <v>45260</v>
      </c>
      <c r="C863" s="44" t="s">
        <v>646</v>
      </c>
      <c r="D863" s="44" t="s">
        <v>2728</v>
      </c>
      <c r="E863" s="44" t="s">
        <v>640</v>
      </c>
      <c r="F863" s="44" t="s">
        <v>641</v>
      </c>
      <c r="G863" s="44" t="s">
        <v>1901</v>
      </c>
      <c r="H863" s="44" t="s">
        <v>643</v>
      </c>
      <c r="I863" s="44" t="s">
        <v>2003</v>
      </c>
      <c r="J863" s="44" t="s">
        <v>644</v>
      </c>
      <c r="K863" s="44" t="s">
        <v>14</v>
      </c>
      <c r="L863" s="104">
        <v>818500.61</v>
      </c>
      <c r="M863" s="104">
        <v>772170.39</v>
      </c>
      <c r="N863" s="104">
        <v>46330.22</v>
      </c>
      <c r="O863" s="44" t="s">
        <v>2729</v>
      </c>
    </row>
    <row r="864" hidden="1" customHeight="1" spans="1:15">
      <c r="A864" s="44" t="s">
        <v>637</v>
      </c>
      <c r="B864" s="86">
        <v>45260</v>
      </c>
      <c r="C864" s="44" t="s">
        <v>646</v>
      </c>
      <c r="D864" s="44" t="s">
        <v>2483</v>
      </c>
      <c r="E864" s="44" t="s">
        <v>640</v>
      </c>
      <c r="F864" s="44" t="s">
        <v>641</v>
      </c>
      <c r="G864" s="44" t="s">
        <v>1899</v>
      </c>
      <c r="H864" s="44" t="s">
        <v>650</v>
      </c>
      <c r="I864" s="44" t="s">
        <v>1953</v>
      </c>
      <c r="J864" s="44" t="s">
        <v>656</v>
      </c>
      <c r="K864" s="44" t="s">
        <v>166</v>
      </c>
      <c r="L864" s="104">
        <v>71000</v>
      </c>
      <c r="M864" s="104">
        <v>66981.13</v>
      </c>
      <c r="N864" s="104">
        <v>4018.87</v>
      </c>
      <c r="O864" s="44" t="s">
        <v>2730</v>
      </c>
    </row>
    <row r="865" hidden="1" customHeight="1" spans="1:15">
      <c r="A865" s="44" t="s">
        <v>637</v>
      </c>
      <c r="B865" s="86">
        <v>45260</v>
      </c>
      <c r="C865" s="44" t="s">
        <v>646</v>
      </c>
      <c r="D865" s="44" t="s">
        <v>2134</v>
      </c>
      <c r="E865" s="44" t="s">
        <v>640</v>
      </c>
      <c r="F865" s="44" t="s">
        <v>641</v>
      </c>
      <c r="G865" s="44" t="s">
        <v>1899</v>
      </c>
      <c r="H865" s="44" t="s">
        <v>643</v>
      </c>
      <c r="I865" s="44" t="s">
        <v>466</v>
      </c>
      <c r="J865" s="44" t="s">
        <v>656</v>
      </c>
      <c r="K865" s="44" t="s">
        <v>14</v>
      </c>
      <c r="L865" s="104">
        <v>31617.8</v>
      </c>
      <c r="M865" s="104">
        <v>29828.11</v>
      </c>
      <c r="N865" s="104">
        <v>1789.69</v>
      </c>
      <c r="O865" s="44" t="s">
        <v>2731</v>
      </c>
    </row>
    <row r="866" hidden="1" customHeight="1" spans="1:15">
      <c r="A866" s="44" t="s">
        <v>637</v>
      </c>
      <c r="B866" s="86">
        <v>45260</v>
      </c>
      <c r="C866" s="44" t="s">
        <v>646</v>
      </c>
      <c r="D866" s="44" t="s">
        <v>726</v>
      </c>
      <c r="E866" s="44" t="s">
        <v>1898</v>
      </c>
      <c r="F866" s="44" t="s">
        <v>641</v>
      </c>
      <c r="G866" s="44" t="s">
        <v>1899</v>
      </c>
      <c r="H866" s="44" t="s">
        <v>650</v>
      </c>
      <c r="I866" s="44" t="s">
        <v>779</v>
      </c>
      <c r="J866" s="44" t="s">
        <v>644</v>
      </c>
      <c r="K866" s="44" t="s">
        <v>14</v>
      </c>
      <c r="L866" s="104">
        <v>117000</v>
      </c>
      <c r="M866" s="104">
        <v>110377.36</v>
      </c>
      <c r="N866" s="104">
        <v>6622.64</v>
      </c>
      <c r="O866" s="44" t="s">
        <v>2732</v>
      </c>
    </row>
    <row r="867" hidden="1" customHeight="1" spans="1:15">
      <c r="A867" s="44" t="s">
        <v>637</v>
      </c>
      <c r="B867" s="86">
        <v>45260</v>
      </c>
      <c r="C867" s="44" t="s">
        <v>646</v>
      </c>
      <c r="D867" s="44" t="s">
        <v>1284</v>
      </c>
      <c r="E867" s="44" t="s">
        <v>1898</v>
      </c>
      <c r="F867" s="44" t="s">
        <v>641</v>
      </c>
      <c r="G867" s="44" t="s">
        <v>1899</v>
      </c>
      <c r="H867" s="44" t="s">
        <v>643</v>
      </c>
      <c r="I867" s="44" t="s">
        <v>466</v>
      </c>
      <c r="J867" s="44" t="s">
        <v>656</v>
      </c>
      <c r="K867" s="44" t="s">
        <v>14</v>
      </c>
      <c r="L867" s="104">
        <v>392304.53</v>
      </c>
      <c r="M867" s="104">
        <v>370098.61</v>
      </c>
      <c r="N867" s="104">
        <v>22205.92</v>
      </c>
      <c r="O867" s="44" t="s">
        <v>2733</v>
      </c>
    </row>
    <row r="868" hidden="1" customHeight="1" spans="1:15">
      <c r="A868" s="44" t="s">
        <v>637</v>
      </c>
      <c r="B868" s="86">
        <v>45260</v>
      </c>
      <c r="C868" s="44" t="s">
        <v>646</v>
      </c>
      <c r="D868" s="44" t="s">
        <v>1902</v>
      </c>
      <c r="E868" s="44" t="s">
        <v>1898</v>
      </c>
      <c r="F868" s="44" t="s">
        <v>641</v>
      </c>
      <c r="G868" s="44" t="s">
        <v>1899</v>
      </c>
      <c r="H868" s="44" t="s">
        <v>650</v>
      </c>
      <c r="I868" s="44" t="s">
        <v>779</v>
      </c>
      <c r="J868" s="44" t="s">
        <v>644</v>
      </c>
      <c r="K868" s="44" t="s">
        <v>14</v>
      </c>
      <c r="L868" s="104">
        <v>20000</v>
      </c>
      <c r="M868" s="104">
        <v>18867.92</v>
      </c>
      <c r="N868" s="104">
        <v>1132.08</v>
      </c>
      <c r="O868" s="44" t="s">
        <v>2734</v>
      </c>
    </row>
    <row r="869" hidden="1" customHeight="1" spans="1:15">
      <c r="A869" s="44" t="s">
        <v>637</v>
      </c>
      <c r="B869" s="86">
        <v>45260</v>
      </c>
      <c r="C869" s="44" t="s">
        <v>646</v>
      </c>
      <c r="D869" s="44" t="s">
        <v>1284</v>
      </c>
      <c r="E869" s="44" t="s">
        <v>1898</v>
      </c>
      <c r="F869" s="44" t="s">
        <v>641</v>
      </c>
      <c r="G869" s="44" t="s">
        <v>1899</v>
      </c>
      <c r="H869" s="44" t="s">
        <v>650</v>
      </c>
      <c r="I869" s="44" t="s">
        <v>779</v>
      </c>
      <c r="J869" s="44" t="s">
        <v>644</v>
      </c>
      <c r="K869" s="44" t="s">
        <v>14</v>
      </c>
      <c r="L869" s="104">
        <v>20000</v>
      </c>
      <c r="M869" s="104">
        <v>18867.92</v>
      </c>
      <c r="N869" s="104">
        <v>1132.08</v>
      </c>
      <c r="O869" s="44" t="s">
        <v>2735</v>
      </c>
    </row>
    <row r="870" hidden="1" customHeight="1" spans="1:15">
      <c r="A870" s="44" t="s">
        <v>637</v>
      </c>
      <c r="B870" s="86">
        <v>45260</v>
      </c>
      <c r="C870" s="44" t="s">
        <v>811</v>
      </c>
      <c r="D870" s="44" t="s">
        <v>653</v>
      </c>
      <c r="E870" s="44" t="s">
        <v>640</v>
      </c>
      <c r="F870" s="44" t="s">
        <v>641</v>
      </c>
      <c r="G870" s="44" t="s">
        <v>1899</v>
      </c>
      <c r="H870" s="44" t="s">
        <v>650</v>
      </c>
      <c r="I870" s="44" t="s">
        <v>433</v>
      </c>
      <c r="J870" s="44" t="s">
        <v>656</v>
      </c>
      <c r="K870" s="44" t="s">
        <v>166</v>
      </c>
      <c r="L870" s="104">
        <v>103143.12</v>
      </c>
      <c r="M870" s="104">
        <v>97304.83</v>
      </c>
      <c r="N870" s="104">
        <v>5838.29</v>
      </c>
      <c r="O870" s="44" t="s">
        <v>2736</v>
      </c>
    </row>
    <row r="871" hidden="1" customHeight="1" spans="1:15">
      <c r="A871" s="44" t="s">
        <v>637</v>
      </c>
      <c r="B871" s="86">
        <v>45260</v>
      </c>
      <c r="C871" s="44" t="s">
        <v>811</v>
      </c>
      <c r="D871" s="44" t="s">
        <v>653</v>
      </c>
      <c r="E871" s="44" t="s">
        <v>640</v>
      </c>
      <c r="F871" s="44" t="s">
        <v>641</v>
      </c>
      <c r="G871" s="44" t="s">
        <v>1899</v>
      </c>
      <c r="H871" s="44" t="s">
        <v>650</v>
      </c>
      <c r="I871" s="44" t="s">
        <v>433</v>
      </c>
      <c r="J871" s="44" t="s">
        <v>656</v>
      </c>
      <c r="K871" s="44" t="s">
        <v>166</v>
      </c>
      <c r="L871" s="104">
        <v>-21768.98</v>
      </c>
      <c r="M871" s="104">
        <v>-20536.77</v>
      </c>
      <c r="N871" s="104">
        <v>-1232.21</v>
      </c>
      <c r="O871" s="44" t="s">
        <v>2737</v>
      </c>
    </row>
    <row r="872" hidden="1" customHeight="1" spans="1:15">
      <c r="A872" s="44" t="s">
        <v>637</v>
      </c>
      <c r="B872" s="86">
        <v>45260</v>
      </c>
      <c r="C872" s="44" t="s">
        <v>811</v>
      </c>
      <c r="D872" s="44" t="s">
        <v>653</v>
      </c>
      <c r="E872" s="44" t="s">
        <v>640</v>
      </c>
      <c r="F872" s="44" t="s">
        <v>641</v>
      </c>
      <c r="G872" s="44" t="s">
        <v>1901</v>
      </c>
      <c r="H872" s="44" t="s">
        <v>650</v>
      </c>
      <c r="I872" s="44" t="s">
        <v>433</v>
      </c>
      <c r="J872" s="44" t="s">
        <v>656</v>
      </c>
      <c r="K872" s="44" t="s">
        <v>166</v>
      </c>
      <c r="L872" s="104">
        <v>44511.43</v>
      </c>
      <c r="M872" s="104">
        <v>41991.92</v>
      </c>
      <c r="N872" s="104">
        <v>2519.51</v>
      </c>
      <c r="O872" s="44" t="s">
        <v>2738</v>
      </c>
    </row>
    <row r="873" hidden="1" customHeight="1" spans="1:15">
      <c r="A873" s="44" t="s">
        <v>637</v>
      </c>
      <c r="B873" s="86">
        <v>45260</v>
      </c>
      <c r="C873" s="44" t="s">
        <v>2102</v>
      </c>
      <c r="D873" s="44" t="s">
        <v>1296</v>
      </c>
      <c r="E873" s="44" t="s">
        <v>640</v>
      </c>
      <c r="F873" s="44" t="s">
        <v>641</v>
      </c>
      <c r="G873" s="44" t="s">
        <v>1899</v>
      </c>
      <c r="H873" s="44" t="s">
        <v>643</v>
      </c>
      <c r="I873" s="44" t="s">
        <v>486</v>
      </c>
      <c r="J873" s="44" t="s">
        <v>656</v>
      </c>
      <c r="K873" s="44" t="s">
        <v>14</v>
      </c>
      <c r="L873" s="104">
        <v>160646.31</v>
      </c>
      <c r="M873" s="104">
        <v>151553.12</v>
      </c>
      <c r="N873" s="104">
        <v>9093.19</v>
      </c>
      <c r="O873" s="44" t="s">
        <v>2739</v>
      </c>
    </row>
    <row r="874" hidden="1" customHeight="1" spans="1:15">
      <c r="A874" s="44" t="s">
        <v>637</v>
      </c>
      <c r="B874" s="86">
        <v>45260</v>
      </c>
      <c r="C874" s="44" t="s">
        <v>2478</v>
      </c>
      <c r="D874" s="44" t="s">
        <v>1296</v>
      </c>
      <c r="E874" s="44" t="s">
        <v>640</v>
      </c>
      <c r="F874" s="44" t="s">
        <v>641</v>
      </c>
      <c r="G874" s="44" t="s">
        <v>1899</v>
      </c>
      <c r="H874" s="44" t="s">
        <v>650</v>
      </c>
      <c r="I874" s="44" t="s">
        <v>2050</v>
      </c>
      <c r="J874" s="44" t="s">
        <v>644</v>
      </c>
      <c r="K874" s="44" t="s">
        <v>20</v>
      </c>
      <c r="L874" s="104">
        <v>-2910.01</v>
      </c>
      <c r="M874" s="104">
        <v>-2745.29</v>
      </c>
      <c r="N874" s="104">
        <v>-164.72</v>
      </c>
      <c r="O874" s="44" t="s">
        <v>2740</v>
      </c>
    </row>
    <row r="875" hidden="1" customHeight="1" spans="1:15">
      <c r="A875" s="44" t="s">
        <v>637</v>
      </c>
      <c r="B875" s="86">
        <v>45260</v>
      </c>
      <c r="C875" s="44" t="s">
        <v>646</v>
      </c>
      <c r="D875" s="44" t="s">
        <v>1296</v>
      </c>
      <c r="E875" s="44" t="s">
        <v>640</v>
      </c>
      <c r="F875" s="44" t="s">
        <v>641</v>
      </c>
      <c r="G875" s="44" t="s">
        <v>1899</v>
      </c>
      <c r="H875" s="44" t="s">
        <v>643</v>
      </c>
      <c r="I875" s="44" t="s">
        <v>2010</v>
      </c>
      <c r="J875" s="44" t="s">
        <v>644</v>
      </c>
      <c r="K875" s="44" t="s">
        <v>14</v>
      </c>
      <c r="L875" s="104">
        <v>437137.9</v>
      </c>
      <c r="M875" s="104">
        <v>412394.25</v>
      </c>
      <c r="N875" s="104">
        <v>24743.65</v>
      </c>
      <c r="O875" s="44" t="s">
        <v>2741</v>
      </c>
    </row>
    <row r="876" hidden="1" customHeight="1" spans="1:15">
      <c r="A876" s="44" t="s">
        <v>637</v>
      </c>
      <c r="B876" s="86">
        <v>45260</v>
      </c>
      <c r="C876" s="44" t="s">
        <v>1751</v>
      </c>
      <c r="D876" s="44" t="s">
        <v>1296</v>
      </c>
      <c r="E876" s="44" t="s">
        <v>640</v>
      </c>
      <c r="F876" s="44" t="s">
        <v>641</v>
      </c>
      <c r="G876" s="44" t="s">
        <v>1899</v>
      </c>
      <c r="H876" s="44" t="s">
        <v>650</v>
      </c>
      <c r="I876" s="44" t="s">
        <v>794</v>
      </c>
      <c r="J876" s="44" t="s">
        <v>656</v>
      </c>
      <c r="K876" s="44" t="s">
        <v>14</v>
      </c>
      <c r="L876" s="104">
        <v>52524.99</v>
      </c>
      <c r="M876" s="104">
        <v>49551.88</v>
      </c>
      <c r="N876" s="104">
        <v>2973.11</v>
      </c>
      <c r="O876" s="44" t="s">
        <v>2742</v>
      </c>
    </row>
    <row r="877" hidden="1" customHeight="1" spans="1:15">
      <c r="A877" s="44" t="s">
        <v>637</v>
      </c>
      <c r="B877" s="86">
        <v>45260</v>
      </c>
      <c r="C877" s="44" t="s">
        <v>646</v>
      </c>
      <c r="D877" s="44" t="s">
        <v>1296</v>
      </c>
      <c r="E877" s="44" t="s">
        <v>640</v>
      </c>
      <c r="F877" s="44" t="s">
        <v>641</v>
      </c>
      <c r="G877" s="44" t="s">
        <v>1899</v>
      </c>
      <c r="H877" s="44" t="s">
        <v>643</v>
      </c>
      <c r="I877" s="44" t="s">
        <v>466</v>
      </c>
      <c r="J877" s="44" t="s">
        <v>656</v>
      </c>
      <c r="K877" s="44" t="s">
        <v>14</v>
      </c>
      <c r="L877" s="104">
        <v>2004138.13</v>
      </c>
      <c r="M877" s="104">
        <v>1890696.35</v>
      </c>
      <c r="N877" s="104">
        <v>113441.78</v>
      </c>
      <c r="O877" s="44" t="s">
        <v>2743</v>
      </c>
    </row>
    <row r="878" hidden="1" customHeight="1" spans="1:14">
      <c r="A878" s="27" t="s">
        <v>1980</v>
      </c>
      <c r="B878" s="86">
        <v>45260</v>
      </c>
      <c r="C878" s="27" t="s">
        <v>811</v>
      </c>
      <c r="D878" s="44" t="s">
        <v>653</v>
      </c>
      <c r="E878" s="44" t="s">
        <v>640</v>
      </c>
      <c r="F878" s="44" t="s">
        <v>641</v>
      </c>
      <c r="G878" s="27" t="s">
        <v>1899</v>
      </c>
      <c r="H878" s="44" t="s">
        <v>650</v>
      </c>
      <c r="I878" s="27" t="s">
        <v>433</v>
      </c>
      <c r="J878" s="44" t="s">
        <v>656</v>
      </c>
      <c r="K878" s="29" t="s">
        <v>166</v>
      </c>
      <c r="L878" s="29">
        <v>-10796.44</v>
      </c>
      <c r="M878" s="29">
        <v>-10185.32</v>
      </c>
      <c r="N878" s="31">
        <f t="shared" ref="N878:N889" si="14">L878-M878</f>
        <v>-611.120000000001</v>
      </c>
    </row>
    <row r="879" hidden="1" customHeight="1" spans="1:14">
      <c r="A879" s="27" t="s">
        <v>1980</v>
      </c>
      <c r="B879" s="86">
        <v>45260</v>
      </c>
      <c r="C879" s="27" t="s">
        <v>811</v>
      </c>
      <c r="D879" s="44" t="s">
        <v>653</v>
      </c>
      <c r="E879" s="44" t="s">
        <v>640</v>
      </c>
      <c r="F879" s="44" t="s">
        <v>641</v>
      </c>
      <c r="G879" s="44" t="s">
        <v>1901</v>
      </c>
      <c r="H879" s="44" t="s">
        <v>650</v>
      </c>
      <c r="I879" s="27" t="s">
        <v>433</v>
      </c>
      <c r="J879" s="44" t="s">
        <v>656</v>
      </c>
      <c r="K879" s="29" t="s">
        <v>166</v>
      </c>
      <c r="L879" s="29">
        <v>49514.92</v>
      </c>
      <c r="M879" s="102">
        <v>46712.11</v>
      </c>
      <c r="N879" s="31">
        <f t="shared" si="14"/>
        <v>2802.81</v>
      </c>
    </row>
    <row r="880" hidden="1" customHeight="1" spans="1:14">
      <c r="A880" s="27" t="s">
        <v>1085</v>
      </c>
      <c r="B880" s="86">
        <v>45260</v>
      </c>
      <c r="C880" s="27" t="s">
        <v>811</v>
      </c>
      <c r="D880" s="44" t="s">
        <v>653</v>
      </c>
      <c r="E880" s="44" t="s">
        <v>640</v>
      </c>
      <c r="F880" s="44" t="s">
        <v>641</v>
      </c>
      <c r="G880" s="44" t="s">
        <v>1901</v>
      </c>
      <c r="H880" s="44" t="s">
        <v>650</v>
      </c>
      <c r="I880" s="27" t="s">
        <v>433</v>
      </c>
      <c r="J880" s="44" t="s">
        <v>656</v>
      </c>
      <c r="K880" s="29" t="s">
        <v>166</v>
      </c>
      <c r="L880" s="29">
        <v>36740.5</v>
      </c>
      <c r="M880" s="102">
        <v>34660.85</v>
      </c>
      <c r="N880" s="31">
        <f t="shared" si="14"/>
        <v>2079.65</v>
      </c>
    </row>
    <row r="881" hidden="1" customHeight="1" spans="1:14">
      <c r="A881" s="27" t="s">
        <v>1085</v>
      </c>
      <c r="B881" s="86">
        <v>45260</v>
      </c>
      <c r="C881" s="27" t="s">
        <v>2478</v>
      </c>
      <c r="D881" s="44" t="s">
        <v>1296</v>
      </c>
      <c r="E881" s="44" t="s">
        <v>640</v>
      </c>
      <c r="F881" s="44" t="s">
        <v>641</v>
      </c>
      <c r="G881" s="27" t="s">
        <v>1899</v>
      </c>
      <c r="H881" s="44" t="s">
        <v>650</v>
      </c>
      <c r="I881" s="27" t="s">
        <v>2046</v>
      </c>
      <c r="J881" s="44" t="s">
        <v>656</v>
      </c>
      <c r="K881" s="29" t="s">
        <v>20</v>
      </c>
      <c r="L881" s="29">
        <v>0</v>
      </c>
      <c r="M881" s="29">
        <v>30.6299999999999</v>
      </c>
      <c r="N881" s="31">
        <f t="shared" si="14"/>
        <v>-30.6299999999999</v>
      </c>
    </row>
    <row r="882" hidden="1" customHeight="1" spans="1:14">
      <c r="A882" s="27" t="s">
        <v>1085</v>
      </c>
      <c r="B882" s="86">
        <v>45260</v>
      </c>
      <c r="C882" s="27" t="s">
        <v>2478</v>
      </c>
      <c r="D882" s="44" t="s">
        <v>1296</v>
      </c>
      <c r="E882" s="44" t="s">
        <v>640</v>
      </c>
      <c r="F882" s="44" t="s">
        <v>641</v>
      </c>
      <c r="G882" s="27" t="s">
        <v>1899</v>
      </c>
      <c r="H882" s="44" t="s">
        <v>650</v>
      </c>
      <c r="I882" s="27" t="s">
        <v>2044</v>
      </c>
      <c r="J882" s="44" t="s">
        <v>656</v>
      </c>
      <c r="K882" s="29" t="s">
        <v>20</v>
      </c>
      <c r="L882" s="29">
        <v>0</v>
      </c>
      <c r="M882" s="29">
        <v>1120.92</v>
      </c>
      <c r="N882" s="31">
        <f t="shared" si="14"/>
        <v>-1120.92</v>
      </c>
    </row>
    <row r="883" hidden="1" customHeight="1" spans="1:14">
      <c r="A883" s="27" t="s">
        <v>1085</v>
      </c>
      <c r="B883" s="86">
        <v>45260</v>
      </c>
      <c r="C883" s="27" t="s">
        <v>2478</v>
      </c>
      <c r="D883" s="44" t="s">
        <v>1296</v>
      </c>
      <c r="E883" s="44" t="s">
        <v>640</v>
      </c>
      <c r="F883" s="44" t="s">
        <v>641</v>
      </c>
      <c r="G883" s="27" t="s">
        <v>1899</v>
      </c>
      <c r="H883" s="44" t="s">
        <v>650</v>
      </c>
      <c r="I883" s="27" t="s">
        <v>2037</v>
      </c>
      <c r="J883" s="44" t="s">
        <v>656</v>
      </c>
      <c r="K883" s="29" t="s">
        <v>20</v>
      </c>
      <c r="L883" s="29">
        <v>0</v>
      </c>
      <c r="M883" s="29">
        <v>3824.13</v>
      </c>
      <c r="N883" s="31">
        <f t="shared" si="14"/>
        <v>-3824.13</v>
      </c>
    </row>
    <row r="884" hidden="1" customHeight="1" spans="1:14">
      <c r="A884" s="27" t="s">
        <v>1085</v>
      </c>
      <c r="B884" s="86">
        <v>45260</v>
      </c>
      <c r="C884" s="27" t="s">
        <v>2478</v>
      </c>
      <c r="D884" s="44" t="s">
        <v>1296</v>
      </c>
      <c r="E884" s="44" t="s">
        <v>640</v>
      </c>
      <c r="F884" s="44" t="s">
        <v>641</v>
      </c>
      <c r="G884" s="27" t="s">
        <v>1899</v>
      </c>
      <c r="H884" s="44" t="s">
        <v>650</v>
      </c>
      <c r="I884" s="27" t="s">
        <v>2050</v>
      </c>
      <c r="J884" s="44" t="s">
        <v>656</v>
      </c>
      <c r="K884" s="29" t="s">
        <v>20</v>
      </c>
      <c r="L884" s="29">
        <v>4.54747350886464e-13</v>
      </c>
      <c r="M884" s="29">
        <v>74.8700000000004</v>
      </c>
      <c r="N884" s="31">
        <f t="shared" si="14"/>
        <v>-74.8699999999999</v>
      </c>
    </row>
    <row r="885" hidden="1" customHeight="1" spans="1:14">
      <c r="A885" s="27" t="s">
        <v>1085</v>
      </c>
      <c r="B885" s="86">
        <v>45260</v>
      </c>
      <c r="C885" s="27" t="s">
        <v>646</v>
      </c>
      <c r="D885" s="44" t="s">
        <v>1296</v>
      </c>
      <c r="E885" s="44" t="s">
        <v>640</v>
      </c>
      <c r="F885" s="44" t="s">
        <v>641</v>
      </c>
      <c r="G885" s="27" t="s">
        <v>1899</v>
      </c>
      <c r="H885" s="44" t="s">
        <v>650</v>
      </c>
      <c r="I885" s="27" t="s">
        <v>2012</v>
      </c>
      <c r="J885" s="44" t="s">
        <v>656</v>
      </c>
      <c r="K885" s="29" t="s">
        <v>14</v>
      </c>
      <c r="L885" s="29">
        <v>0.77</v>
      </c>
      <c r="M885" s="29">
        <v>0.73</v>
      </c>
      <c r="N885" s="31">
        <f t="shared" si="14"/>
        <v>0.04</v>
      </c>
    </row>
    <row r="886" hidden="1" customHeight="1" spans="1:14">
      <c r="A886" s="27" t="s">
        <v>1085</v>
      </c>
      <c r="B886" s="86">
        <v>45260</v>
      </c>
      <c r="C886" s="27" t="s">
        <v>715</v>
      </c>
      <c r="D886" s="44" t="s">
        <v>653</v>
      </c>
      <c r="E886" s="44" t="s">
        <v>640</v>
      </c>
      <c r="F886" s="44" t="s">
        <v>641</v>
      </c>
      <c r="G886" s="27" t="s">
        <v>1899</v>
      </c>
      <c r="H886" s="44" t="s">
        <v>650</v>
      </c>
      <c r="I886" s="27" t="s">
        <v>1929</v>
      </c>
      <c r="J886" s="44" t="s">
        <v>656</v>
      </c>
      <c r="K886" s="29" t="s">
        <v>14</v>
      </c>
      <c r="L886" s="29">
        <v>1968280.06</v>
      </c>
      <c r="M886" s="29">
        <v>1856867.98</v>
      </c>
      <c r="N886" s="31">
        <f t="shared" si="14"/>
        <v>111412.08</v>
      </c>
    </row>
    <row r="887" hidden="1" customHeight="1" spans="1:14">
      <c r="A887" s="27" t="s">
        <v>1085</v>
      </c>
      <c r="B887" s="86">
        <v>45260</v>
      </c>
      <c r="C887" s="27" t="s">
        <v>730</v>
      </c>
      <c r="D887" s="44" t="s">
        <v>653</v>
      </c>
      <c r="E887" s="44" t="s">
        <v>640</v>
      </c>
      <c r="F887" s="44" t="s">
        <v>641</v>
      </c>
      <c r="G887" s="27" t="s">
        <v>1899</v>
      </c>
      <c r="H887" s="44" t="s">
        <v>650</v>
      </c>
      <c r="I887" s="27" t="s">
        <v>473</v>
      </c>
      <c r="J887" s="44" t="s">
        <v>656</v>
      </c>
      <c r="K887" s="29" t="s">
        <v>14</v>
      </c>
      <c r="L887" s="29">
        <v>-153729.53</v>
      </c>
      <c r="M887" s="29">
        <v>-145027.86</v>
      </c>
      <c r="N887" s="31">
        <f t="shared" si="14"/>
        <v>-8701.67000000001</v>
      </c>
    </row>
    <row r="888" hidden="1" customHeight="1" spans="1:14">
      <c r="A888" s="27" t="s">
        <v>1085</v>
      </c>
      <c r="B888" s="86">
        <v>45260</v>
      </c>
      <c r="C888" s="27" t="s">
        <v>811</v>
      </c>
      <c r="D888" s="44" t="s">
        <v>653</v>
      </c>
      <c r="E888" s="44" t="s">
        <v>640</v>
      </c>
      <c r="F888" s="44" t="s">
        <v>641</v>
      </c>
      <c r="G888" s="27" t="s">
        <v>1899</v>
      </c>
      <c r="H888" s="44" t="s">
        <v>650</v>
      </c>
      <c r="I888" s="27" t="s">
        <v>433</v>
      </c>
      <c r="J888" s="44" t="s">
        <v>656</v>
      </c>
      <c r="K888" s="29" t="s">
        <v>166</v>
      </c>
      <c r="L888" s="29">
        <v>185852.92</v>
      </c>
      <c r="M888" s="29">
        <v>175332.94</v>
      </c>
      <c r="N888" s="31">
        <f t="shared" si="14"/>
        <v>10519.98</v>
      </c>
    </row>
    <row r="889" customHeight="1" spans="1:14">
      <c r="A889" s="27" t="s">
        <v>1085</v>
      </c>
      <c r="B889" s="86">
        <v>45260</v>
      </c>
      <c r="C889" s="27" t="s">
        <v>811</v>
      </c>
      <c r="D889" s="44" t="s">
        <v>653</v>
      </c>
      <c r="E889" s="44" t="s">
        <v>640</v>
      </c>
      <c r="F889" s="44" t="s">
        <v>641</v>
      </c>
      <c r="G889" s="27" t="s">
        <v>1899</v>
      </c>
      <c r="H889" s="44" t="s">
        <v>650</v>
      </c>
      <c r="I889" s="27" t="s">
        <v>435</v>
      </c>
      <c r="J889" s="44" t="s">
        <v>656</v>
      </c>
      <c r="K889" s="29" t="s">
        <v>166</v>
      </c>
      <c r="L889" s="29">
        <v>-516839.92</v>
      </c>
      <c r="M889" s="29">
        <v>-487584.83</v>
      </c>
      <c r="N889" s="31">
        <f t="shared" si="14"/>
        <v>-29255.09</v>
      </c>
    </row>
    <row r="890" hidden="1" customHeight="1" spans="1:15">
      <c r="A890" s="37" t="s">
        <v>637</v>
      </c>
      <c r="B890" s="38">
        <v>45291</v>
      </c>
      <c r="C890" s="37" t="s">
        <v>700</v>
      </c>
      <c r="D890" s="37" t="s">
        <v>1902</v>
      </c>
      <c r="E890" s="37" t="s">
        <v>640</v>
      </c>
      <c r="F890" s="37" t="s">
        <v>641</v>
      </c>
      <c r="G890" s="37" t="s">
        <v>1899</v>
      </c>
      <c r="H890" s="37" t="s">
        <v>643</v>
      </c>
      <c r="I890" s="37" t="s">
        <v>442</v>
      </c>
      <c r="J890" s="37" t="s">
        <v>656</v>
      </c>
      <c r="K890" s="37" t="s">
        <v>14</v>
      </c>
      <c r="L890" s="47">
        <v>3888.99</v>
      </c>
      <c r="M890" s="47">
        <v>3668.86</v>
      </c>
      <c r="N890" s="47">
        <v>220.13</v>
      </c>
      <c r="O890" s="37" t="s">
        <v>2744</v>
      </c>
    </row>
    <row r="891" hidden="1" customHeight="1" spans="1:15">
      <c r="A891" s="37" t="s">
        <v>637</v>
      </c>
      <c r="B891" s="38">
        <v>45291</v>
      </c>
      <c r="C891" s="37" t="s">
        <v>2132</v>
      </c>
      <c r="D891" s="37" t="s">
        <v>2745</v>
      </c>
      <c r="E891" s="37" t="s">
        <v>640</v>
      </c>
      <c r="F891" s="37" t="s">
        <v>641</v>
      </c>
      <c r="G891" s="37" t="s">
        <v>1899</v>
      </c>
      <c r="H891" s="37" t="s">
        <v>697</v>
      </c>
      <c r="I891" s="37" t="s">
        <v>2033</v>
      </c>
      <c r="J891" s="37" t="s">
        <v>644</v>
      </c>
      <c r="K891" s="37" t="s">
        <v>20</v>
      </c>
      <c r="L891" s="47">
        <v>-105000</v>
      </c>
      <c r="M891" s="47">
        <v>-99056.6</v>
      </c>
      <c r="N891" s="47">
        <v>-5943.4</v>
      </c>
      <c r="O891" s="37" t="s">
        <v>2746</v>
      </c>
    </row>
    <row r="892" hidden="1" customHeight="1" spans="1:15">
      <c r="A892" s="37" t="s">
        <v>637</v>
      </c>
      <c r="B892" s="38">
        <v>45291</v>
      </c>
      <c r="C892" s="37" t="s">
        <v>1273</v>
      </c>
      <c r="D892" s="37" t="s">
        <v>2483</v>
      </c>
      <c r="E892" s="37" t="s">
        <v>640</v>
      </c>
      <c r="F892" s="37" t="s">
        <v>641</v>
      </c>
      <c r="G892" s="37" t="s">
        <v>1899</v>
      </c>
      <c r="H892" s="37" t="s">
        <v>650</v>
      </c>
      <c r="I892" s="37" t="s">
        <v>1944</v>
      </c>
      <c r="J892" s="37" t="s">
        <v>656</v>
      </c>
      <c r="K892" s="37" t="s">
        <v>166</v>
      </c>
      <c r="L892" s="47">
        <v>779.74</v>
      </c>
      <c r="M892" s="47">
        <v>735.6</v>
      </c>
      <c r="N892" s="47">
        <v>44.14</v>
      </c>
      <c r="O892" s="37" t="s">
        <v>2747</v>
      </c>
    </row>
    <row r="893" hidden="1" customHeight="1" spans="1:15">
      <c r="A893" s="37" t="s">
        <v>637</v>
      </c>
      <c r="B893" s="38">
        <v>45291</v>
      </c>
      <c r="C893" s="37" t="s">
        <v>646</v>
      </c>
      <c r="D893" s="37" t="s">
        <v>726</v>
      </c>
      <c r="E893" s="37" t="s">
        <v>640</v>
      </c>
      <c r="F893" s="37" t="s">
        <v>641</v>
      </c>
      <c r="G893" s="37" t="s">
        <v>1899</v>
      </c>
      <c r="H893" s="37" t="s">
        <v>650</v>
      </c>
      <c r="I893" s="37" t="s">
        <v>794</v>
      </c>
      <c r="J893" s="37" t="s">
        <v>656</v>
      </c>
      <c r="K893" s="37" t="s">
        <v>14</v>
      </c>
      <c r="L893" s="47">
        <v>6842.06</v>
      </c>
      <c r="M893" s="47">
        <v>6454.77</v>
      </c>
      <c r="N893" s="47">
        <v>387.29</v>
      </c>
      <c r="O893" s="37" t="s">
        <v>2748</v>
      </c>
    </row>
    <row r="894" hidden="1" customHeight="1" spans="1:15">
      <c r="A894" s="37" t="s">
        <v>637</v>
      </c>
      <c r="B894" s="38">
        <v>45291</v>
      </c>
      <c r="C894" s="37" t="s">
        <v>1273</v>
      </c>
      <c r="D894" s="37" t="s">
        <v>2483</v>
      </c>
      <c r="E894" s="37" t="s">
        <v>640</v>
      </c>
      <c r="F894" s="37" t="s">
        <v>641</v>
      </c>
      <c r="G894" s="37" t="s">
        <v>1899</v>
      </c>
      <c r="H894" s="37" t="s">
        <v>650</v>
      </c>
      <c r="I894" s="37" t="s">
        <v>737</v>
      </c>
      <c r="J894" s="37" t="s">
        <v>656</v>
      </c>
      <c r="K894" s="37" t="s">
        <v>166</v>
      </c>
      <c r="L894" s="47">
        <v>-36048.45</v>
      </c>
      <c r="M894" s="47">
        <v>-34007.97</v>
      </c>
      <c r="N894" s="47">
        <v>-2040.48</v>
      </c>
      <c r="O894" s="37" t="s">
        <v>2749</v>
      </c>
    </row>
    <row r="895" hidden="1" customHeight="1" spans="1:15">
      <c r="A895" s="37" t="s">
        <v>637</v>
      </c>
      <c r="B895" s="38">
        <v>45291</v>
      </c>
      <c r="C895" s="37" t="s">
        <v>646</v>
      </c>
      <c r="D895" s="37" t="s">
        <v>1836</v>
      </c>
      <c r="E895" s="37" t="s">
        <v>640</v>
      </c>
      <c r="F895" s="37" t="s">
        <v>641</v>
      </c>
      <c r="G895" s="37" t="s">
        <v>1899</v>
      </c>
      <c r="H895" s="37" t="s">
        <v>643</v>
      </c>
      <c r="I895" s="37" t="s">
        <v>441</v>
      </c>
      <c r="J895" s="37" t="s">
        <v>656</v>
      </c>
      <c r="K895" s="37" t="s">
        <v>14</v>
      </c>
      <c r="L895" s="47">
        <v>-92804.48</v>
      </c>
      <c r="M895" s="47">
        <v>-87551.4</v>
      </c>
      <c r="N895" s="47">
        <v>-5253.08</v>
      </c>
      <c r="O895" s="37" t="s">
        <v>2750</v>
      </c>
    </row>
    <row r="896" hidden="1" customHeight="1" spans="1:15">
      <c r="A896" s="37" t="s">
        <v>637</v>
      </c>
      <c r="B896" s="38">
        <v>45291</v>
      </c>
      <c r="C896" s="37" t="s">
        <v>646</v>
      </c>
      <c r="D896" s="37" t="s">
        <v>2483</v>
      </c>
      <c r="E896" s="37" t="s">
        <v>640</v>
      </c>
      <c r="F896" s="37" t="s">
        <v>641</v>
      </c>
      <c r="G896" s="37" t="s">
        <v>1899</v>
      </c>
      <c r="H896" s="37" t="s">
        <v>650</v>
      </c>
      <c r="I896" s="37" t="s">
        <v>1953</v>
      </c>
      <c r="J896" s="37" t="s">
        <v>656</v>
      </c>
      <c r="K896" s="37" t="s">
        <v>166</v>
      </c>
      <c r="L896" s="47">
        <v>-534.2</v>
      </c>
      <c r="M896" s="47">
        <v>-503.96</v>
      </c>
      <c r="N896" s="47">
        <v>-30.24</v>
      </c>
      <c r="O896" s="37" t="s">
        <v>2751</v>
      </c>
    </row>
    <row r="897" hidden="1" customHeight="1" spans="1:15">
      <c r="A897" s="37" t="s">
        <v>637</v>
      </c>
      <c r="B897" s="38">
        <v>45291</v>
      </c>
      <c r="C897" s="37" t="s">
        <v>646</v>
      </c>
      <c r="D897" s="37" t="s">
        <v>2483</v>
      </c>
      <c r="E897" s="37" t="s">
        <v>640</v>
      </c>
      <c r="F897" s="37" t="s">
        <v>641</v>
      </c>
      <c r="G897" s="37" t="s">
        <v>1899</v>
      </c>
      <c r="H897" s="37" t="s">
        <v>650</v>
      </c>
      <c r="I897" s="37" t="s">
        <v>1953</v>
      </c>
      <c r="J897" s="37" t="s">
        <v>656</v>
      </c>
      <c r="K897" s="37" t="s">
        <v>166</v>
      </c>
      <c r="L897" s="47">
        <v>138.69</v>
      </c>
      <c r="M897" s="47">
        <v>130.84</v>
      </c>
      <c r="N897" s="47">
        <v>7.85</v>
      </c>
      <c r="O897" s="37" t="s">
        <v>2752</v>
      </c>
    </row>
    <row r="898" hidden="1" customHeight="1" spans="1:15">
      <c r="A898" s="37" t="s">
        <v>637</v>
      </c>
      <c r="B898" s="38">
        <v>45291</v>
      </c>
      <c r="C898" s="37" t="s">
        <v>646</v>
      </c>
      <c r="D898" s="37" t="s">
        <v>1836</v>
      </c>
      <c r="E898" s="37" t="s">
        <v>640</v>
      </c>
      <c r="F898" s="37" t="s">
        <v>641</v>
      </c>
      <c r="G898" s="37" t="s">
        <v>1901</v>
      </c>
      <c r="H898" s="37" t="s">
        <v>643</v>
      </c>
      <c r="I898" s="37" t="s">
        <v>441</v>
      </c>
      <c r="J898" s="37" t="s">
        <v>656</v>
      </c>
      <c r="K898" s="37" t="s">
        <v>14</v>
      </c>
      <c r="L898" s="47">
        <v>-349922.55</v>
      </c>
      <c r="M898" s="47">
        <v>-330115.61</v>
      </c>
      <c r="N898" s="47">
        <v>-19806.94</v>
      </c>
      <c r="O898" s="37" t="s">
        <v>2753</v>
      </c>
    </row>
    <row r="899" hidden="1" customHeight="1" spans="1:15">
      <c r="A899" s="37" t="s">
        <v>637</v>
      </c>
      <c r="B899" s="38">
        <v>45291</v>
      </c>
      <c r="C899" s="37" t="s">
        <v>646</v>
      </c>
      <c r="D899" s="37" t="s">
        <v>1296</v>
      </c>
      <c r="E899" s="37" t="s">
        <v>640</v>
      </c>
      <c r="F899" s="37" t="s">
        <v>641</v>
      </c>
      <c r="G899" s="37" t="s">
        <v>1899</v>
      </c>
      <c r="H899" s="37" t="s">
        <v>650</v>
      </c>
      <c r="I899" s="37" t="s">
        <v>2028</v>
      </c>
      <c r="J899" s="37" t="s">
        <v>656</v>
      </c>
      <c r="K899" s="37" t="s">
        <v>13</v>
      </c>
      <c r="L899" s="47">
        <v>12003.05</v>
      </c>
      <c r="M899" s="47">
        <v>11323.63</v>
      </c>
      <c r="N899" s="47">
        <v>679.42</v>
      </c>
      <c r="O899" s="37" t="s">
        <v>2754</v>
      </c>
    </row>
    <row r="900" hidden="1" customHeight="1" spans="1:15">
      <c r="A900" s="37" t="s">
        <v>637</v>
      </c>
      <c r="B900" s="38">
        <v>45291</v>
      </c>
      <c r="C900" s="37" t="s">
        <v>646</v>
      </c>
      <c r="D900" s="37" t="s">
        <v>2483</v>
      </c>
      <c r="E900" s="37" t="s">
        <v>640</v>
      </c>
      <c r="F900" s="37" t="s">
        <v>641</v>
      </c>
      <c r="G900" s="37" t="s">
        <v>1899</v>
      </c>
      <c r="H900" s="37" t="s">
        <v>650</v>
      </c>
      <c r="I900" s="37" t="s">
        <v>1953</v>
      </c>
      <c r="J900" s="37" t="s">
        <v>656</v>
      </c>
      <c r="K900" s="37" t="s">
        <v>166</v>
      </c>
      <c r="L900" s="47">
        <v>71000</v>
      </c>
      <c r="M900" s="47">
        <v>66981.13</v>
      </c>
      <c r="N900" s="47">
        <v>4018.87</v>
      </c>
      <c r="O900" s="37" t="s">
        <v>2755</v>
      </c>
    </row>
    <row r="901" hidden="1" customHeight="1" spans="1:15">
      <c r="A901" s="37" t="s">
        <v>637</v>
      </c>
      <c r="B901" s="38">
        <v>45291</v>
      </c>
      <c r="C901" s="37" t="s">
        <v>646</v>
      </c>
      <c r="D901" s="37" t="s">
        <v>2134</v>
      </c>
      <c r="E901" s="37" t="s">
        <v>640</v>
      </c>
      <c r="F901" s="37" t="s">
        <v>641</v>
      </c>
      <c r="G901" s="37" t="s">
        <v>1899</v>
      </c>
      <c r="H901" s="37" t="s">
        <v>643</v>
      </c>
      <c r="I901" s="37" t="s">
        <v>466</v>
      </c>
      <c r="J901" s="37" t="s">
        <v>656</v>
      </c>
      <c r="K901" s="37" t="s">
        <v>14</v>
      </c>
      <c r="L901" s="47">
        <v>39222.79</v>
      </c>
      <c r="M901" s="47">
        <v>37002.63</v>
      </c>
      <c r="N901" s="47">
        <v>2220.16</v>
      </c>
      <c r="O901" s="37" t="s">
        <v>2756</v>
      </c>
    </row>
    <row r="902" hidden="1" customHeight="1" spans="1:15">
      <c r="A902" s="37" t="s">
        <v>637</v>
      </c>
      <c r="B902" s="38">
        <v>45291</v>
      </c>
      <c r="C902" s="37" t="s">
        <v>646</v>
      </c>
      <c r="D902" s="37" t="s">
        <v>1296</v>
      </c>
      <c r="E902" s="37" t="s">
        <v>640</v>
      </c>
      <c r="F902" s="37" t="s">
        <v>641</v>
      </c>
      <c r="G902" s="37" t="s">
        <v>1899</v>
      </c>
      <c r="H902" s="37" t="s">
        <v>643</v>
      </c>
      <c r="I902" s="37" t="s">
        <v>2014</v>
      </c>
      <c r="J902" s="37" t="s">
        <v>656</v>
      </c>
      <c r="K902" s="37" t="s">
        <v>14</v>
      </c>
      <c r="L902" s="47">
        <v>88000</v>
      </c>
      <c r="M902" s="47">
        <v>83018.87</v>
      </c>
      <c r="N902" s="47">
        <v>4981.13</v>
      </c>
      <c r="O902" s="37" t="s">
        <v>2757</v>
      </c>
    </row>
    <row r="903" hidden="1" customHeight="1" spans="1:15">
      <c r="A903" s="37" t="s">
        <v>637</v>
      </c>
      <c r="B903" s="38">
        <v>45291</v>
      </c>
      <c r="C903" s="37" t="s">
        <v>646</v>
      </c>
      <c r="D903" s="37" t="s">
        <v>2134</v>
      </c>
      <c r="E903" s="37" t="s">
        <v>640</v>
      </c>
      <c r="F903" s="37" t="s">
        <v>641</v>
      </c>
      <c r="G903" s="37" t="s">
        <v>1899</v>
      </c>
      <c r="H903" s="37" t="s">
        <v>643</v>
      </c>
      <c r="I903" s="37" t="s">
        <v>1906</v>
      </c>
      <c r="J903" s="37" t="s">
        <v>656</v>
      </c>
      <c r="K903" s="37" t="s">
        <v>14</v>
      </c>
      <c r="L903" s="47">
        <v>12133.04</v>
      </c>
      <c r="M903" s="47">
        <v>11446.26</v>
      </c>
      <c r="N903" s="47">
        <v>686.78</v>
      </c>
      <c r="O903" s="37" t="s">
        <v>2758</v>
      </c>
    </row>
    <row r="904" hidden="1" customHeight="1" spans="1:15">
      <c r="A904" s="37" t="s">
        <v>637</v>
      </c>
      <c r="B904" s="38">
        <v>45291</v>
      </c>
      <c r="C904" s="37" t="s">
        <v>646</v>
      </c>
      <c r="D904" s="37" t="s">
        <v>2134</v>
      </c>
      <c r="E904" s="37" t="s">
        <v>640</v>
      </c>
      <c r="F904" s="37" t="s">
        <v>641</v>
      </c>
      <c r="G904" s="37" t="s">
        <v>1899</v>
      </c>
      <c r="H904" s="37" t="s">
        <v>643</v>
      </c>
      <c r="I904" s="37" t="s">
        <v>1989</v>
      </c>
      <c r="J904" s="37" t="s">
        <v>656</v>
      </c>
      <c r="K904" s="37" t="s">
        <v>14</v>
      </c>
      <c r="L904" s="47">
        <v>64.78</v>
      </c>
      <c r="M904" s="47">
        <v>61.11</v>
      </c>
      <c r="N904" s="47">
        <v>3.67</v>
      </c>
      <c r="O904" s="37" t="s">
        <v>2759</v>
      </c>
    </row>
    <row r="905" hidden="1" customHeight="1" spans="1:15">
      <c r="A905" s="37" t="s">
        <v>637</v>
      </c>
      <c r="B905" s="38">
        <v>45291</v>
      </c>
      <c r="C905" s="37" t="s">
        <v>730</v>
      </c>
      <c r="D905" s="37" t="s">
        <v>2483</v>
      </c>
      <c r="E905" s="37" t="s">
        <v>640</v>
      </c>
      <c r="F905" s="37" t="s">
        <v>641</v>
      </c>
      <c r="G905" s="37" t="s">
        <v>1899</v>
      </c>
      <c r="H905" s="37" t="s">
        <v>650</v>
      </c>
      <c r="I905" s="37" t="s">
        <v>1941</v>
      </c>
      <c r="J905" s="37" t="s">
        <v>656</v>
      </c>
      <c r="K905" s="37" t="s">
        <v>166</v>
      </c>
      <c r="L905" s="47">
        <v>25000</v>
      </c>
      <c r="M905" s="47">
        <v>23584.91</v>
      </c>
      <c r="N905" s="47">
        <v>1415.09</v>
      </c>
      <c r="O905" s="37" t="s">
        <v>2760</v>
      </c>
    </row>
    <row r="906" hidden="1" customHeight="1" spans="1:15">
      <c r="A906" s="37" t="s">
        <v>637</v>
      </c>
      <c r="B906" s="38">
        <v>45291</v>
      </c>
      <c r="C906" s="37" t="s">
        <v>2478</v>
      </c>
      <c r="D906" s="37" t="s">
        <v>1296</v>
      </c>
      <c r="E906" s="37" t="s">
        <v>640</v>
      </c>
      <c r="F906" s="37" t="s">
        <v>641</v>
      </c>
      <c r="G906" s="37" t="s">
        <v>1901</v>
      </c>
      <c r="H906" s="37" t="s">
        <v>650</v>
      </c>
      <c r="I906" s="37" t="s">
        <v>2060</v>
      </c>
      <c r="J906" s="37" t="s">
        <v>644</v>
      </c>
      <c r="K906" s="37" t="s">
        <v>20</v>
      </c>
      <c r="L906" s="47">
        <v>3939</v>
      </c>
      <c r="M906" s="47">
        <v>3716.04</v>
      </c>
      <c r="N906" s="47">
        <v>222.96</v>
      </c>
      <c r="O906" s="37" t="s">
        <v>2761</v>
      </c>
    </row>
    <row r="907" hidden="1" customHeight="1" spans="1:15">
      <c r="A907" s="37" t="s">
        <v>637</v>
      </c>
      <c r="B907" s="38">
        <v>45291</v>
      </c>
      <c r="C907" s="37" t="s">
        <v>2478</v>
      </c>
      <c r="D907" s="37" t="s">
        <v>1296</v>
      </c>
      <c r="E907" s="37" t="s">
        <v>640</v>
      </c>
      <c r="F907" s="37" t="s">
        <v>641</v>
      </c>
      <c r="G907" s="37" t="s">
        <v>1901</v>
      </c>
      <c r="H907" s="37" t="s">
        <v>650</v>
      </c>
      <c r="I907" s="37" t="s">
        <v>2058</v>
      </c>
      <c r="J907" s="37" t="s">
        <v>644</v>
      </c>
      <c r="K907" s="37" t="s">
        <v>20</v>
      </c>
      <c r="L907" s="47">
        <v>36907.2</v>
      </c>
      <c r="M907" s="47">
        <v>34818.11</v>
      </c>
      <c r="N907" s="47">
        <v>2089.09</v>
      </c>
      <c r="O907" s="37" t="s">
        <v>2762</v>
      </c>
    </row>
    <row r="908" hidden="1" customHeight="1" spans="1:15">
      <c r="A908" s="37" t="s">
        <v>637</v>
      </c>
      <c r="B908" s="38">
        <v>45291</v>
      </c>
      <c r="C908" s="37" t="s">
        <v>2478</v>
      </c>
      <c r="D908" s="37" t="s">
        <v>1296</v>
      </c>
      <c r="E908" s="37" t="s">
        <v>640</v>
      </c>
      <c r="F908" s="37" t="s">
        <v>641</v>
      </c>
      <c r="G908" s="37" t="s">
        <v>1901</v>
      </c>
      <c r="H908" s="37" t="s">
        <v>650</v>
      </c>
      <c r="I908" s="37" t="s">
        <v>2056</v>
      </c>
      <c r="J908" s="37" t="s">
        <v>644</v>
      </c>
      <c r="K908" s="37" t="s">
        <v>20</v>
      </c>
      <c r="L908" s="47">
        <v>39897.78</v>
      </c>
      <c r="M908" s="47">
        <v>37639.42</v>
      </c>
      <c r="N908" s="47">
        <v>2258.36</v>
      </c>
      <c r="O908" s="37" t="s">
        <v>2763</v>
      </c>
    </row>
    <row r="909" hidden="1" customHeight="1" spans="1:15">
      <c r="A909" s="37" t="s">
        <v>637</v>
      </c>
      <c r="B909" s="38">
        <v>45291</v>
      </c>
      <c r="C909" s="37" t="s">
        <v>2478</v>
      </c>
      <c r="D909" s="37" t="s">
        <v>1296</v>
      </c>
      <c r="E909" s="37" t="s">
        <v>640</v>
      </c>
      <c r="F909" s="37" t="s">
        <v>641</v>
      </c>
      <c r="G909" s="37" t="s">
        <v>1901</v>
      </c>
      <c r="H909" s="37" t="s">
        <v>650</v>
      </c>
      <c r="I909" s="37" t="s">
        <v>2060</v>
      </c>
      <c r="J909" s="37" t="s">
        <v>644</v>
      </c>
      <c r="K909" s="37" t="s">
        <v>20</v>
      </c>
      <c r="L909" s="47">
        <v>5252</v>
      </c>
      <c r="M909" s="47">
        <v>4954.72</v>
      </c>
      <c r="N909" s="47">
        <v>297.28</v>
      </c>
      <c r="O909" s="37" t="s">
        <v>2764</v>
      </c>
    </row>
    <row r="910" hidden="1" customHeight="1" spans="1:15">
      <c r="A910" s="37" t="s">
        <v>637</v>
      </c>
      <c r="B910" s="38">
        <v>45291</v>
      </c>
      <c r="C910" s="37" t="s">
        <v>2478</v>
      </c>
      <c r="D910" s="37" t="s">
        <v>1296</v>
      </c>
      <c r="E910" s="37" t="s">
        <v>640</v>
      </c>
      <c r="F910" s="37" t="s">
        <v>641</v>
      </c>
      <c r="G910" s="37" t="s">
        <v>1901</v>
      </c>
      <c r="H910" s="37" t="s">
        <v>650</v>
      </c>
      <c r="I910" s="37" t="s">
        <v>2056</v>
      </c>
      <c r="J910" s="37" t="s">
        <v>644</v>
      </c>
      <c r="K910" s="37" t="s">
        <v>20</v>
      </c>
      <c r="L910" s="47">
        <v>12913.99</v>
      </c>
      <c r="M910" s="47">
        <v>12183.01</v>
      </c>
      <c r="N910" s="47">
        <v>730.98</v>
      </c>
      <c r="O910" s="37" t="s">
        <v>2765</v>
      </c>
    </row>
    <row r="911" hidden="1" customHeight="1" spans="1:15">
      <c r="A911" s="37" t="s">
        <v>637</v>
      </c>
      <c r="B911" s="38">
        <v>45291</v>
      </c>
      <c r="C911" s="37" t="s">
        <v>1273</v>
      </c>
      <c r="D911" s="37" t="s">
        <v>2483</v>
      </c>
      <c r="E911" s="37" t="s">
        <v>640</v>
      </c>
      <c r="F911" s="37" t="s">
        <v>641</v>
      </c>
      <c r="G911" s="37" t="s">
        <v>1899</v>
      </c>
      <c r="H911" s="37" t="s">
        <v>650</v>
      </c>
      <c r="I911" s="37" t="s">
        <v>1961</v>
      </c>
      <c r="J911" s="37" t="s">
        <v>656</v>
      </c>
      <c r="K911" s="37" t="s">
        <v>166</v>
      </c>
      <c r="L911" s="47">
        <v>17301.27</v>
      </c>
      <c r="M911" s="47">
        <v>16321.95</v>
      </c>
      <c r="N911" s="47">
        <v>979.32</v>
      </c>
      <c r="O911" s="37" t="s">
        <v>2766</v>
      </c>
    </row>
    <row r="912" hidden="1" customHeight="1" spans="1:15">
      <c r="A912" s="37" t="s">
        <v>637</v>
      </c>
      <c r="B912" s="38">
        <v>45291</v>
      </c>
      <c r="C912" s="37" t="s">
        <v>646</v>
      </c>
      <c r="D912" s="37" t="s">
        <v>2483</v>
      </c>
      <c r="E912" s="37" t="s">
        <v>640</v>
      </c>
      <c r="F912" s="37" t="s">
        <v>641</v>
      </c>
      <c r="G912" s="37" t="s">
        <v>1901</v>
      </c>
      <c r="H912" s="37" t="s">
        <v>650</v>
      </c>
      <c r="I912" s="37" t="s">
        <v>1963</v>
      </c>
      <c r="J912" s="37" t="s">
        <v>656</v>
      </c>
      <c r="K912" s="37" t="s">
        <v>166</v>
      </c>
      <c r="L912" s="47">
        <v>2585.08</v>
      </c>
      <c r="M912" s="47">
        <v>2438.75</v>
      </c>
      <c r="N912" s="47">
        <v>146.33</v>
      </c>
      <c r="O912" s="37" t="s">
        <v>2767</v>
      </c>
    </row>
    <row r="913" hidden="1" customHeight="1" spans="1:15">
      <c r="A913" s="37" t="s">
        <v>637</v>
      </c>
      <c r="B913" s="38">
        <v>45291</v>
      </c>
      <c r="C913" s="37" t="s">
        <v>646</v>
      </c>
      <c r="D913" s="37" t="s">
        <v>653</v>
      </c>
      <c r="E913" s="37" t="s">
        <v>640</v>
      </c>
      <c r="F913" s="37" t="s">
        <v>641</v>
      </c>
      <c r="G913" s="37" t="s">
        <v>1899</v>
      </c>
      <c r="H913" s="37" t="s">
        <v>643</v>
      </c>
      <c r="I913" s="37" t="s">
        <v>1955</v>
      </c>
      <c r="J913" s="37" t="s">
        <v>644</v>
      </c>
      <c r="K913" s="37" t="s">
        <v>166</v>
      </c>
      <c r="L913" s="47">
        <v>20063.67</v>
      </c>
      <c r="M913" s="47">
        <v>18927.99</v>
      </c>
      <c r="N913" s="47">
        <v>1135.68</v>
      </c>
      <c r="O913" s="37" t="s">
        <v>2768</v>
      </c>
    </row>
    <row r="914" hidden="1" customHeight="1" spans="1:15">
      <c r="A914" s="37" t="s">
        <v>637</v>
      </c>
      <c r="B914" s="38">
        <v>45291</v>
      </c>
      <c r="C914" s="37" t="s">
        <v>646</v>
      </c>
      <c r="D914" s="37" t="s">
        <v>653</v>
      </c>
      <c r="E914" s="37" t="s">
        <v>640</v>
      </c>
      <c r="F914" s="37" t="s">
        <v>641</v>
      </c>
      <c r="G914" s="37" t="s">
        <v>1899</v>
      </c>
      <c r="H914" s="37" t="s">
        <v>643</v>
      </c>
      <c r="I914" s="37" t="s">
        <v>1955</v>
      </c>
      <c r="J914" s="37" t="s">
        <v>644</v>
      </c>
      <c r="K914" s="37" t="s">
        <v>166</v>
      </c>
      <c r="L914" s="47">
        <v>8727.65</v>
      </c>
      <c r="M914" s="47">
        <v>8233.63</v>
      </c>
      <c r="N914" s="47">
        <v>494.02</v>
      </c>
      <c r="O914" s="37" t="s">
        <v>2769</v>
      </c>
    </row>
    <row r="915" hidden="1" customHeight="1" spans="1:15">
      <c r="A915" s="37" t="s">
        <v>637</v>
      </c>
      <c r="B915" s="38">
        <v>45291</v>
      </c>
      <c r="C915" s="37" t="s">
        <v>2478</v>
      </c>
      <c r="D915" s="37" t="s">
        <v>1296</v>
      </c>
      <c r="E915" s="37" t="s">
        <v>640</v>
      </c>
      <c r="F915" s="37" t="s">
        <v>641</v>
      </c>
      <c r="G915" s="37" t="s">
        <v>1899</v>
      </c>
      <c r="H915" s="37" t="s">
        <v>650</v>
      </c>
      <c r="I915" s="37" t="s">
        <v>2062</v>
      </c>
      <c r="J915" s="37" t="s">
        <v>644</v>
      </c>
      <c r="K915" s="37" t="s">
        <v>20</v>
      </c>
      <c r="L915" s="47">
        <v>29948.67</v>
      </c>
      <c r="M915" s="47">
        <v>28253.46</v>
      </c>
      <c r="N915" s="47">
        <v>1695.21</v>
      </c>
      <c r="O915" s="37" t="s">
        <v>2770</v>
      </c>
    </row>
    <row r="916" hidden="1" customHeight="1" spans="1:15">
      <c r="A916" s="37" t="s">
        <v>637</v>
      </c>
      <c r="B916" s="38">
        <v>45291</v>
      </c>
      <c r="C916" s="37" t="s">
        <v>646</v>
      </c>
      <c r="D916" s="37" t="s">
        <v>682</v>
      </c>
      <c r="E916" s="37" t="s">
        <v>640</v>
      </c>
      <c r="F916" s="37" t="s">
        <v>641</v>
      </c>
      <c r="G916" s="37" t="s">
        <v>1899</v>
      </c>
      <c r="H916" s="37" t="s">
        <v>650</v>
      </c>
      <c r="I916" s="37" t="s">
        <v>2028</v>
      </c>
      <c r="J916" s="37" t="s">
        <v>656</v>
      </c>
      <c r="K916" s="37" t="s">
        <v>13</v>
      </c>
      <c r="L916" s="47">
        <v>2052.55</v>
      </c>
      <c r="M916" s="47">
        <v>1936.37</v>
      </c>
      <c r="N916" s="47">
        <v>116.18</v>
      </c>
      <c r="O916" s="37" t="s">
        <v>2771</v>
      </c>
    </row>
    <row r="917" hidden="1" customHeight="1" spans="1:15">
      <c r="A917" s="37" t="s">
        <v>637</v>
      </c>
      <c r="B917" s="38">
        <v>45291</v>
      </c>
      <c r="C917" s="37" t="s">
        <v>646</v>
      </c>
      <c r="D917" s="37" t="s">
        <v>1296</v>
      </c>
      <c r="E917" s="37" t="s">
        <v>640</v>
      </c>
      <c r="F917" s="37" t="s">
        <v>641</v>
      </c>
      <c r="G917" s="37" t="s">
        <v>1899</v>
      </c>
      <c r="H917" s="37" t="s">
        <v>643</v>
      </c>
      <c r="I917" s="37" t="s">
        <v>429</v>
      </c>
      <c r="J917" s="37" t="s">
        <v>644</v>
      </c>
      <c r="K917" s="37" t="s">
        <v>14</v>
      </c>
      <c r="L917" s="47">
        <v>540381.11</v>
      </c>
      <c r="M917" s="47">
        <v>509793.5</v>
      </c>
      <c r="N917" s="47">
        <v>30587.61</v>
      </c>
      <c r="O917" s="37" t="s">
        <v>2772</v>
      </c>
    </row>
    <row r="918" hidden="1" customHeight="1" spans="1:15">
      <c r="A918" s="37" t="s">
        <v>637</v>
      </c>
      <c r="B918" s="38">
        <v>45291</v>
      </c>
      <c r="C918" s="37" t="s">
        <v>646</v>
      </c>
      <c r="D918" s="37" t="s">
        <v>1284</v>
      </c>
      <c r="E918" s="37" t="s">
        <v>640</v>
      </c>
      <c r="F918" s="37" t="s">
        <v>641</v>
      </c>
      <c r="G918" s="37" t="s">
        <v>1899</v>
      </c>
      <c r="H918" s="37" t="s">
        <v>650</v>
      </c>
      <c r="I918" s="37" t="s">
        <v>794</v>
      </c>
      <c r="J918" s="37" t="s">
        <v>656</v>
      </c>
      <c r="K918" s="37" t="s">
        <v>14</v>
      </c>
      <c r="L918" s="47">
        <v>14882.24</v>
      </c>
      <c r="M918" s="47">
        <v>14039.85</v>
      </c>
      <c r="N918" s="47">
        <v>842.39</v>
      </c>
      <c r="O918" s="37" t="s">
        <v>2773</v>
      </c>
    </row>
    <row r="919" hidden="1" customHeight="1" spans="1:15">
      <c r="A919" s="37" t="s">
        <v>637</v>
      </c>
      <c r="B919" s="38">
        <v>45291</v>
      </c>
      <c r="C919" s="37" t="s">
        <v>646</v>
      </c>
      <c r="D919" s="37" t="s">
        <v>726</v>
      </c>
      <c r="E919" s="37" t="s">
        <v>1898</v>
      </c>
      <c r="F919" s="37" t="s">
        <v>641</v>
      </c>
      <c r="G919" s="37" t="s">
        <v>1899</v>
      </c>
      <c r="H919" s="37" t="s">
        <v>650</v>
      </c>
      <c r="I919" s="37" t="s">
        <v>461</v>
      </c>
      <c r="J919" s="37" t="s">
        <v>656</v>
      </c>
      <c r="K919" s="37" t="s">
        <v>14</v>
      </c>
      <c r="L919" s="47">
        <v>23114.02</v>
      </c>
      <c r="M919" s="47">
        <v>21805.68</v>
      </c>
      <c r="N919" s="47">
        <v>1308.34</v>
      </c>
      <c r="O919" s="37" t="s">
        <v>2774</v>
      </c>
    </row>
    <row r="920" hidden="1" customHeight="1" spans="1:15">
      <c r="A920" s="37" t="s">
        <v>637</v>
      </c>
      <c r="B920" s="38">
        <v>45291</v>
      </c>
      <c r="C920" s="37" t="s">
        <v>646</v>
      </c>
      <c r="D920" s="37" t="s">
        <v>1296</v>
      </c>
      <c r="E920" s="37" t="s">
        <v>640</v>
      </c>
      <c r="F920" s="37" t="s">
        <v>641</v>
      </c>
      <c r="G920" s="37" t="s">
        <v>1899</v>
      </c>
      <c r="H920" s="37" t="s">
        <v>643</v>
      </c>
      <c r="I920" s="37" t="s">
        <v>466</v>
      </c>
      <c r="J920" s="37" t="s">
        <v>644</v>
      </c>
      <c r="K920" s="37" t="s">
        <v>14</v>
      </c>
      <c r="L920" s="47">
        <v>107309.3</v>
      </c>
      <c r="M920" s="47">
        <v>101235.19</v>
      </c>
      <c r="N920" s="47">
        <v>6074.11</v>
      </c>
      <c r="O920" s="37" t="s">
        <v>2775</v>
      </c>
    </row>
    <row r="921" hidden="1" customHeight="1" spans="1:15">
      <c r="A921" s="37" t="s">
        <v>637</v>
      </c>
      <c r="B921" s="38">
        <v>45291</v>
      </c>
      <c r="C921" s="37" t="s">
        <v>646</v>
      </c>
      <c r="D921" s="37" t="s">
        <v>1296</v>
      </c>
      <c r="E921" s="37" t="s">
        <v>1898</v>
      </c>
      <c r="F921" s="37" t="s">
        <v>641</v>
      </c>
      <c r="G921" s="37" t="s">
        <v>1899</v>
      </c>
      <c r="H921" s="37" t="s">
        <v>643</v>
      </c>
      <c r="I921" s="37" t="s">
        <v>466</v>
      </c>
      <c r="J921" s="37" t="s">
        <v>656</v>
      </c>
      <c r="K921" s="37" t="s">
        <v>14</v>
      </c>
      <c r="L921" s="47">
        <v>226406.32</v>
      </c>
      <c r="M921" s="47">
        <v>213590.87</v>
      </c>
      <c r="N921" s="47">
        <v>12815.45</v>
      </c>
      <c r="O921" s="37" t="s">
        <v>2776</v>
      </c>
    </row>
    <row r="922" hidden="1" customHeight="1" spans="1:15">
      <c r="A922" s="37" t="s">
        <v>637</v>
      </c>
      <c r="B922" s="38">
        <v>45291</v>
      </c>
      <c r="C922" s="37" t="s">
        <v>748</v>
      </c>
      <c r="D922" s="37" t="s">
        <v>726</v>
      </c>
      <c r="E922" s="37" t="s">
        <v>640</v>
      </c>
      <c r="F922" s="37" t="s">
        <v>641</v>
      </c>
      <c r="G922" s="37" t="s">
        <v>1901</v>
      </c>
      <c r="H922" s="37" t="s">
        <v>643</v>
      </c>
      <c r="I922" s="37" t="s">
        <v>444</v>
      </c>
      <c r="J922" s="37" t="s">
        <v>656</v>
      </c>
      <c r="K922" s="37" t="s">
        <v>14</v>
      </c>
      <c r="L922" s="47">
        <v>87140.78</v>
      </c>
      <c r="M922" s="47">
        <v>82208.28</v>
      </c>
      <c r="N922" s="47">
        <v>4932.5</v>
      </c>
      <c r="O922" s="37" t="s">
        <v>2777</v>
      </c>
    </row>
    <row r="923" hidden="1" customHeight="1" spans="1:15">
      <c r="A923" s="37" t="s">
        <v>637</v>
      </c>
      <c r="B923" s="38">
        <v>45291</v>
      </c>
      <c r="C923" s="37" t="s">
        <v>748</v>
      </c>
      <c r="D923" s="37" t="s">
        <v>726</v>
      </c>
      <c r="E923" s="37" t="s">
        <v>640</v>
      </c>
      <c r="F923" s="37" t="s">
        <v>641</v>
      </c>
      <c r="G923" s="37" t="s">
        <v>1899</v>
      </c>
      <c r="H923" s="37" t="s">
        <v>643</v>
      </c>
      <c r="I923" s="37" t="s">
        <v>444</v>
      </c>
      <c r="J923" s="37" t="s">
        <v>656</v>
      </c>
      <c r="K923" s="37" t="s">
        <v>14</v>
      </c>
      <c r="L923" s="47">
        <v>87140.78</v>
      </c>
      <c r="M923" s="47">
        <v>82208.28</v>
      </c>
      <c r="N923" s="47">
        <v>4932.5</v>
      </c>
      <c r="O923" s="37" t="s">
        <v>2778</v>
      </c>
    </row>
    <row r="924" hidden="1" customHeight="1" spans="1:15">
      <c r="A924" s="37" t="s">
        <v>637</v>
      </c>
      <c r="B924" s="38">
        <v>45291</v>
      </c>
      <c r="C924" s="37" t="s">
        <v>811</v>
      </c>
      <c r="D924" s="37" t="s">
        <v>653</v>
      </c>
      <c r="E924" s="37" t="s">
        <v>640</v>
      </c>
      <c r="F924" s="37" t="s">
        <v>641</v>
      </c>
      <c r="G924" s="37" t="s">
        <v>1899</v>
      </c>
      <c r="H924" s="37" t="s">
        <v>650</v>
      </c>
      <c r="I924" s="37" t="s">
        <v>435</v>
      </c>
      <c r="J924" s="37" t="s">
        <v>656</v>
      </c>
      <c r="K924" s="37" t="s">
        <v>166</v>
      </c>
      <c r="L924" s="47">
        <v>-79385.97</v>
      </c>
      <c r="M924" s="47">
        <v>-74892.42</v>
      </c>
      <c r="N924" s="47">
        <v>-4493.55</v>
      </c>
      <c r="O924" s="37" t="s">
        <v>2779</v>
      </c>
    </row>
    <row r="925" hidden="1" customHeight="1" spans="1:15">
      <c r="A925" s="37" t="s">
        <v>637</v>
      </c>
      <c r="B925" s="38">
        <v>45291</v>
      </c>
      <c r="C925" s="37" t="s">
        <v>748</v>
      </c>
      <c r="D925" s="37" t="s">
        <v>653</v>
      </c>
      <c r="E925" s="37" t="s">
        <v>640</v>
      </c>
      <c r="F925" s="37" t="s">
        <v>641</v>
      </c>
      <c r="G925" s="37" t="s">
        <v>1899</v>
      </c>
      <c r="H925" s="37" t="s">
        <v>643</v>
      </c>
      <c r="I925" s="37" t="s">
        <v>463</v>
      </c>
      <c r="J925" s="37" t="s">
        <v>644</v>
      </c>
      <c r="K925" s="37" t="s">
        <v>166</v>
      </c>
      <c r="L925" s="47">
        <v>30092.34</v>
      </c>
      <c r="M925" s="47">
        <v>28389</v>
      </c>
      <c r="N925" s="47">
        <v>1703.34</v>
      </c>
      <c r="O925" s="37" t="s">
        <v>2780</v>
      </c>
    </row>
    <row r="926" hidden="1" customHeight="1" spans="1:15">
      <c r="A926" s="37" t="s">
        <v>637</v>
      </c>
      <c r="B926" s="38">
        <v>45291</v>
      </c>
      <c r="C926" s="37" t="s">
        <v>748</v>
      </c>
      <c r="D926" s="37" t="s">
        <v>2483</v>
      </c>
      <c r="E926" s="37" t="s">
        <v>640</v>
      </c>
      <c r="F926" s="37" t="s">
        <v>641</v>
      </c>
      <c r="G926" s="37" t="s">
        <v>1899</v>
      </c>
      <c r="H926" s="37" t="s">
        <v>650</v>
      </c>
      <c r="I926" s="37" t="s">
        <v>463</v>
      </c>
      <c r="J926" s="37" t="s">
        <v>656</v>
      </c>
      <c r="K926" s="37" t="s">
        <v>166</v>
      </c>
      <c r="L926" s="47">
        <v>457.26</v>
      </c>
      <c r="M926" s="47">
        <v>431.38</v>
      </c>
      <c r="N926" s="47">
        <v>25.88</v>
      </c>
      <c r="O926" s="37" t="s">
        <v>2781</v>
      </c>
    </row>
    <row r="927" hidden="1" customHeight="1" spans="1:15">
      <c r="A927" s="37" t="s">
        <v>637</v>
      </c>
      <c r="B927" s="38">
        <v>45291</v>
      </c>
      <c r="C927" s="37" t="s">
        <v>646</v>
      </c>
      <c r="D927" s="37" t="s">
        <v>653</v>
      </c>
      <c r="E927" s="37" t="s">
        <v>640</v>
      </c>
      <c r="F927" s="37" t="s">
        <v>641</v>
      </c>
      <c r="G927" s="37" t="s">
        <v>1899</v>
      </c>
      <c r="H927" s="37" t="s">
        <v>650</v>
      </c>
      <c r="I927" s="37" t="s">
        <v>1955</v>
      </c>
      <c r="J927" s="37" t="s">
        <v>656</v>
      </c>
      <c r="K927" s="37" t="s">
        <v>166</v>
      </c>
      <c r="L927" s="47">
        <v>51476.81</v>
      </c>
      <c r="M927" s="47">
        <v>48563.03</v>
      </c>
      <c r="N927" s="47">
        <v>2913.78</v>
      </c>
      <c r="O927" s="37" t="s">
        <v>2782</v>
      </c>
    </row>
    <row r="928" hidden="1" customHeight="1" spans="1:15">
      <c r="A928" s="37" t="s">
        <v>637</v>
      </c>
      <c r="B928" s="38">
        <v>45291</v>
      </c>
      <c r="C928" s="37" t="s">
        <v>748</v>
      </c>
      <c r="D928" s="37" t="s">
        <v>653</v>
      </c>
      <c r="E928" s="37" t="s">
        <v>640</v>
      </c>
      <c r="F928" s="37" t="s">
        <v>641</v>
      </c>
      <c r="G928" s="37" t="s">
        <v>1901</v>
      </c>
      <c r="H928" s="37" t="s">
        <v>643</v>
      </c>
      <c r="I928" s="37" t="s">
        <v>463</v>
      </c>
      <c r="J928" s="37" t="s">
        <v>644</v>
      </c>
      <c r="K928" s="37" t="s">
        <v>166</v>
      </c>
      <c r="L928" s="47">
        <v>17081.38</v>
      </c>
      <c r="M928" s="47">
        <v>16114.51</v>
      </c>
      <c r="N928" s="47">
        <v>966.87</v>
      </c>
      <c r="O928" s="37" t="s">
        <v>2783</v>
      </c>
    </row>
    <row r="929" hidden="1" customHeight="1" spans="1:15">
      <c r="A929" s="37" t="s">
        <v>637</v>
      </c>
      <c r="B929" s="38">
        <v>45291</v>
      </c>
      <c r="C929" s="37" t="s">
        <v>1273</v>
      </c>
      <c r="D929" s="37" t="s">
        <v>2483</v>
      </c>
      <c r="E929" s="37" t="s">
        <v>640</v>
      </c>
      <c r="F929" s="37" t="s">
        <v>641</v>
      </c>
      <c r="G929" s="37" t="s">
        <v>1899</v>
      </c>
      <c r="H929" s="37" t="s">
        <v>697</v>
      </c>
      <c r="I929" s="37" t="s">
        <v>737</v>
      </c>
      <c r="J929" s="37" t="s">
        <v>656</v>
      </c>
      <c r="K929" s="37" t="s">
        <v>166</v>
      </c>
      <c r="L929" s="47">
        <v>1907616.01</v>
      </c>
      <c r="M929" s="47">
        <v>1799637.75</v>
      </c>
      <c r="N929" s="47">
        <v>107978.26</v>
      </c>
      <c r="O929" s="37" t="s">
        <v>2784</v>
      </c>
    </row>
    <row r="930" hidden="1" customHeight="1" spans="1:15">
      <c r="A930" s="37" t="s">
        <v>637</v>
      </c>
      <c r="B930" s="38">
        <v>45291</v>
      </c>
      <c r="C930" s="37" t="s">
        <v>646</v>
      </c>
      <c r="D930" s="37" t="s">
        <v>682</v>
      </c>
      <c r="E930" s="37" t="s">
        <v>640</v>
      </c>
      <c r="F930" s="37" t="s">
        <v>641</v>
      </c>
      <c r="G930" s="37" t="s">
        <v>1901</v>
      </c>
      <c r="H930" s="37" t="s">
        <v>650</v>
      </c>
      <c r="I930" s="37" t="s">
        <v>2024</v>
      </c>
      <c r="J930" s="37" t="s">
        <v>656</v>
      </c>
      <c r="K930" s="37" t="s">
        <v>13</v>
      </c>
      <c r="L930" s="47">
        <v>16750</v>
      </c>
      <c r="M930" s="47">
        <v>15801.89</v>
      </c>
      <c r="N930" s="47">
        <v>948.11</v>
      </c>
      <c r="O930" s="37" t="s">
        <v>2785</v>
      </c>
    </row>
    <row r="931" hidden="1" customHeight="1" spans="1:15">
      <c r="A931" s="37" t="s">
        <v>637</v>
      </c>
      <c r="B931" s="38">
        <v>45291</v>
      </c>
      <c r="C931" s="37" t="s">
        <v>646</v>
      </c>
      <c r="D931" s="37" t="s">
        <v>1296</v>
      </c>
      <c r="E931" s="37" t="s">
        <v>640</v>
      </c>
      <c r="F931" s="37" t="s">
        <v>641</v>
      </c>
      <c r="G931" s="37" t="s">
        <v>1901</v>
      </c>
      <c r="H931" s="37" t="s">
        <v>643</v>
      </c>
      <c r="I931" s="37" t="s">
        <v>429</v>
      </c>
      <c r="J931" s="37" t="s">
        <v>644</v>
      </c>
      <c r="K931" s="37" t="s">
        <v>14</v>
      </c>
      <c r="L931" s="47">
        <v>219683.59</v>
      </c>
      <c r="M931" s="47">
        <v>207248.67</v>
      </c>
      <c r="N931" s="47">
        <v>12434.92</v>
      </c>
      <c r="O931" s="37" t="s">
        <v>2786</v>
      </c>
    </row>
    <row r="932" hidden="1" customHeight="1" spans="1:15">
      <c r="A932" s="37" t="s">
        <v>637</v>
      </c>
      <c r="B932" s="38">
        <v>45291</v>
      </c>
      <c r="C932" s="37" t="s">
        <v>748</v>
      </c>
      <c r="D932" s="37" t="s">
        <v>653</v>
      </c>
      <c r="E932" s="37" t="s">
        <v>640</v>
      </c>
      <c r="F932" s="37" t="s">
        <v>641</v>
      </c>
      <c r="G932" s="37" t="s">
        <v>1899</v>
      </c>
      <c r="H932" s="37" t="s">
        <v>643</v>
      </c>
      <c r="I932" s="37" t="s">
        <v>737</v>
      </c>
      <c r="J932" s="37" t="s">
        <v>644</v>
      </c>
      <c r="K932" s="37" t="s">
        <v>165</v>
      </c>
      <c r="L932" s="47">
        <v>6345.62</v>
      </c>
      <c r="M932" s="47">
        <v>5986.43</v>
      </c>
      <c r="N932" s="47">
        <v>359.19</v>
      </c>
      <c r="O932" s="37" t="s">
        <v>2787</v>
      </c>
    </row>
    <row r="933" hidden="1" customHeight="1" spans="1:15">
      <c r="A933" s="37" t="s">
        <v>637</v>
      </c>
      <c r="B933" s="38">
        <v>45291</v>
      </c>
      <c r="C933" s="37" t="s">
        <v>2478</v>
      </c>
      <c r="D933" s="37" t="s">
        <v>1296</v>
      </c>
      <c r="E933" s="37" t="s">
        <v>640</v>
      </c>
      <c r="F933" s="37" t="s">
        <v>641</v>
      </c>
      <c r="G933" s="37" t="s">
        <v>1899</v>
      </c>
      <c r="H933" s="37" t="s">
        <v>650</v>
      </c>
      <c r="I933" s="37" t="s">
        <v>2044</v>
      </c>
      <c r="J933" s="37" t="s">
        <v>644</v>
      </c>
      <c r="K933" s="37" t="s">
        <v>20</v>
      </c>
      <c r="L933" s="47">
        <v>153615.39</v>
      </c>
      <c r="M933" s="47">
        <v>144920.18</v>
      </c>
      <c r="N933" s="47">
        <v>8695.21</v>
      </c>
      <c r="O933" s="37" t="s">
        <v>2788</v>
      </c>
    </row>
    <row r="934" hidden="1" customHeight="1" spans="1:15">
      <c r="A934" s="37" t="s">
        <v>637</v>
      </c>
      <c r="B934" s="38">
        <v>45291</v>
      </c>
      <c r="C934" s="37" t="s">
        <v>2478</v>
      </c>
      <c r="D934" s="37" t="s">
        <v>1296</v>
      </c>
      <c r="E934" s="37" t="s">
        <v>640</v>
      </c>
      <c r="F934" s="37" t="s">
        <v>641</v>
      </c>
      <c r="G934" s="37" t="s">
        <v>1899</v>
      </c>
      <c r="H934" s="37" t="s">
        <v>650</v>
      </c>
      <c r="I934" s="37" t="s">
        <v>2046</v>
      </c>
      <c r="J934" s="37" t="s">
        <v>644</v>
      </c>
      <c r="K934" s="37" t="s">
        <v>20</v>
      </c>
      <c r="L934" s="47">
        <v>1945.26</v>
      </c>
      <c r="M934" s="47">
        <v>1835.15</v>
      </c>
      <c r="N934" s="47">
        <v>110.11</v>
      </c>
      <c r="O934" s="37" t="s">
        <v>2789</v>
      </c>
    </row>
    <row r="935" hidden="1" customHeight="1" spans="1:15">
      <c r="A935" s="37" t="s">
        <v>637</v>
      </c>
      <c r="B935" s="38">
        <v>45291</v>
      </c>
      <c r="C935" s="37" t="s">
        <v>1273</v>
      </c>
      <c r="D935" s="37" t="s">
        <v>2483</v>
      </c>
      <c r="E935" s="37" t="s">
        <v>640</v>
      </c>
      <c r="F935" s="37" t="s">
        <v>641</v>
      </c>
      <c r="G935" s="37" t="s">
        <v>1901</v>
      </c>
      <c r="H935" s="37" t="s">
        <v>650</v>
      </c>
      <c r="I935" s="37" t="s">
        <v>1923</v>
      </c>
      <c r="J935" s="37" t="s">
        <v>656</v>
      </c>
      <c r="K935" s="37" t="s">
        <v>166</v>
      </c>
      <c r="L935" s="47">
        <v>6562.7</v>
      </c>
      <c r="M935" s="47">
        <v>6191.23</v>
      </c>
      <c r="N935" s="47">
        <v>371.47</v>
      </c>
      <c r="O935" s="37" t="s">
        <v>2790</v>
      </c>
    </row>
    <row r="936" hidden="1" customHeight="1" spans="1:15">
      <c r="A936" s="37" t="s">
        <v>637</v>
      </c>
      <c r="B936" s="38">
        <v>45291</v>
      </c>
      <c r="C936" s="37" t="s">
        <v>1273</v>
      </c>
      <c r="D936" s="37" t="s">
        <v>653</v>
      </c>
      <c r="E936" s="37" t="s">
        <v>640</v>
      </c>
      <c r="F936" s="37" t="s">
        <v>641</v>
      </c>
      <c r="G936" s="37" t="s">
        <v>1901</v>
      </c>
      <c r="H936" s="37" t="s">
        <v>650</v>
      </c>
      <c r="I936" s="37" t="s">
        <v>1946</v>
      </c>
      <c r="J936" s="37" t="s">
        <v>644</v>
      </c>
      <c r="K936" s="37" t="s">
        <v>166</v>
      </c>
      <c r="L936" s="47">
        <v>5992.07</v>
      </c>
      <c r="M936" s="47">
        <v>5652.9</v>
      </c>
      <c r="N936" s="47">
        <v>339.17</v>
      </c>
      <c r="O936" s="37" t="s">
        <v>2791</v>
      </c>
    </row>
    <row r="937" hidden="1" customHeight="1" spans="1:15">
      <c r="A937" s="37" t="s">
        <v>637</v>
      </c>
      <c r="B937" s="38">
        <v>45291</v>
      </c>
      <c r="C937" s="37" t="s">
        <v>2478</v>
      </c>
      <c r="D937" s="37" t="s">
        <v>1296</v>
      </c>
      <c r="E937" s="37" t="s">
        <v>640</v>
      </c>
      <c r="F937" s="37" t="s">
        <v>641</v>
      </c>
      <c r="G937" s="37" t="s">
        <v>1899</v>
      </c>
      <c r="H937" s="37" t="s">
        <v>650</v>
      </c>
      <c r="I937" s="37" t="s">
        <v>2037</v>
      </c>
      <c r="J937" s="37" t="s">
        <v>644</v>
      </c>
      <c r="K937" s="37" t="s">
        <v>20</v>
      </c>
      <c r="L937" s="47">
        <v>270062.07</v>
      </c>
      <c r="M937" s="47">
        <v>254775.54</v>
      </c>
      <c r="N937" s="47">
        <v>15286.53</v>
      </c>
      <c r="O937" s="37" t="s">
        <v>2792</v>
      </c>
    </row>
    <row r="938" hidden="1" customHeight="1" spans="1:15">
      <c r="A938" s="37" t="s">
        <v>637</v>
      </c>
      <c r="B938" s="38">
        <v>45291</v>
      </c>
      <c r="C938" s="37" t="s">
        <v>1751</v>
      </c>
      <c r="D938" s="37" t="s">
        <v>1296</v>
      </c>
      <c r="E938" s="37" t="s">
        <v>640</v>
      </c>
      <c r="F938" s="37" t="s">
        <v>641</v>
      </c>
      <c r="G938" s="37" t="s">
        <v>1899</v>
      </c>
      <c r="H938" s="37" t="s">
        <v>650</v>
      </c>
      <c r="I938" s="37" t="s">
        <v>794</v>
      </c>
      <c r="J938" s="37" t="s">
        <v>656</v>
      </c>
      <c r="K938" s="37" t="s">
        <v>14</v>
      </c>
      <c r="L938" s="47">
        <v>17523.47</v>
      </c>
      <c r="M938" s="47">
        <v>16531.58</v>
      </c>
      <c r="N938" s="47">
        <v>991.89</v>
      </c>
      <c r="O938" s="37" t="s">
        <v>2793</v>
      </c>
    </row>
    <row r="939" hidden="1" customHeight="1" spans="1:15">
      <c r="A939" s="37" t="s">
        <v>637</v>
      </c>
      <c r="B939" s="38">
        <v>45291</v>
      </c>
      <c r="C939" s="37" t="s">
        <v>2433</v>
      </c>
      <c r="D939" s="37" t="s">
        <v>1296</v>
      </c>
      <c r="E939" s="37" t="s">
        <v>640</v>
      </c>
      <c r="F939" s="37" t="s">
        <v>641</v>
      </c>
      <c r="G939" s="37" t="s">
        <v>1899</v>
      </c>
      <c r="H939" s="37" t="s">
        <v>643</v>
      </c>
      <c r="I939" s="37" t="s">
        <v>444</v>
      </c>
      <c r="J939" s="37" t="s">
        <v>644</v>
      </c>
      <c r="K939" s="37" t="s">
        <v>14</v>
      </c>
      <c r="L939" s="47">
        <v>91581.44</v>
      </c>
      <c r="M939" s="47">
        <v>86397.58</v>
      </c>
      <c r="N939" s="47">
        <v>5183.86</v>
      </c>
      <c r="O939" s="37" t="s">
        <v>2794</v>
      </c>
    </row>
    <row r="940" hidden="1" customHeight="1" spans="1:15">
      <c r="A940" s="37" t="s">
        <v>637</v>
      </c>
      <c r="B940" s="38">
        <v>45291</v>
      </c>
      <c r="C940" s="37" t="s">
        <v>1273</v>
      </c>
      <c r="D940" s="37" t="s">
        <v>653</v>
      </c>
      <c r="E940" s="37" t="s">
        <v>640</v>
      </c>
      <c r="F940" s="37" t="s">
        <v>641</v>
      </c>
      <c r="G940" s="37" t="s">
        <v>1899</v>
      </c>
      <c r="H940" s="37" t="s">
        <v>650</v>
      </c>
      <c r="I940" s="37" t="s">
        <v>1946</v>
      </c>
      <c r="J940" s="37" t="s">
        <v>644</v>
      </c>
      <c r="K940" s="37" t="s">
        <v>166</v>
      </c>
      <c r="L940" s="47">
        <v>8391.56</v>
      </c>
      <c r="M940" s="47">
        <v>7916.57</v>
      </c>
      <c r="N940" s="47">
        <v>474.99</v>
      </c>
      <c r="O940" s="37" t="s">
        <v>2795</v>
      </c>
    </row>
    <row r="941" hidden="1" customHeight="1" spans="1:15">
      <c r="A941" s="37" t="s">
        <v>637</v>
      </c>
      <c r="B941" s="38">
        <v>45291</v>
      </c>
      <c r="C941" s="37" t="s">
        <v>1273</v>
      </c>
      <c r="D941" s="37" t="s">
        <v>2483</v>
      </c>
      <c r="E941" s="37" t="s">
        <v>640</v>
      </c>
      <c r="F941" s="37" t="s">
        <v>641</v>
      </c>
      <c r="G941" s="37" t="s">
        <v>1899</v>
      </c>
      <c r="H941" s="37" t="s">
        <v>650</v>
      </c>
      <c r="I941" s="37" t="s">
        <v>1946</v>
      </c>
      <c r="J941" s="37" t="s">
        <v>656</v>
      </c>
      <c r="K941" s="37" t="s">
        <v>166</v>
      </c>
      <c r="L941" s="47">
        <v>84232</v>
      </c>
      <c r="M941" s="47">
        <v>79464.15</v>
      </c>
      <c r="N941" s="47">
        <v>4767.85</v>
      </c>
      <c r="O941" s="37" t="s">
        <v>2796</v>
      </c>
    </row>
    <row r="942" hidden="1" customHeight="1" spans="1:15">
      <c r="A942" s="37" t="s">
        <v>637</v>
      </c>
      <c r="B942" s="38">
        <v>45291</v>
      </c>
      <c r="C942" s="37" t="s">
        <v>1273</v>
      </c>
      <c r="D942" s="37" t="s">
        <v>2483</v>
      </c>
      <c r="E942" s="37" t="s">
        <v>640</v>
      </c>
      <c r="F942" s="37" t="s">
        <v>641</v>
      </c>
      <c r="G942" s="37" t="s">
        <v>1901</v>
      </c>
      <c r="H942" s="37" t="s">
        <v>650</v>
      </c>
      <c r="I942" s="37" t="s">
        <v>748</v>
      </c>
      <c r="J942" s="37" t="s">
        <v>656</v>
      </c>
      <c r="K942" s="37" t="s">
        <v>166</v>
      </c>
      <c r="L942" s="47">
        <v>316771.8</v>
      </c>
      <c r="M942" s="47">
        <v>298841.32</v>
      </c>
      <c r="N942" s="47">
        <v>17930.48</v>
      </c>
      <c r="O942" s="37" t="s">
        <v>2797</v>
      </c>
    </row>
    <row r="943" hidden="1" customHeight="1" spans="1:15">
      <c r="A943" s="37" t="s">
        <v>637</v>
      </c>
      <c r="B943" s="38">
        <v>45291</v>
      </c>
      <c r="C943" s="37" t="s">
        <v>1273</v>
      </c>
      <c r="D943" s="37" t="s">
        <v>2483</v>
      </c>
      <c r="E943" s="37" t="s">
        <v>640</v>
      </c>
      <c r="F943" s="37" t="s">
        <v>641</v>
      </c>
      <c r="G943" s="37" t="s">
        <v>1899</v>
      </c>
      <c r="H943" s="37" t="s">
        <v>650</v>
      </c>
      <c r="I943" s="37" t="s">
        <v>1944</v>
      </c>
      <c r="J943" s="37" t="s">
        <v>656</v>
      </c>
      <c r="K943" s="37" t="s">
        <v>166</v>
      </c>
      <c r="L943" s="47">
        <v>37805.24</v>
      </c>
      <c r="M943" s="47">
        <v>35665.32</v>
      </c>
      <c r="N943" s="47">
        <v>2139.92</v>
      </c>
      <c r="O943" s="37" t="s">
        <v>2798</v>
      </c>
    </row>
    <row r="944" hidden="1" customHeight="1" spans="1:15">
      <c r="A944" s="37" t="s">
        <v>637</v>
      </c>
      <c r="B944" s="38">
        <v>45291</v>
      </c>
      <c r="C944" s="37" t="s">
        <v>1273</v>
      </c>
      <c r="D944" s="37" t="s">
        <v>2483</v>
      </c>
      <c r="E944" s="37" t="s">
        <v>640</v>
      </c>
      <c r="F944" s="37" t="s">
        <v>641</v>
      </c>
      <c r="G944" s="37" t="s">
        <v>1901</v>
      </c>
      <c r="H944" s="37" t="s">
        <v>650</v>
      </c>
      <c r="I944" s="37" t="s">
        <v>1946</v>
      </c>
      <c r="J944" s="37" t="s">
        <v>656</v>
      </c>
      <c r="K944" s="37" t="s">
        <v>166</v>
      </c>
      <c r="L944" s="47">
        <v>29430.89</v>
      </c>
      <c r="M944" s="47">
        <v>27764.99</v>
      </c>
      <c r="N944" s="47">
        <v>1665.9</v>
      </c>
      <c r="O944" s="37" t="s">
        <v>2799</v>
      </c>
    </row>
    <row r="945" hidden="1" customHeight="1" spans="1:15">
      <c r="A945" s="37" t="s">
        <v>637</v>
      </c>
      <c r="B945" s="38">
        <v>45291</v>
      </c>
      <c r="C945" s="37" t="s">
        <v>1273</v>
      </c>
      <c r="D945" s="37" t="s">
        <v>2483</v>
      </c>
      <c r="E945" s="37" t="s">
        <v>640</v>
      </c>
      <c r="F945" s="37" t="s">
        <v>641</v>
      </c>
      <c r="G945" s="37" t="s">
        <v>1899</v>
      </c>
      <c r="H945" s="37" t="s">
        <v>650</v>
      </c>
      <c r="I945" s="37" t="s">
        <v>737</v>
      </c>
      <c r="J945" s="37" t="s">
        <v>656</v>
      </c>
      <c r="K945" s="37" t="s">
        <v>166</v>
      </c>
      <c r="L945" s="47">
        <v>881378.67</v>
      </c>
      <c r="M945" s="47">
        <v>831489.31</v>
      </c>
      <c r="N945" s="47">
        <v>49889.36</v>
      </c>
      <c r="O945" s="37" t="s">
        <v>2800</v>
      </c>
    </row>
    <row r="946" hidden="1" customHeight="1" spans="1:15">
      <c r="A946" s="37" t="s">
        <v>637</v>
      </c>
      <c r="B946" s="38">
        <v>45291</v>
      </c>
      <c r="C946" s="37" t="s">
        <v>646</v>
      </c>
      <c r="D946" s="37" t="s">
        <v>1296</v>
      </c>
      <c r="E946" s="37" t="s">
        <v>640</v>
      </c>
      <c r="F946" s="37" t="s">
        <v>641</v>
      </c>
      <c r="G946" s="37" t="s">
        <v>1899</v>
      </c>
      <c r="H946" s="37" t="s">
        <v>643</v>
      </c>
      <c r="I946" s="37" t="s">
        <v>1993</v>
      </c>
      <c r="J946" s="37" t="s">
        <v>644</v>
      </c>
      <c r="K946" s="37" t="s">
        <v>14</v>
      </c>
      <c r="L946" s="47">
        <v>93406.29</v>
      </c>
      <c r="M946" s="47">
        <v>88119.14</v>
      </c>
      <c r="N946" s="47">
        <v>5287.15</v>
      </c>
      <c r="O946" s="37" t="s">
        <v>2801</v>
      </c>
    </row>
    <row r="947" hidden="1" customHeight="1" spans="1:15">
      <c r="A947" s="37" t="s">
        <v>637</v>
      </c>
      <c r="B947" s="38">
        <v>45291</v>
      </c>
      <c r="C947" s="37" t="s">
        <v>646</v>
      </c>
      <c r="D947" s="37" t="s">
        <v>653</v>
      </c>
      <c r="E947" s="37" t="s">
        <v>640</v>
      </c>
      <c r="F947" s="37" t="s">
        <v>641</v>
      </c>
      <c r="G947" s="37" t="s">
        <v>1899</v>
      </c>
      <c r="H947" s="37" t="s">
        <v>643</v>
      </c>
      <c r="I947" s="37" t="s">
        <v>1955</v>
      </c>
      <c r="J947" s="37" t="s">
        <v>644</v>
      </c>
      <c r="K947" s="37" t="s">
        <v>166</v>
      </c>
      <c r="L947" s="47">
        <v>25323.1</v>
      </c>
      <c r="M947" s="47">
        <v>23889.72</v>
      </c>
      <c r="N947" s="47">
        <v>1433.38</v>
      </c>
      <c r="O947" s="37" t="s">
        <v>2802</v>
      </c>
    </row>
    <row r="948" hidden="1" customHeight="1" spans="1:15">
      <c r="A948" s="37" t="s">
        <v>637</v>
      </c>
      <c r="B948" s="38">
        <v>45291</v>
      </c>
      <c r="C948" s="37" t="s">
        <v>646</v>
      </c>
      <c r="D948" s="37" t="s">
        <v>1296</v>
      </c>
      <c r="E948" s="37" t="s">
        <v>640</v>
      </c>
      <c r="F948" s="37" t="s">
        <v>641</v>
      </c>
      <c r="G948" s="37" t="s">
        <v>1899</v>
      </c>
      <c r="H948" s="37" t="s">
        <v>650</v>
      </c>
      <c r="I948" s="37" t="s">
        <v>461</v>
      </c>
      <c r="J948" s="37" t="s">
        <v>644</v>
      </c>
      <c r="K948" s="37" t="s">
        <v>14</v>
      </c>
      <c r="L948" s="47">
        <v>3334.7</v>
      </c>
      <c r="M948" s="47">
        <v>3145.94</v>
      </c>
      <c r="N948" s="47">
        <v>188.76</v>
      </c>
      <c r="O948" s="37" t="s">
        <v>2803</v>
      </c>
    </row>
    <row r="949" hidden="1" customHeight="1" spans="1:15">
      <c r="A949" s="37" t="s">
        <v>637</v>
      </c>
      <c r="B949" s="38">
        <v>45291</v>
      </c>
      <c r="C949" s="37" t="s">
        <v>646</v>
      </c>
      <c r="D949" s="37" t="s">
        <v>1296</v>
      </c>
      <c r="E949" s="37" t="s">
        <v>640</v>
      </c>
      <c r="F949" s="37" t="s">
        <v>641</v>
      </c>
      <c r="G949" s="37" t="s">
        <v>1899</v>
      </c>
      <c r="H949" s="37" t="s">
        <v>650</v>
      </c>
      <c r="I949" s="37" t="s">
        <v>779</v>
      </c>
      <c r="J949" s="37" t="s">
        <v>644</v>
      </c>
      <c r="K949" s="37" t="s">
        <v>14</v>
      </c>
      <c r="L949" s="47">
        <v>13627.15</v>
      </c>
      <c r="M949" s="47">
        <v>12855.8</v>
      </c>
      <c r="N949" s="47">
        <v>771.35</v>
      </c>
      <c r="O949" s="37" t="s">
        <v>2804</v>
      </c>
    </row>
    <row r="950" hidden="1" customHeight="1" spans="1:15">
      <c r="A950" s="37" t="s">
        <v>637</v>
      </c>
      <c r="B950" s="38">
        <v>45291</v>
      </c>
      <c r="C950" s="37" t="s">
        <v>646</v>
      </c>
      <c r="D950" s="37" t="s">
        <v>1296</v>
      </c>
      <c r="E950" s="37" t="s">
        <v>640</v>
      </c>
      <c r="F950" s="37" t="s">
        <v>641</v>
      </c>
      <c r="G950" s="37" t="s">
        <v>1899</v>
      </c>
      <c r="H950" s="37" t="s">
        <v>643</v>
      </c>
      <c r="I950" s="37" t="s">
        <v>1982</v>
      </c>
      <c r="J950" s="37" t="s">
        <v>644</v>
      </c>
      <c r="K950" s="37" t="s">
        <v>14</v>
      </c>
      <c r="L950" s="47">
        <v>463717.07</v>
      </c>
      <c r="M950" s="47">
        <v>437468.93</v>
      </c>
      <c r="N950" s="47">
        <v>26248.14</v>
      </c>
      <c r="O950" s="37" t="s">
        <v>2805</v>
      </c>
    </row>
    <row r="951" hidden="1" customHeight="1" spans="1:15">
      <c r="A951" s="37" t="s">
        <v>637</v>
      </c>
      <c r="B951" s="38">
        <v>45291</v>
      </c>
      <c r="C951" s="37" t="s">
        <v>646</v>
      </c>
      <c r="D951" s="37" t="s">
        <v>1296</v>
      </c>
      <c r="E951" s="37" t="s">
        <v>640</v>
      </c>
      <c r="F951" s="37" t="s">
        <v>641</v>
      </c>
      <c r="G951" s="37" t="s">
        <v>1899</v>
      </c>
      <c r="H951" s="37" t="s">
        <v>643</v>
      </c>
      <c r="I951" s="37" t="s">
        <v>2010</v>
      </c>
      <c r="J951" s="37" t="s">
        <v>644</v>
      </c>
      <c r="K951" s="37" t="s">
        <v>14</v>
      </c>
      <c r="L951" s="47">
        <v>12474.78</v>
      </c>
      <c r="M951" s="47">
        <v>11768.66</v>
      </c>
      <c r="N951" s="47">
        <v>706.12</v>
      </c>
      <c r="O951" s="37" t="s">
        <v>2806</v>
      </c>
    </row>
    <row r="952" hidden="1" customHeight="1" spans="1:15">
      <c r="A952" s="37" t="s">
        <v>637</v>
      </c>
      <c r="B952" s="38">
        <v>45291</v>
      </c>
      <c r="C952" s="37" t="s">
        <v>646</v>
      </c>
      <c r="D952" s="37" t="s">
        <v>1296</v>
      </c>
      <c r="E952" s="37" t="s">
        <v>640</v>
      </c>
      <c r="F952" s="37" t="s">
        <v>641</v>
      </c>
      <c r="G952" s="37" t="s">
        <v>1899</v>
      </c>
      <c r="H952" s="37" t="s">
        <v>643</v>
      </c>
      <c r="I952" s="37" t="s">
        <v>1995</v>
      </c>
      <c r="J952" s="37" t="s">
        <v>644</v>
      </c>
      <c r="K952" s="37" t="s">
        <v>14</v>
      </c>
      <c r="L952" s="47">
        <v>333533.28</v>
      </c>
      <c r="M952" s="47">
        <v>314654.04</v>
      </c>
      <c r="N952" s="47">
        <v>18879.24</v>
      </c>
      <c r="O952" s="37" t="s">
        <v>2807</v>
      </c>
    </row>
    <row r="953" hidden="1" customHeight="1" spans="1:15">
      <c r="A953" s="37" t="s">
        <v>637</v>
      </c>
      <c r="B953" s="38">
        <v>45291</v>
      </c>
      <c r="C953" s="37" t="s">
        <v>646</v>
      </c>
      <c r="D953" s="37" t="s">
        <v>1296</v>
      </c>
      <c r="E953" s="37" t="s">
        <v>640</v>
      </c>
      <c r="F953" s="37" t="s">
        <v>641</v>
      </c>
      <c r="G953" s="37" t="s">
        <v>1899</v>
      </c>
      <c r="H953" s="37" t="s">
        <v>643</v>
      </c>
      <c r="I953" s="37" t="s">
        <v>1925</v>
      </c>
      <c r="J953" s="37" t="s">
        <v>644</v>
      </c>
      <c r="K953" s="37" t="s">
        <v>14</v>
      </c>
      <c r="L953" s="47">
        <v>57720</v>
      </c>
      <c r="M953" s="47">
        <v>54452.83</v>
      </c>
      <c r="N953" s="47">
        <v>3267.17</v>
      </c>
      <c r="O953" s="37" t="s">
        <v>2808</v>
      </c>
    </row>
    <row r="954" hidden="1" customHeight="1" spans="1:15">
      <c r="A954" s="37" t="s">
        <v>637</v>
      </c>
      <c r="B954" s="38">
        <v>45291</v>
      </c>
      <c r="C954" s="37" t="s">
        <v>646</v>
      </c>
      <c r="D954" s="37" t="s">
        <v>726</v>
      </c>
      <c r="E954" s="37" t="s">
        <v>640</v>
      </c>
      <c r="F954" s="37" t="s">
        <v>641</v>
      </c>
      <c r="G954" s="37" t="s">
        <v>1899</v>
      </c>
      <c r="H954" s="37" t="s">
        <v>650</v>
      </c>
      <c r="I954" s="37" t="s">
        <v>794</v>
      </c>
      <c r="J954" s="37" t="s">
        <v>656</v>
      </c>
      <c r="K954" s="37" t="s">
        <v>14</v>
      </c>
      <c r="L954" s="47">
        <v>27970.61</v>
      </c>
      <c r="M954" s="47">
        <v>26387.37</v>
      </c>
      <c r="N954" s="47">
        <v>1583.24</v>
      </c>
      <c r="O954" s="37" t="s">
        <v>2809</v>
      </c>
    </row>
    <row r="955" hidden="1" customHeight="1" spans="1:15">
      <c r="A955" s="37" t="s">
        <v>637</v>
      </c>
      <c r="B955" s="38">
        <v>45291</v>
      </c>
      <c r="C955" s="37" t="s">
        <v>646</v>
      </c>
      <c r="D955" s="37" t="s">
        <v>726</v>
      </c>
      <c r="E955" s="37" t="s">
        <v>1898</v>
      </c>
      <c r="F955" s="37" t="s">
        <v>641</v>
      </c>
      <c r="G955" s="37" t="s">
        <v>1899</v>
      </c>
      <c r="H955" s="37" t="s">
        <v>643</v>
      </c>
      <c r="I955" s="37" t="s">
        <v>466</v>
      </c>
      <c r="J955" s="37" t="s">
        <v>656</v>
      </c>
      <c r="K955" s="37" t="s">
        <v>14</v>
      </c>
      <c r="L955" s="47">
        <v>467153.22</v>
      </c>
      <c r="M955" s="47">
        <v>440710.58</v>
      </c>
      <c r="N955" s="47">
        <v>26442.64</v>
      </c>
      <c r="O955" s="37" t="s">
        <v>2810</v>
      </c>
    </row>
    <row r="956" hidden="1" customHeight="1" spans="1:15">
      <c r="A956" s="37" t="s">
        <v>637</v>
      </c>
      <c r="B956" s="38">
        <v>45291</v>
      </c>
      <c r="C956" s="37" t="s">
        <v>646</v>
      </c>
      <c r="D956" s="37" t="s">
        <v>1902</v>
      </c>
      <c r="E956" s="37" t="s">
        <v>1898</v>
      </c>
      <c r="F956" s="37" t="s">
        <v>641</v>
      </c>
      <c r="G956" s="37" t="s">
        <v>1899</v>
      </c>
      <c r="H956" s="37" t="s">
        <v>643</v>
      </c>
      <c r="I956" s="37" t="s">
        <v>466</v>
      </c>
      <c r="J956" s="37" t="s">
        <v>656</v>
      </c>
      <c r="K956" s="37" t="s">
        <v>14</v>
      </c>
      <c r="L956" s="47">
        <v>57426.08</v>
      </c>
      <c r="M956" s="47">
        <v>54175.55</v>
      </c>
      <c r="N956" s="47">
        <v>3250.53</v>
      </c>
      <c r="O956" s="37" t="s">
        <v>2811</v>
      </c>
    </row>
    <row r="957" hidden="1" customHeight="1" spans="1:15">
      <c r="A957" s="37" t="s">
        <v>637</v>
      </c>
      <c r="B957" s="38">
        <v>45291</v>
      </c>
      <c r="C957" s="37" t="s">
        <v>646</v>
      </c>
      <c r="D957" s="37" t="s">
        <v>726</v>
      </c>
      <c r="E957" s="37" t="s">
        <v>1898</v>
      </c>
      <c r="F957" s="37" t="s">
        <v>641</v>
      </c>
      <c r="G957" s="37" t="s">
        <v>1899</v>
      </c>
      <c r="H957" s="37" t="s">
        <v>697</v>
      </c>
      <c r="I957" s="37" t="s">
        <v>1908</v>
      </c>
      <c r="J957" s="37" t="s">
        <v>656</v>
      </c>
      <c r="K957" s="37" t="s">
        <v>350</v>
      </c>
      <c r="L957" s="47">
        <v>4910.69</v>
      </c>
      <c r="M957" s="47">
        <v>4632.73</v>
      </c>
      <c r="N957" s="47">
        <v>277.96</v>
      </c>
      <c r="O957" s="37" t="s">
        <v>2812</v>
      </c>
    </row>
    <row r="958" hidden="1" customHeight="1" spans="1:15">
      <c r="A958" s="37" t="s">
        <v>637</v>
      </c>
      <c r="B958" s="38">
        <v>45291</v>
      </c>
      <c r="C958" s="37" t="s">
        <v>646</v>
      </c>
      <c r="D958" s="37" t="s">
        <v>2483</v>
      </c>
      <c r="E958" s="37" t="s">
        <v>640</v>
      </c>
      <c r="F958" s="37" t="s">
        <v>641</v>
      </c>
      <c r="G958" s="37" t="s">
        <v>1899</v>
      </c>
      <c r="H958" s="37" t="s">
        <v>650</v>
      </c>
      <c r="I958" s="37" t="s">
        <v>1953</v>
      </c>
      <c r="J958" s="37" t="s">
        <v>656</v>
      </c>
      <c r="K958" s="37" t="s">
        <v>166</v>
      </c>
      <c r="L958" s="47">
        <v>169022.45</v>
      </c>
      <c r="M958" s="47">
        <v>159455.14</v>
      </c>
      <c r="N958" s="47">
        <v>9567.31</v>
      </c>
      <c r="O958" s="37" t="s">
        <v>2813</v>
      </c>
    </row>
    <row r="959" hidden="1" customHeight="1" spans="1:15">
      <c r="A959" s="37" t="s">
        <v>637</v>
      </c>
      <c r="B959" s="38">
        <v>45291</v>
      </c>
      <c r="C959" s="37" t="s">
        <v>646</v>
      </c>
      <c r="D959" s="37" t="s">
        <v>726</v>
      </c>
      <c r="E959" s="37" t="s">
        <v>1898</v>
      </c>
      <c r="F959" s="37" t="s">
        <v>641</v>
      </c>
      <c r="G959" s="37" t="s">
        <v>1899</v>
      </c>
      <c r="H959" s="37" t="s">
        <v>643</v>
      </c>
      <c r="I959" s="37" t="s">
        <v>1906</v>
      </c>
      <c r="J959" s="37" t="s">
        <v>644</v>
      </c>
      <c r="K959" s="37" t="s">
        <v>14</v>
      </c>
      <c r="L959" s="47">
        <v>199262.86</v>
      </c>
      <c r="M959" s="47">
        <v>187983.83</v>
      </c>
      <c r="N959" s="47">
        <v>11279.03</v>
      </c>
      <c r="O959" s="37" t="s">
        <v>2814</v>
      </c>
    </row>
    <row r="960" hidden="1" customHeight="1" spans="1:15">
      <c r="A960" s="37" t="s">
        <v>637</v>
      </c>
      <c r="B960" s="38">
        <v>45291</v>
      </c>
      <c r="C960" s="37" t="s">
        <v>646</v>
      </c>
      <c r="D960" s="37" t="s">
        <v>2483</v>
      </c>
      <c r="E960" s="37" t="s">
        <v>640</v>
      </c>
      <c r="F960" s="37" t="s">
        <v>641</v>
      </c>
      <c r="G960" s="37" t="s">
        <v>1899</v>
      </c>
      <c r="H960" s="37" t="s">
        <v>650</v>
      </c>
      <c r="I960" s="37" t="s">
        <v>1955</v>
      </c>
      <c r="J960" s="37" t="s">
        <v>656</v>
      </c>
      <c r="K960" s="37" t="s">
        <v>166</v>
      </c>
      <c r="L960" s="47">
        <v>708.36</v>
      </c>
      <c r="M960" s="47">
        <v>668.26</v>
      </c>
      <c r="N960" s="47">
        <v>40.1</v>
      </c>
      <c r="O960" s="37" t="s">
        <v>2815</v>
      </c>
    </row>
    <row r="961" hidden="1" customHeight="1" spans="1:15">
      <c r="A961" s="37" t="s">
        <v>637</v>
      </c>
      <c r="B961" s="38">
        <v>45291</v>
      </c>
      <c r="C961" s="37" t="s">
        <v>646</v>
      </c>
      <c r="D961" s="37" t="s">
        <v>1902</v>
      </c>
      <c r="E961" s="37" t="s">
        <v>1898</v>
      </c>
      <c r="F961" s="37" t="s">
        <v>641</v>
      </c>
      <c r="G961" s="37" t="s">
        <v>1899</v>
      </c>
      <c r="H961" s="37" t="s">
        <v>643</v>
      </c>
      <c r="I961" s="37" t="s">
        <v>436</v>
      </c>
      <c r="J961" s="37" t="s">
        <v>644</v>
      </c>
      <c r="K961" s="37" t="s">
        <v>350</v>
      </c>
      <c r="L961" s="47">
        <v>10289.8</v>
      </c>
      <c r="M961" s="47">
        <v>9707.36</v>
      </c>
      <c r="N961" s="47">
        <v>582.44</v>
      </c>
      <c r="O961" s="37" t="s">
        <v>2816</v>
      </c>
    </row>
    <row r="962" hidden="1" customHeight="1" spans="1:15">
      <c r="A962" s="37" t="s">
        <v>637</v>
      </c>
      <c r="B962" s="38">
        <v>45291</v>
      </c>
      <c r="C962" s="37" t="s">
        <v>646</v>
      </c>
      <c r="D962" s="37" t="s">
        <v>1902</v>
      </c>
      <c r="E962" s="37" t="s">
        <v>1898</v>
      </c>
      <c r="F962" s="37" t="s">
        <v>641</v>
      </c>
      <c r="G962" s="37" t="s">
        <v>1899</v>
      </c>
      <c r="H962" s="37" t="s">
        <v>643</v>
      </c>
      <c r="I962" s="37" t="s">
        <v>466</v>
      </c>
      <c r="J962" s="37" t="s">
        <v>656</v>
      </c>
      <c r="K962" s="37" t="s">
        <v>14</v>
      </c>
      <c r="L962" s="47">
        <v>115.36</v>
      </c>
      <c r="M962" s="47">
        <v>108.83</v>
      </c>
      <c r="N962" s="47">
        <v>6.53</v>
      </c>
      <c r="O962" s="37" t="s">
        <v>2817</v>
      </c>
    </row>
    <row r="963" hidden="1" customHeight="1" spans="1:15">
      <c r="A963" s="37" t="s">
        <v>637</v>
      </c>
      <c r="B963" s="38">
        <v>45291</v>
      </c>
      <c r="C963" s="37" t="s">
        <v>646</v>
      </c>
      <c r="D963" s="37" t="s">
        <v>726</v>
      </c>
      <c r="E963" s="37" t="s">
        <v>1898</v>
      </c>
      <c r="F963" s="37" t="s">
        <v>641</v>
      </c>
      <c r="G963" s="37" t="s">
        <v>1899</v>
      </c>
      <c r="H963" s="37" t="s">
        <v>650</v>
      </c>
      <c r="I963" s="37" t="s">
        <v>779</v>
      </c>
      <c r="J963" s="37" t="s">
        <v>644</v>
      </c>
      <c r="K963" s="37" t="s">
        <v>14</v>
      </c>
      <c r="L963" s="47">
        <v>117000</v>
      </c>
      <c r="M963" s="47">
        <v>110377.36</v>
      </c>
      <c r="N963" s="47">
        <v>6622.64</v>
      </c>
      <c r="O963" s="37" t="s">
        <v>2818</v>
      </c>
    </row>
    <row r="964" hidden="1" customHeight="1" spans="1:15">
      <c r="A964" s="37" t="s">
        <v>637</v>
      </c>
      <c r="B964" s="38">
        <v>45291</v>
      </c>
      <c r="C964" s="37" t="s">
        <v>646</v>
      </c>
      <c r="D964" s="37" t="s">
        <v>1284</v>
      </c>
      <c r="E964" s="37" t="s">
        <v>1898</v>
      </c>
      <c r="F964" s="37" t="s">
        <v>641</v>
      </c>
      <c r="G964" s="37" t="s">
        <v>1899</v>
      </c>
      <c r="H964" s="37" t="s">
        <v>643</v>
      </c>
      <c r="I964" s="37" t="s">
        <v>466</v>
      </c>
      <c r="J964" s="37" t="s">
        <v>656</v>
      </c>
      <c r="K964" s="37" t="s">
        <v>14</v>
      </c>
      <c r="L964" s="47">
        <v>27766.22</v>
      </c>
      <c r="M964" s="47">
        <v>26194.55</v>
      </c>
      <c r="N964" s="47">
        <v>1571.67</v>
      </c>
      <c r="O964" s="37" t="s">
        <v>2819</v>
      </c>
    </row>
    <row r="965" hidden="1" customHeight="1" spans="1:15">
      <c r="A965" s="37" t="s">
        <v>637</v>
      </c>
      <c r="B965" s="38">
        <v>45291</v>
      </c>
      <c r="C965" s="37" t="s">
        <v>700</v>
      </c>
      <c r="D965" s="37" t="s">
        <v>2134</v>
      </c>
      <c r="E965" s="37" t="s">
        <v>640</v>
      </c>
      <c r="F965" s="37" t="s">
        <v>641</v>
      </c>
      <c r="G965" s="37" t="s">
        <v>1899</v>
      </c>
      <c r="H965" s="37" t="s">
        <v>643</v>
      </c>
      <c r="I965" s="37" t="s">
        <v>442</v>
      </c>
      <c r="J965" s="37" t="s">
        <v>656</v>
      </c>
      <c r="K965" s="37" t="s">
        <v>14</v>
      </c>
      <c r="L965" s="47">
        <v>2823.22</v>
      </c>
      <c r="M965" s="47">
        <v>2663.42</v>
      </c>
      <c r="N965" s="47">
        <v>159.8</v>
      </c>
      <c r="O965" s="37" t="s">
        <v>2820</v>
      </c>
    </row>
    <row r="966" hidden="1" customHeight="1" spans="1:15">
      <c r="A966" s="37" t="s">
        <v>637</v>
      </c>
      <c r="B966" s="38">
        <v>45291</v>
      </c>
      <c r="C966" s="37" t="s">
        <v>646</v>
      </c>
      <c r="D966" s="37" t="s">
        <v>1902</v>
      </c>
      <c r="E966" s="37" t="s">
        <v>1898</v>
      </c>
      <c r="F966" s="37" t="s">
        <v>641</v>
      </c>
      <c r="G966" s="37" t="s">
        <v>1899</v>
      </c>
      <c r="H966" s="37" t="s">
        <v>643</v>
      </c>
      <c r="I966" s="37" t="s">
        <v>779</v>
      </c>
      <c r="J966" s="37" t="s">
        <v>644</v>
      </c>
      <c r="K966" s="37" t="s">
        <v>14</v>
      </c>
      <c r="L966" s="47">
        <v>20000</v>
      </c>
      <c r="M966" s="47">
        <v>18867.92</v>
      </c>
      <c r="N966" s="47">
        <v>1132.08</v>
      </c>
      <c r="O966" s="37" t="s">
        <v>2821</v>
      </c>
    </row>
    <row r="967" hidden="1" customHeight="1" spans="1:15">
      <c r="A967" s="37" t="s">
        <v>637</v>
      </c>
      <c r="B967" s="38">
        <v>45291</v>
      </c>
      <c r="C967" s="37" t="s">
        <v>646</v>
      </c>
      <c r="D967" s="37" t="s">
        <v>1284</v>
      </c>
      <c r="E967" s="37" t="s">
        <v>1898</v>
      </c>
      <c r="F967" s="37" t="s">
        <v>641</v>
      </c>
      <c r="G967" s="37" t="s">
        <v>1899</v>
      </c>
      <c r="H967" s="37" t="s">
        <v>650</v>
      </c>
      <c r="I967" s="37" t="s">
        <v>779</v>
      </c>
      <c r="J967" s="37" t="s">
        <v>644</v>
      </c>
      <c r="K967" s="37" t="s">
        <v>14</v>
      </c>
      <c r="L967" s="47">
        <v>20000</v>
      </c>
      <c r="M967" s="47">
        <v>18867.92</v>
      </c>
      <c r="N967" s="47">
        <v>1132.08</v>
      </c>
      <c r="O967" s="37" t="s">
        <v>2822</v>
      </c>
    </row>
    <row r="968" hidden="1" customHeight="1" spans="1:15">
      <c r="A968" s="37" t="s">
        <v>637</v>
      </c>
      <c r="B968" s="38">
        <v>45291</v>
      </c>
      <c r="C968" s="37" t="s">
        <v>700</v>
      </c>
      <c r="D968" s="37" t="s">
        <v>1902</v>
      </c>
      <c r="E968" s="37" t="s">
        <v>1898</v>
      </c>
      <c r="F968" s="37" t="s">
        <v>641</v>
      </c>
      <c r="G968" s="37" t="s">
        <v>1899</v>
      </c>
      <c r="H968" s="37" t="s">
        <v>643</v>
      </c>
      <c r="I968" s="37" t="s">
        <v>442</v>
      </c>
      <c r="J968" s="37" t="s">
        <v>656</v>
      </c>
      <c r="K968" s="37" t="s">
        <v>14</v>
      </c>
      <c r="L968" s="47">
        <v>55186.09</v>
      </c>
      <c r="M968" s="47">
        <v>52062.35</v>
      </c>
      <c r="N968" s="47">
        <v>3123.74</v>
      </c>
      <c r="O968" s="37" t="s">
        <v>2823</v>
      </c>
    </row>
    <row r="969" hidden="1" customHeight="1" spans="1:15">
      <c r="A969" s="37" t="s">
        <v>637</v>
      </c>
      <c r="B969" s="38">
        <v>45291</v>
      </c>
      <c r="C969" s="37" t="s">
        <v>700</v>
      </c>
      <c r="D969" s="37" t="s">
        <v>1902</v>
      </c>
      <c r="E969" s="37" t="s">
        <v>640</v>
      </c>
      <c r="F969" s="37" t="s">
        <v>641</v>
      </c>
      <c r="G969" s="37" t="s">
        <v>1901</v>
      </c>
      <c r="H969" s="37" t="s">
        <v>643</v>
      </c>
      <c r="I969" s="37" t="s">
        <v>442</v>
      </c>
      <c r="J969" s="37" t="s">
        <v>656</v>
      </c>
      <c r="K969" s="37" t="s">
        <v>14</v>
      </c>
      <c r="L969" s="47">
        <v>10298.55</v>
      </c>
      <c r="M969" s="47">
        <v>9715.61</v>
      </c>
      <c r="N969" s="47">
        <v>582.94</v>
      </c>
      <c r="O969" s="37" t="s">
        <v>2824</v>
      </c>
    </row>
    <row r="970" hidden="1" customHeight="1" spans="1:15">
      <c r="A970" s="37" t="s">
        <v>637</v>
      </c>
      <c r="B970" s="38">
        <v>45291</v>
      </c>
      <c r="C970" s="37" t="s">
        <v>811</v>
      </c>
      <c r="D970" s="37" t="s">
        <v>653</v>
      </c>
      <c r="E970" s="37" t="s">
        <v>640</v>
      </c>
      <c r="F970" s="37" t="s">
        <v>641</v>
      </c>
      <c r="G970" s="37" t="s">
        <v>1901</v>
      </c>
      <c r="H970" s="37" t="s">
        <v>650</v>
      </c>
      <c r="I970" s="37" t="s">
        <v>1921</v>
      </c>
      <c r="J970" s="37" t="s">
        <v>644</v>
      </c>
      <c r="K970" s="37" t="s">
        <v>166</v>
      </c>
      <c r="L970" s="47">
        <v>1753.04</v>
      </c>
      <c r="M970" s="47">
        <v>1653.81</v>
      </c>
      <c r="N970" s="47">
        <v>99.23</v>
      </c>
      <c r="O970" s="37" t="s">
        <v>2825</v>
      </c>
    </row>
    <row r="971" hidden="1" customHeight="1" spans="1:15">
      <c r="A971" s="37" t="s">
        <v>637</v>
      </c>
      <c r="B971" s="38">
        <v>45291</v>
      </c>
      <c r="C971" s="37" t="s">
        <v>811</v>
      </c>
      <c r="D971" s="37" t="s">
        <v>653</v>
      </c>
      <c r="E971" s="37" t="s">
        <v>640</v>
      </c>
      <c r="F971" s="37" t="s">
        <v>641</v>
      </c>
      <c r="G971" s="37" t="s">
        <v>1899</v>
      </c>
      <c r="H971" s="37" t="s">
        <v>650</v>
      </c>
      <c r="I971" s="37" t="s">
        <v>1921</v>
      </c>
      <c r="J971" s="37" t="s">
        <v>644</v>
      </c>
      <c r="K971" s="37" t="s">
        <v>166</v>
      </c>
      <c r="L971" s="47">
        <v>1353.84</v>
      </c>
      <c r="M971" s="47">
        <v>1277.21</v>
      </c>
      <c r="N971" s="47">
        <v>76.63</v>
      </c>
      <c r="O971" s="37" t="s">
        <v>2826</v>
      </c>
    </row>
    <row r="972" hidden="1" customHeight="1" spans="1:15">
      <c r="A972" s="37" t="s">
        <v>637</v>
      </c>
      <c r="B972" s="38">
        <v>45291</v>
      </c>
      <c r="C972" s="37" t="s">
        <v>2102</v>
      </c>
      <c r="D972" s="37" t="s">
        <v>1296</v>
      </c>
      <c r="E972" s="37" t="s">
        <v>640</v>
      </c>
      <c r="F972" s="37" t="s">
        <v>641</v>
      </c>
      <c r="G972" s="37" t="s">
        <v>1899</v>
      </c>
      <c r="H972" s="37" t="s">
        <v>650</v>
      </c>
      <c r="I972" s="37" t="s">
        <v>486</v>
      </c>
      <c r="J972" s="37" t="s">
        <v>656</v>
      </c>
      <c r="K972" s="37" t="s">
        <v>14</v>
      </c>
      <c r="L972" s="47">
        <v>879622.72</v>
      </c>
      <c r="M972" s="47">
        <v>829832.75</v>
      </c>
      <c r="N972" s="47">
        <v>49789.97</v>
      </c>
      <c r="O972" s="37" t="s">
        <v>2827</v>
      </c>
    </row>
    <row r="973" hidden="1" customHeight="1" spans="1:15">
      <c r="A973" s="37" t="s">
        <v>637</v>
      </c>
      <c r="B973" s="38">
        <v>45291</v>
      </c>
      <c r="C973" s="37" t="s">
        <v>730</v>
      </c>
      <c r="D973" s="37" t="s">
        <v>2483</v>
      </c>
      <c r="E973" s="37" t="s">
        <v>640</v>
      </c>
      <c r="F973" s="37" t="s">
        <v>641</v>
      </c>
      <c r="G973" s="37" t="s">
        <v>1899</v>
      </c>
      <c r="H973" s="37" t="s">
        <v>650</v>
      </c>
      <c r="I973" s="37" t="s">
        <v>1951</v>
      </c>
      <c r="J973" s="37" t="s">
        <v>656</v>
      </c>
      <c r="K973" s="37" t="s">
        <v>166</v>
      </c>
      <c r="L973" s="47">
        <v>21904.75</v>
      </c>
      <c r="M973" s="47">
        <v>20664.86</v>
      </c>
      <c r="N973" s="47">
        <v>1239.89</v>
      </c>
      <c r="O973" s="37" t="s">
        <v>2828</v>
      </c>
    </row>
    <row r="974" hidden="1" customHeight="1" spans="1:15">
      <c r="A974" s="37" t="s">
        <v>637</v>
      </c>
      <c r="B974" s="38">
        <v>45291</v>
      </c>
      <c r="C974" s="37" t="s">
        <v>811</v>
      </c>
      <c r="D974" s="37" t="s">
        <v>653</v>
      </c>
      <c r="E974" s="37" t="s">
        <v>640</v>
      </c>
      <c r="F974" s="37" t="s">
        <v>641</v>
      </c>
      <c r="G974" s="37" t="s">
        <v>1899</v>
      </c>
      <c r="H974" s="37" t="s">
        <v>643</v>
      </c>
      <c r="I974" s="37" t="s">
        <v>433</v>
      </c>
      <c r="J974" s="37" t="s">
        <v>656</v>
      </c>
      <c r="K974" s="37" t="s">
        <v>166</v>
      </c>
      <c r="L974" s="47">
        <v>27468.63</v>
      </c>
      <c r="M974" s="47">
        <v>25913.8</v>
      </c>
      <c r="N974" s="47">
        <v>1554.83</v>
      </c>
      <c r="O974" s="37" t="s">
        <v>2829</v>
      </c>
    </row>
    <row r="975" hidden="1" customHeight="1" spans="1:15">
      <c r="A975" s="37" t="s">
        <v>637</v>
      </c>
      <c r="B975" s="38">
        <v>45291</v>
      </c>
      <c r="C975" s="37" t="s">
        <v>811</v>
      </c>
      <c r="D975" s="37" t="s">
        <v>653</v>
      </c>
      <c r="E975" s="37" t="s">
        <v>1898</v>
      </c>
      <c r="F975" s="37" t="s">
        <v>641</v>
      </c>
      <c r="G975" s="37" t="s">
        <v>1899</v>
      </c>
      <c r="H975" s="37" t="s">
        <v>650</v>
      </c>
      <c r="I975" s="37" t="s">
        <v>435</v>
      </c>
      <c r="J975" s="37" t="s">
        <v>656</v>
      </c>
      <c r="K975" s="37" t="s">
        <v>166</v>
      </c>
      <c r="L975" s="47">
        <v>207677.42</v>
      </c>
      <c r="M975" s="47">
        <v>195922.09</v>
      </c>
      <c r="N975" s="47">
        <v>11755.33</v>
      </c>
      <c r="O975" s="37" t="s">
        <v>2830</v>
      </c>
    </row>
    <row r="976" hidden="1" customHeight="1" spans="1:15">
      <c r="A976" s="37" t="s">
        <v>637</v>
      </c>
      <c r="B976" s="38">
        <v>45291</v>
      </c>
      <c r="C976" s="37" t="s">
        <v>811</v>
      </c>
      <c r="D976" s="37" t="s">
        <v>653</v>
      </c>
      <c r="E976" s="37" t="s">
        <v>640</v>
      </c>
      <c r="F976" s="37" t="s">
        <v>641</v>
      </c>
      <c r="G976" s="37" t="s">
        <v>1899</v>
      </c>
      <c r="H976" s="37" t="s">
        <v>650</v>
      </c>
      <c r="I976" s="37" t="s">
        <v>435</v>
      </c>
      <c r="J976" s="37" t="s">
        <v>644</v>
      </c>
      <c r="K976" s="37" t="s">
        <v>166</v>
      </c>
      <c r="L976" s="47">
        <v>-16775.76</v>
      </c>
      <c r="M976" s="47">
        <v>-15826.19</v>
      </c>
      <c r="N976" s="47">
        <v>-949.57</v>
      </c>
      <c r="O976" s="37" t="s">
        <v>2831</v>
      </c>
    </row>
    <row r="977" hidden="1" customHeight="1" spans="1:15">
      <c r="A977" s="37" t="s">
        <v>637</v>
      </c>
      <c r="B977" s="38">
        <v>45291</v>
      </c>
      <c r="C977" s="37" t="s">
        <v>811</v>
      </c>
      <c r="D977" s="37" t="s">
        <v>653</v>
      </c>
      <c r="E977" s="37" t="s">
        <v>640</v>
      </c>
      <c r="F977" s="37" t="s">
        <v>641</v>
      </c>
      <c r="G977" s="37" t="s">
        <v>1899</v>
      </c>
      <c r="H977" s="37" t="s">
        <v>650</v>
      </c>
      <c r="I977" s="37" t="s">
        <v>433</v>
      </c>
      <c r="J977" s="37" t="s">
        <v>656</v>
      </c>
      <c r="K977" s="37" t="s">
        <v>166</v>
      </c>
      <c r="L977" s="47">
        <v>-12090</v>
      </c>
      <c r="M977" s="47">
        <v>-11405.66</v>
      </c>
      <c r="N977" s="47">
        <v>-684.34</v>
      </c>
      <c r="O977" s="37" t="s">
        <v>2832</v>
      </c>
    </row>
    <row r="978" hidden="1" customHeight="1" spans="1:15">
      <c r="A978" s="37" t="s">
        <v>637</v>
      </c>
      <c r="B978" s="38">
        <v>45291</v>
      </c>
      <c r="C978" s="37" t="s">
        <v>811</v>
      </c>
      <c r="D978" s="37" t="s">
        <v>653</v>
      </c>
      <c r="E978" s="37" t="s">
        <v>640</v>
      </c>
      <c r="F978" s="37" t="s">
        <v>641</v>
      </c>
      <c r="G978" s="37" t="s">
        <v>1901</v>
      </c>
      <c r="H978" s="37" t="s">
        <v>650</v>
      </c>
      <c r="I978" s="37" t="s">
        <v>435</v>
      </c>
      <c r="J978" s="37" t="s">
        <v>644</v>
      </c>
      <c r="K978" s="37" t="s">
        <v>166</v>
      </c>
      <c r="L978" s="47">
        <v>65354.48</v>
      </c>
      <c r="M978" s="47">
        <v>61655.17</v>
      </c>
      <c r="N978" s="47">
        <v>3699.31</v>
      </c>
      <c r="O978" s="37" t="s">
        <v>2833</v>
      </c>
    </row>
    <row r="979" hidden="1" customHeight="1" spans="1:15">
      <c r="A979" s="37" t="s">
        <v>637</v>
      </c>
      <c r="B979" s="38">
        <v>45291</v>
      </c>
      <c r="C979" s="37" t="s">
        <v>811</v>
      </c>
      <c r="D979" s="37" t="s">
        <v>653</v>
      </c>
      <c r="E979" s="37" t="s">
        <v>640</v>
      </c>
      <c r="F979" s="37" t="s">
        <v>641</v>
      </c>
      <c r="G979" s="37" t="s">
        <v>1901</v>
      </c>
      <c r="H979" s="37" t="s">
        <v>650</v>
      </c>
      <c r="I979" s="37" t="s">
        <v>433</v>
      </c>
      <c r="J979" s="37" t="s">
        <v>656</v>
      </c>
      <c r="K979" s="37" t="s">
        <v>166</v>
      </c>
      <c r="L979" s="47">
        <v>35436.12</v>
      </c>
      <c r="M979" s="47">
        <v>33430.3</v>
      </c>
      <c r="N979" s="47">
        <v>2005.82</v>
      </c>
      <c r="O979" s="37" t="s">
        <v>2834</v>
      </c>
    </row>
    <row r="980" hidden="1" customHeight="1" spans="1:15">
      <c r="A980" s="37" t="s">
        <v>637</v>
      </c>
      <c r="B980" s="38">
        <v>45291</v>
      </c>
      <c r="C980" s="37" t="s">
        <v>811</v>
      </c>
      <c r="D980" s="37" t="s">
        <v>653</v>
      </c>
      <c r="E980" s="37" t="s">
        <v>1898</v>
      </c>
      <c r="F980" s="37" t="s">
        <v>641</v>
      </c>
      <c r="G980" s="37" t="s">
        <v>1899</v>
      </c>
      <c r="H980" s="37" t="s">
        <v>650</v>
      </c>
      <c r="I980" s="37" t="s">
        <v>433</v>
      </c>
      <c r="J980" s="37" t="s">
        <v>656</v>
      </c>
      <c r="K980" s="37" t="s">
        <v>166</v>
      </c>
      <c r="L980" s="47">
        <v>244527.84</v>
      </c>
      <c r="M980" s="47">
        <v>230686.64</v>
      </c>
      <c r="N980" s="47">
        <v>13841.2</v>
      </c>
      <c r="O980" s="37" t="s">
        <v>2835</v>
      </c>
    </row>
    <row r="981" hidden="1" customHeight="1" spans="1:15">
      <c r="A981" s="37" t="s">
        <v>637</v>
      </c>
      <c r="B981" s="38">
        <v>45291</v>
      </c>
      <c r="C981" s="37" t="s">
        <v>811</v>
      </c>
      <c r="D981" s="37" t="s">
        <v>653</v>
      </c>
      <c r="E981" s="37" t="s">
        <v>640</v>
      </c>
      <c r="F981" s="37" t="s">
        <v>641</v>
      </c>
      <c r="G981" s="37" t="s">
        <v>1899</v>
      </c>
      <c r="H981" s="37" t="s">
        <v>650</v>
      </c>
      <c r="I981" s="37" t="s">
        <v>433</v>
      </c>
      <c r="J981" s="37" t="s">
        <v>656</v>
      </c>
      <c r="K981" s="37" t="s">
        <v>166</v>
      </c>
      <c r="L981" s="47">
        <v>70371</v>
      </c>
      <c r="M981" s="47">
        <v>66387.74</v>
      </c>
      <c r="N981" s="47">
        <v>3983.26</v>
      </c>
      <c r="O981" s="37" t="s">
        <v>2836</v>
      </c>
    </row>
    <row r="982" hidden="1" customHeight="1" spans="1:15">
      <c r="A982" s="37" t="s">
        <v>637</v>
      </c>
      <c r="B982" s="38">
        <v>45291</v>
      </c>
      <c r="C982" s="37" t="s">
        <v>811</v>
      </c>
      <c r="D982" s="37" t="s">
        <v>653</v>
      </c>
      <c r="E982" s="37" t="s">
        <v>640</v>
      </c>
      <c r="F982" s="37" t="s">
        <v>641</v>
      </c>
      <c r="G982" s="37" t="s">
        <v>1901</v>
      </c>
      <c r="H982" s="37" t="s">
        <v>643</v>
      </c>
      <c r="I982" s="37" t="s">
        <v>433</v>
      </c>
      <c r="J982" s="37" t="s">
        <v>656</v>
      </c>
      <c r="K982" s="37" t="s">
        <v>166</v>
      </c>
      <c r="L982" s="47">
        <v>47894.53</v>
      </c>
      <c r="M982" s="47">
        <v>45183.52</v>
      </c>
      <c r="N982" s="47">
        <v>2711.01</v>
      </c>
      <c r="O982" s="37" t="s">
        <v>2837</v>
      </c>
    </row>
    <row r="983" hidden="1" customHeight="1" spans="1:15">
      <c r="A983" s="37" t="s">
        <v>637</v>
      </c>
      <c r="B983" s="38">
        <v>45291</v>
      </c>
      <c r="C983" s="37" t="s">
        <v>811</v>
      </c>
      <c r="D983" s="37" t="s">
        <v>653</v>
      </c>
      <c r="E983" s="37" t="s">
        <v>640</v>
      </c>
      <c r="F983" s="37" t="s">
        <v>641</v>
      </c>
      <c r="G983" s="37" t="s">
        <v>1901</v>
      </c>
      <c r="H983" s="37" t="s">
        <v>650</v>
      </c>
      <c r="I983" s="37" t="s">
        <v>433</v>
      </c>
      <c r="J983" s="37" t="s">
        <v>656</v>
      </c>
      <c r="K983" s="37" t="s">
        <v>166</v>
      </c>
      <c r="L983" s="47">
        <v>3417.48</v>
      </c>
      <c r="M983" s="47">
        <v>3224.04</v>
      </c>
      <c r="N983" s="47">
        <v>193.44</v>
      </c>
      <c r="O983" s="37" t="s">
        <v>2838</v>
      </c>
    </row>
    <row r="984" hidden="1" customHeight="1" spans="1:15">
      <c r="A984" s="37" t="s">
        <v>637</v>
      </c>
      <c r="B984" s="38">
        <v>45291</v>
      </c>
      <c r="C984" s="37" t="s">
        <v>748</v>
      </c>
      <c r="D984" s="37" t="s">
        <v>653</v>
      </c>
      <c r="E984" s="37" t="s">
        <v>640</v>
      </c>
      <c r="F984" s="37" t="s">
        <v>641</v>
      </c>
      <c r="G984" s="37" t="s">
        <v>1901</v>
      </c>
      <c r="H984" s="37" t="s">
        <v>650</v>
      </c>
      <c r="I984" s="37" t="s">
        <v>1927</v>
      </c>
      <c r="J984" s="37" t="s">
        <v>644</v>
      </c>
      <c r="K984" s="37" t="s">
        <v>166</v>
      </c>
      <c r="L984" s="47">
        <v>11000</v>
      </c>
      <c r="M984" s="47">
        <v>10377.36</v>
      </c>
      <c r="N984" s="47">
        <v>622.64</v>
      </c>
      <c r="O984" s="37" t="s">
        <v>2839</v>
      </c>
    </row>
    <row r="985" hidden="1" customHeight="1" spans="1:15">
      <c r="A985" s="37" t="s">
        <v>637</v>
      </c>
      <c r="B985" s="38">
        <v>45291</v>
      </c>
      <c r="C985" s="37" t="s">
        <v>748</v>
      </c>
      <c r="D985" s="37" t="s">
        <v>1284</v>
      </c>
      <c r="E985" s="37" t="s">
        <v>640</v>
      </c>
      <c r="F985" s="37" t="s">
        <v>641</v>
      </c>
      <c r="G985" s="37" t="s">
        <v>1901</v>
      </c>
      <c r="H985" s="37" t="s">
        <v>643</v>
      </c>
      <c r="I985" s="37" t="s">
        <v>444</v>
      </c>
      <c r="J985" s="37" t="s">
        <v>656</v>
      </c>
      <c r="K985" s="37" t="s">
        <v>14</v>
      </c>
      <c r="L985" s="47">
        <v>1251.13</v>
      </c>
      <c r="M985" s="47">
        <v>1180.31</v>
      </c>
      <c r="N985" s="47">
        <v>70.82</v>
      </c>
      <c r="O985" s="37" t="s">
        <v>2840</v>
      </c>
    </row>
    <row r="986" hidden="1" customHeight="1" spans="1:15">
      <c r="A986" s="37" t="s">
        <v>637</v>
      </c>
      <c r="B986" s="38">
        <v>45291</v>
      </c>
      <c r="C986" s="37" t="s">
        <v>748</v>
      </c>
      <c r="D986" s="37" t="s">
        <v>726</v>
      </c>
      <c r="E986" s="37" t="s">
        <v>640</v>
      </c>
      <c r="F986" s="37" t="s">
        <v>641</v>
      </c>
      <c r="G986" s="37" t="s">
        <v>1901</v>
      </c>
      <c r="H986" s="37" t="s">
        <v>643</v>
      </c>
      <c r="I986" s="37" t="s">
        <v>444</v>
      </c>
      <c r="J986" s="37" t="s">
        <v>656</v>
      </c>
      <c r="K986" s="37" t="s">
        <v>14</v>
      </c>
      <c r="L986" s="47">
        <v>14119.73</v>
      </c>
      <c r="M986" s="47">
        <v>13320.5</v>
      </c>
      <c r="N986" s="47">
        <v>799.23</v>
      </c>
      <c r="O986" s="37" t="s">
        <v>2841</v>
      </c>
    </row>
    <row r="987" hidden="1" customHeight="1" spans="1:15">
      <c r="A987" s="37" t="s">
        <v>637</v>
      </c>
      <c r="B987" s="38">
        <v>45291</v>
      </c>
      <c r="C987" s="37" t="s">
        <v>748</v>
      </c>
      <c r="D987" s="37" t="s">
        <v>2483</v>
      </c>
      <c r="E987" s="37" t="s">
        <v>640</v>
      </c>
      <c r="F987" s="37" t="s">
        <v>641</v>
      </c>
      <c r="G987" s="37" t="s">
        <v>1901</v>
      </c>
      <c r="H987" s="37" t="s">
        <v>650</v>
      </c>
      <c r="I987" s="37" t="s">
        <v>463</v>
      </c>
      <c r="J987" s="37" t="s">
        <v>656</v>
      </c>
      <c r="K987" s="37" t="s">
        <v>166</v>
      </c>
      <c r="L987" s="47">
        <v>316771.8</v>
      </c>
      <c r="M987" s="47">
        <v>298841.32</v>
      </c>
      <c r="N987" s="47">
        <v>17930.48</v>
      </c>
      <c r="O987" s="37" t="s">
        <v>2842</v>
      </c>
    </row>
    <row r="988" hidden="1" customHeight="1" spans="1:15">
      <c r="A988" s="37" t="s">
        <v>637</v>
      </c>
      <c r="B988" s="38">
        <v>45291</v>
      </c>
      <c r="C988" s="37" t="s">
        <v>748</v>
      </c>
      <c r="D988" s="37" t="s">
        <v>1902</v>
      </c>
      <c r="E988" s="37" t="s">
        <v>640</v>
      </c>
      <c r="F988" s="37" t="s">
        <v>641</v>
      </c>
      <c r="G988" s="37" t="s">
        <v>1901</v>
      </c>
      <c r="H988" s="37" t="s">
        <v>643</v>
      </c>
      <c r="I988" s="37" t="s">
        <v>444</v>
      </c>
      <c r="J988" s="37" t="s">
        <v>656</v>
      </c>
      <c r="K988" s="37" t="s">
        <v>14</v>
      </c>
      <c r="L988" s="47">
        <v>-26283.8</v>
      </c>
      <c r="M988" s="47">
        <v>-24796.04</v>
      </c>
      <c r="N988" s="47">
        <v>-1487.76</v>
      </c>
      <c r="O988" s="37" t="s">
        <v>2843</v>
      </c>
    </row>
    <row r="989" hidden="1" customHeight="1" spans="1:15">
      <c r="A989" s="37" t="s">
        <v>637</v>
      </c>
      <c r="B989" s="38">
        <v>45291</v>
      </c>
      <c r="C989" s="37" t="s">
        <v>748</v>
      </c>
      <c r="D989" s="37" t="s">
        <v>2483</v>
      </c>
      <c r="E989" s="37" t="s">
        <v>640</v>
      </c>
      <c r="F989" s="37" t="s">
        <v>641</v>
      </c>
      <c r="G989" s="37" t="s">
        <v>1899</v>
      </c>
      <c r="H989" s="37" t="s">
        <v>650</v>
      </c>
      <c r="I989" s="37" t="s">
        <v>1273</v>
      </c>
      <c r="J989" s="37" t="s">
        <v>656</v>
      </c>
      <c r="K989" s="37" t="s">
        <v>166</v>
      </c>
      <c r="L989" s="47">
        <v>316771.8</v>
      </c>
      <c r="M989" s="47">
        <v>298841.32</v>
      </c>
      <c r="N989" s="47">
        <v>17930.48</v>
      </c>
      <c r="O989" s="37" t="s">
        <v>2844</v>
      </c>
    </row>
    <row r="990" hidden="1" customHeight="1" spans="1:15">
      <c r="A990" s="37" t="s">
        <v>637</v>
      </c>
      <c r="B990" s="38">
        <v>45291</v>
      </c>
      <c r="C990" s="37" t="s">
        <v>748</v>
      </c>
      <c r="D990" s="37" t="s">
        <v>726</v>
      </c>
      <c r="E990" s="37" t="s">
        <v>640</v>
      </c>
      <c r="F990" s="37" t="s">
        <v>641</v>
      </c>
      <c r="G990" s="37" t="s">
        <v>1899</v>
      </c>
      <c r="H990" s="37" t="s">
        <v>643</v>
      </c>
      <c r="I990" s="37" t="s">
        <v>779</v>
      </c>
      <c r="J990" s="37" t="s">
        <v>656</v>
      </c>
      <c r="K990" s="37" t="s">
        <v>14</v>
      </c>
      <c r="L990" s="47">
        <v>62469.24</v>
      </c>
      <c r="M990" s="47">
        <v>58933.25</v>
      </c>
      <c r="N990" s="47">
        <v>3535.99</v>
      </c>
      <c r="O990" s="37" t="s">
        <v>2845</v>
      </c>
    </row>
    <row r="991" hidden="1" customHeight="1" spans="1:15">
      <c r="A991" s="37" t="s">
        <v>637</v>
      </c>
      <c r="B991" s="38">
        <v>45291</v>
      </c>
      <c r="C991" s="37" t="s">
        <v>748</v>
      </c>
      <c r="D991" s="37" t="s">
        <v>1902</v>
      </c>
      <c r="E991" s="37" t="s">
        <v>1898</v>
      </c>
      <c r="F991" s="37" t="s">
        <v>641</v>
      </c>
      <c r="G991" s="37" t="s">
        <v>1899</v>
      </c>
      <c r="H991" s="37" t="s">
        <v>643</v>
      </c>
      <c r="I991" s="37" t="s">
        <v>444</v>
      </c>
      <c r="J991" s="37" t="s">
        <v>656</v>
      </c>
      <c r="K991" s="37" t="s">
        <v>14</v>
      </c>
      <c r="L991" s="47">
        <v>7702.33</v>
      </c>
      <c r="M991" s="47">
        <v>7266.35</v>
      </c>
      <c r="N991" s="47">
        <v>435.98</v>
      </c>
      <c r="O991" s="37" t="s">
        <v>2846</v>
      </c>
    </row>
    <row r="992" hidden="1" customHeight="1" spans="1:15">
      <c r="A992" s="37" t="s">
        <v>637</v>
      </c>
      <c r="B992" s="38">
        <v>45291</v>
      </c>
      <c r="C992" s="37" t="s">
        <v>748</v>
      </c>
      <c r="D992" s="37" t="s">
        <v>1284</v>
      </c>
      <c r="E992" s="37" t="s">
        <v>1898</v>
      </c>
      <c r="F992" s="37" t="s">
        <v>641</v>
      </c>
      <c r="G992" s="37" t="s">
        <v>1899</v>
      </c>
      <c r="H992" s="37" t="s">
        <v>643</v>
      </c>
      <c r="I992" s="37" t="s">
        <v>444</v>
      </c>
      <c r="J992" s="37" t="s">
        <v>656</v>
      </c>
      <c r="K992" s="37" t="s">
        <v>14</v>
      </c>
      <c r="L992" s="47">
        <v>2092.97</v>
      </c>
      <c r="M992" s="47">
        <v>1974.5</v>
      </c>
      <c r="N992" s="47">
        <v>118.47</v>
      </c>
      <c r="O992" s="37" t="s">
        <v>2847</v>
      </c>
    </row>
    <row r="993" hidden="1" customHeight="1" spans="1:15">
      <c r="A993" s="37" t="s">
        <v>637</v>
      </c>
      <c r="B993" s="38">
        <v>45291</v>
      </c>
      <c r="C993" s="37" t="s">
        <v>748</v>
      </c>
      <c r="D993" s="37" t="s">
        <v>726</v>
      </c>
      <c r="E993" s="37" t="s">
        <v>1898</v>
      </c>
      <c r="F993" s="37" t="s">
        <v>641</v>
      </c>
      <c r="G993" s="37" t="s">
        <v>1899</v>
      </c>
      <c r="H993" s="37" t="s">
        <v>643</v>
      </c>
      <c r="I993" s="37" t="s">
        <v>444</v>
      </c>
      <c r="J993" s="37" t="s">
        <v>656</v>
      </c>
      <c r="K993" s="37" t="s">
        <v>14</v>
      </c>
      <c r="L993" s="47">
        <v>62880.14</v>
      </c>
      <c r="M993" s="47">
        <v>59320.89</v>
      </c>
      <c r="N993" s="47">
        <v>3559.25</v>
      </c>
      <c r="O993" s="37" t="s">
        <v>2848</v>
      </c>
    </row>
    <row r="994" hidden="1" customHeight="1" spans="1:32">
      <c r="A994" s="27" t="s">
        <v>1980</v>
      </c>
      <c r="B994" s="38">
        <v>45291</v>
      </c>
      <c r="C994" s="27" t="s">
        <v>811</v>
      </c>
      <c r="D994" s="37" t="s">
        <v>653</v>
      </c>
      <c r="E994" s="37" t="s">
        <v>640</v>
      </c>
      <c r="F994" s="37" t="s">
        <v>641</v>
      </c>
      <c r="G994" s="37" t="s">
        <v>1899</v>
      </c>
      <c r="H994" s="37" t="s">
        <v>650</v>
      </c>
      <c r="I994" s="27" t="s">
        <v>433</v>
      </c>
      <c r="J994" s="37" t="s">
        <v>656</v>
      </c>
      <c r="K994" s="29" t="s">
        <v>166</v>
      </c>
      <c r="L994" s="29">
        <v>-9358</v>
      </c>
      <c r="M994" s="29">
        <v>-8828.34</v>
      </c>
      <c r="N994" s="31">
        <f t="shared" ref="N994:N1017" si="15">L994-M994</f>
        <v>-529.66</v>
      </c>
      <c r="P994" s="29"/>
      <c r="Q994" s="27"/>
      <c r="T994" s="29"/>
      <c r="U994" s="32"/>
      <c r="V994" s="29"/>
      <c r="W994" s="33"/>
      <c r="X994" s="29"/>
      <c r="Y994" s="27"/>
      <c r="Z994" s="30"/>
      <c r="AA994" s="34"/>
      <c r="AD994" s="29"/>
      <c r="AE994" s="27"/>
      <c r="AF994" s="29"/>
    </row>
    <row r="995" hidden="1" customHeight="1" spans="1:32">
      <c r="A995" s="27" t="s">
        <v>1980</v>
      </c>
      <c r="B995" s="38">
        <v>45291</v>
      </c>
      <c r="C995" s="27" t="s">
        <v>811</v>
      </c>
      <c r="D995" s="37" t="s">
        <v>653</v>
      </c>
      <c r="E995" s="37" t="s">
        <v>640</v>
      </c>
      <c r="F995" s="37" t="s">
        <v>641</v>
      </c>
      <c r="G995" s="37" t="s">
        <v>1899</v>
      </c>
      <c r="H995" s="37" t="s">
        <v>650</v>
      </c>
      <c r="I995" s="27" t="s">
        <v>435</v>
      </c>
      <c r="J995" s="37" t="s">
        <v>656</v>
      </c>
      <c r="K995" s="29" t="s">
        <v>166</v>
      </c>
      <c r="L995" s="29">
        <v>17722</v>
      </c>
      <c r="M995" s="29">
        <v>16718.92</v>
      </c>
      <c r="N995" s="31">
        <f t="shared" si="15"/>
        <v>1003.08</v>
      </c>
      <c r="P995" s="29"/>
      <c r="Q995" s="27"/>
      <c r="T995" s="29"/>
      <c r="U995" s="32"/>
      <c r="V995" s="29"/>
      <c r="W995" s="33"/>
      <c r="X995" s="29"/>
      <c r="Y995" s="27"/>
      <c r="Z995" s="30"/>
      <c r="AA995" s="34"/>
      <c r="AD995" s="29"/>
      <c r="AE995" s="27"/>
      <c r="AF995" s="29"/>
    </row>
    <row r="996" hidden="1" customHeight="1" spans="1:14">
      <c r="A996" s="27" t="s">
        <v>1980</v>
      </c>
      <c r="B996" s="38">
        <v>45291</v>
      </c>
      <c r="C996" s="27" t="s">
        <v>811</v>
      </c>
      <c r="D996" s="37" t="s">
        <v>653</v>
      </c>
      <c r="E996" s="37" t="s">
        <v>640</v>
      </c>
      <c r="F996" s="37" t="s">
        <v>641</v>
      </c>
      <c r="G996" s="37" t="s">
        <v>1901</v>
      </c>
      <c r="H996" s="37" t="s">
        <v>650</v>
      </c>
      <c r="I996" s="27" t="s">
        <v>433</v>
      </c>
      <c r="J996" s="37" t="s">
        <v>656</v>
      </c>
      <c r="K996" s="29" t="s">
        <v>166</v>
      </c>
      <c r="L996" s="29">
        <v>68734.28</v>
      </c>
      <c r="M996" s="29">
        <v>64843.62</v>
      </c>
      <c r="N996" s="31">
        <f t="shared" si="15"/>
        <v>3890.66</v>
      </c>
    </row>
    <row r="997" hidden="1" customHeight="1" spans="1:14">
      <c r="A997" s="27" t="s">
        <v>1980</v>
      </c>
      <c r="B997" s="38">
        <v>45291</v>
      </c>
      <c r="C997" s="27" t="s">
        <v>811</v>
      </c>
      <c r="D997" s="37" t="s">
        <v>653</v>
      </c>
      <c r="E997" s="37" t="s">
        <v>640</v>
      </c>
      <c r="F997" s="37" t="s">
        <v>641</v>
      </c>
      <c r="G997" s="37" t="s">
        <v>1901</v>
      </c>
      <c r="H997" s="37" t="s">
        <v>650</v>
      </c>
      <c r="I997" s="27" t="s">
        <v>435</v>
      </c>
      <c r="J997" s="37" t="s">
        <v>656</v>
      </c>
      <c r="K997" s="29" t="s">
        <v>166</v>
      </c>
      <c r="L997" s="29">
        <v>15999.45</v>
      </c>
      <c r="M997" s="29">
        <v>15093.84</v>
      </c>
      <c r="N997" s="31">
        <f t="shared" si="15"/>
        <v>905.610000000001</v>
      </c>
    </row>
    <row r="998" hidden="1" customHeight="1" spans="1:14">
      <c r="A998" s="27" t="s">
        <v>1985</v>
      </c>
      <c r="B998" s="38">
        <v>45291</v>
      </c>
      <c r="C998" s="105" t="s">
        <v>811</v>
      </c>
      <c r="D998" s="37" t="s">
        <v>653</v>
      </c>
      <c r="E998" s="37" t="s">
        <v>640</v>
      </c>
      <c r="F998" s="37" t="s">
        <v>641</v>
      </c>
      <c r="G998" s="105" t="s">
        <v>1899</v>
      </c>
      <c r="H998" s="37" t="s">
        <v>650</v>
      </c>
      <c r="I998" s="105" t="s">
        <v>433</v>
      </c>
      <c r="J998" s="37" t="s">
        <v>656</v>
      </c>
      <c r="K998" s="105" t="s">
        <v>166</v>
      </c>
      <c r="L998" s="106">
        <v>366762.05</v>
      </c>
      <c r="M998" s="31">
        <v>346001.93</v>
      </c>
      <c r="N998" s="31">
        <f t="shared" si="15"/>
        <v>20760.12</v>
      </c>
    </row>
    <row r="999" hidden="1" customHeight="1" spans="1:14">
      <c r="A999" s="27" t="s">
        <v>1985</v>
      </c>
      <c r="B999" s="38">
        <v>45291</v>
      </c>
      <c r="C999" s="105" t="s">
        <v>811</v>
      </c>
      <c r="D999" s="37" t="s">
        <v>653</v>
      </c>
      <c r="E999" s="37" t="s">
        <v>640</v>
      </c>
      <c r="F999" s="37" t="s">
        <v>641</v>
      </c>
      <c r="G999" s="37" t="s">
        <v>1901</v>
      </c>
      <c r="H999" s="37" t="s">
        <v>650</v>
      </c>
      <c r="I999" s="105" t="s">
        <v>433</v>
      </c>
      <c r="J999" s="37" t="s">
        <v>656</v>
      </c>
      <c r="K999" s="105" t="s">
        <v>166</v>
      </c>
      <c r="L999" s="31">
        <v>54389.89</v>
      </c>
      <c r="M999" s="31">
        <v>51311.22</v>
      </c>
      <c r="N999" s="31">
        <f t="shared" si="15"/>
        <v>3078.67</v>
      </c>
    </row>
    <row r="1000" hidden="1" customHeight="1" spans="1:14">
      <c r="A1000" s="27" t="s">
        <v>1985</v>
      </c>
      <c r="B1000" s="38">
        <v>45291</v>
      </c>
      <c r="C1000" s="105" t="s">
        <v>730</v>
      </c>
      <c r="D1000" s="37" t="s">
        <v>653</v>
      </c>
      <c r="E1000" s="37" t="s">
        <v>640</v>
      </c>
      <c r="F1000" s="37" t="s">
        <v>641</v>
      </c>
      <c r="G1000" s="105" t="s">
        <v>1899</v>
      </c>
      <c r="H1000" s="37" t="s">
        <v>650</v>
      </c>
      <c r="I1000" s="105" t="s">
        <v>473</v>
      </c>
      <c r="J1000" s="37" t="s">
        <v>656</v>
      </c>
      <c r="K1000" s="105" t="s">
        <v>14</v>
      </c>
      <c r="L1000" s="106">
        <v>580968.56</v>
      </c>
      <c r="M1000" s="31">
        <v>548083.55</v>
      </c>
      <c r="N1000" s="31">
        <f t="shared" si="15"/>
        <v>32885.01</v>
      </c>
    </row>
    <row r="1001" hidden="1" customHeight="1" spans="1:14">
      <c r="A1001" s="27" t="s">
        <v>1985</v>
      </c>
      <c r="B1001" s="38">
        <v>45291</v>
      </c>
      <c r="C1001" s="105" t="s">
        <v>730</v>
      </c>
      <c r="D1001" s="37" t="s">
        <v>653</v>
      </c>
      <c r="E1001" s="37" t="s">
        <v>640</v>
      </c>
      <c r="F1001" s="37" t="s">
        <v>641</v>
      </c>
      <c r="G1001" s="105" t="s">
        <v>1899</v>
      </c>
      <c r="H1001" s="37" t="s">
        <v>650</v>
      </c>
      <c r="I1001" s="105" t="s">
        <v>473</v>
      </c>
      <c r="J1001" s="37" t="s">
        <v>656</v>
      </c>
      <c r="K1001" s="105" t="s">
        <v>14</v>
      </c>
      <c r="L1001" s="106">
        <v>213323.89</v>
      </c>
      <c r="M1001" s="31">
        <v>201248.95</v>
      </c>
      <c r="N1001" s="31">
        <f t="shared" si="15"/>
        <v>12074.94</v>
      </c>
    </row>
    <row r="1002" hidden="1" customHeight="1" spans="1:14">
      <c r="A1002" s="27" t="s">
        <v>1985</v>
      </c>
      <c r="B1002" s="38">
        <v>45291</v>
      </c>
      <c r="C1002" s="105" t="s">
        <v>715</v>
      </c>
      <c r="D1002" s="37" t="s">
        <v>653</v>
      </c>
      <c r="E1002" s="37" t="s">
        <v>640</v>
      </c>
      <c r="F1002" s="37" t="s">
        <v>641</v>
      </c>
      <c r="G1002" s="105" t="s">
        <v>1899</v>
      </c>
      <c r="H1002" s="37" t="s">
        <v>650</v>
      </c>
      <c r="I1002" s="105" t="s">
        <v>1929</v>
      </c>
      <c r="J1002" s="37" t="s">
        <v>656</v>
      </c>
      <c r="K1002" s="105" t="s">
        <v>14</v>
      </c>
      <c r="L1002" s="106">
        <v>2054317.29</v>
      </c>
      <c r="M1002" s="31">
        <v>1938035.18</v>
      </c>
      <c r="N1002" s="31">
        <f t="shared" si="15"/>
        <v>116282.11</v>
      </c>
    </row>
    <row r="1003" hidden="1" customHeight="1" spans="1:14">
      <c r="A1003" s="27" t="s">
        <v>1985</v>
      </c>
      <c r="B1003" s="38">
        <v>45291</v>
      </c>
      <c r="C1003" s="105" t="s">
        <v>715</v>
      </c>
      <c r="D1003" s="37" t="s">
        <v>653</v>
      </c>
      <c r="E1003" s="37" t="s">
        <v>640</v>
      </c>
      <c r="F1003" s="37" t="s">
        <v>641</v>
      </c>
      <c r="G1003" s="105" t="s">
        <v>1899</v>
      </c>
      <c r="H1003" s="37" t="s">
        <v>650</v>
      </c>
      <c r="I1003" s="105" t="s">
        <v>1929</v>
      </c>
      <c r="J1003" s="37" t="s">
        <v>656</v>
      </c>
      <c r="K1003" s="105" t="s">
        <v>14</v>
      </c>
      <c r="L1003" s="106">
        <v>2434146.36</v>
      </c>
      <c r="M1003" s="31">
        <v>2296364.49</v>
      </c>
      <c r="N1003" s="31">
        <f t="shared" si="15"/>
        <v>137781.87</v>
      </c>
    </row>
    <row r="1004" hidden="1" customHeight="1" spans="1:14">
      <c r="A1004" s="27" t="s">
        <v>1985</v>
      </c>
      <c r="B1004" s="38">
        <v>45291</v>
      </c>
      <c r="C1004" s="105" t="s">
        <v>2478</v>
      </c>
      <c r="D1004" s="27" t="s">
        <v>1296</v>
      </c>
      <c r="E1004" s="37" t="s">
        <v>640</v>
      </c>
      <c r="F1004" s="37" t="s">
        <v>641</v>
      </c>
      <c r="G1004" s="105" t="s">
        <v>1899</v>
      </c>
      <c r="H1004" s="37" t="s">
        <v>650</v>
      </c>
      <c r="I1004" s="105" t="s">
        <v>2037</v>
      </c>
      <c r="J1004" s="37" t="s">
        <v>656</v>
      </c>
      <c r="K1004" s="105" t="s">
        <v>20</v>
      </c>
      <c r="L1004" s="106">
        <v>270062.07</v>
      </c>
      <c r="M1004" s="31">
        <v>262196.18</v>
      </c>
      <c r="N1004" s="31">
        <f t="shared" si="15"/>
        <v>7865.89000000001</v>
      </c>
    </row>
    <row r="1005" hidden="1" customHeight="1" spans="1:14">
      <c r="A1005" s="27" t="s">
        <v>1985</v>
      </c>
      <c r="B1005" s="38">
        <v>45291</v>
      </c>
      <c r="C1005" s="105" t="s">
        <v>2478</v>
      </c>
      <c r="D1005" s="27" t="s">
        <v>1296</v>
      </c>
      <c r="E1005" s="37" t="s">
        <v>640</v>
      </c>
      <c r="F1005" s="37" t="s">
        <v>641</v>
      </c>
      <c r="G1005" s="105" t="s">
        <v>1899</v>
      </c>
      <c r="H1005" s="37" t="s">
        <v>650</v>
      </c>
      <c r="I1005" s="105" t="s">
        <v>2037</v>
      </c>
      <c r="J1005" s="37" t="s">
        <v>656</v>
      </c>
      <c r="K1005" s="105" t="s">
        <v>20</v>
      </c>
      <c r="L1005" s="106">
        <v>-270062.07</v>
      </c>
      <c r="M1005" s="31">
        <v>-254775.54</v>
      </c>
      <c r="N1005" s="31">
        <f t="shared" si="15"/>
        <v>-15286.53</v>
      </c>
    </row>
    <row r="1006" hidden="1" customHeight="1" spans="1:14">
      <c r="A1006" s="27" t="s">
        <v>1985</v>
      </c>
      <c r="B1006" s="38">
        <v>45291</v>
      </c>
      <c r="C1006" s="105" t="s">
        <v>2478</v>
      </c>
      <c r="D1006" s="27" t="s">
        <v>1296</v>
      </c>
      <c r="E1006" s="37" t="s">
        <v>640</v>
      </c>
      <c r="F1006" s="37" t="s">
        <v>641</v>
      </c>
      <c r="G1006" s="105" t="s">
        <v>1899</v>
      </c>
      <c r="H1006" s="37" t="s">
        <v>650</v>
      </c>
      <c r="I1006" s="105" t="s">
        <v>2062</v>
      </c>
      <c r="J1006" s="37" t="s">
        <v>656</v>
      </c>
      <c r="K1006" s="105" t="s">
        <v>20</v>
      </c>
      <c r="L1006" s="106">
        <v>-29948.67</v>
      </c>
      <c r="M1006" s="31">
        <v>-28253.46</v>
      </c>
      <c r="N1006" s="31">
        <f t="shared" si="15"/>
        <v>-1695.21</v>
      </c>
    </row>
    <row r="1007" hidden="1" customHeight="1" spans="1:14">
      <c r="A1007" s="27" t="s">
        <v>1985</v>
      </c>
      <c r="B1007" s="38">
        <v>45291</v>
      </c>
      <c r="C1007" s="105" t="s">
        <v>2478</v>
      </c>
      <c r="D1007" s="27" t="s">
        <v>1296</v>
      </c>
      <c r="E1007" s="37" t="s">
        <v>640</v>
      </c>
      <c r="F1007" s="37" t="s">
        <v>641</v>
      </c>
      <c r="G1007" s="105" t="s">
        <v>1899</v>
      </c>
      <c r="H1007" s="37" t="s">
        <v>650</v>
      </c>
      <c r="I1007" s="105" t="s">
        <v>2062</v>
      </c>
      <c r="J1007" s="37" t="s">
        <v>656</v>
      </c>
      <c r="K1007" s="105" t="s">
        <v>20</v>
      </c>
      <c r="L1007" s="106">
        <v>29948.67</v>
      </c>
      <c r="M1007" s="31">
        <v>29076.38</v>
      </c>
      <c r="N1007" s="31">
        <f t="shared" si="15"/>
        <v>872.289999999997</v>
      </c>
    </row>
    <row r="1008" hidden="1" customHeight="1" spans="1:14">
      <c r="A1008" s="27" t="s">
        <v>1985</v>
      </c>
      <c r="B1008" s="38">
        <v>45291</v>
      </c>
      <c r="C1008" s="105" t="s">
        <v>2478</v>
      </c>
      <c r="D1008" s="27" t="s">
        <v>1296</v>
      </c>
      <c r="E1008" s="37" t="s">
        <v>640</v>
      </c>
      <c r="F1008" s="37" t="s">
        <v>641</v>
      </c>
      <c r="G1008" s="105" t="s">
        <v>1899</v>
      </c>
      <c r="H1008" s="37" t="s">
        <v>650</v>
      </c>
      <c r="I1008" s="105" t="s">
        <v>2046</v>
      </c>
      <c r="J1008" s="37" t="s">
        <v>656</v>
      </c>
      <c r="K1008" s="105" t="s">
        <v>20</v>
      </c>
      <c r="L1008" s="106">
        <v>-1945.26</v>
      </c>
      <c r="M1008" s="31">
        <v>-1835.15</v>
      </c>
      <c r="N1008" s="31">
        <f t="shared" si="15"/>
        <v>-110.11</v>
      </c>
    </row>
    <row r="1009" hidden="1" customHeight="1" spans="1:14">
      <c r="A1009" s="27" t="s">
        <v>1985</v>
      </c>
      <c r="B1009" s="38">
        <v>45291</v>
      </c>
      <c r="C1009" s="105" t="s">
        <v>2478</v>
      </c>
      <c r="D1009" s="27" t="s">
        <v>1296</v>
      </c>
      <c r="E1009" s="37" t="s">
        <v>640</v>
      </c>
      <c r="F1009" s="37" t="s">
        <v>641</v>
      </c>
      <c r="G1009" s="105" t="s">
        <v>1899</v>
      </c>
      <c r="H1009" s="37" t="s">
        <v>650</v>
      </c>
      <c r="I1009" s="105" t="s">
        <v>2046</v>
      </c>
      <c r="J1009" s="37" t="s">
        <v>656</v>
      </c>
      <c r="K1009" s="105" t="s">
        <v>20</v>
      </c>
      <c r="L1009" s="106">
        <v>1945.26</v>
      </c>
      <c r="M1009" s="31">
        <v>1888.6</v>
      </c>
      <c r="N1009" s="31">
        <f t="shared" si="15"/>
        <v>56.6600000000001</v>
      </c>
    </row>
    <row r="1010" hidden="1" customHeight="1" spans="1:14">
      <c r="A1010" s="27" t="s">
        <v>1985</v>
      </c>
      <c r="B1010" s="38">
        <v>45291</v>
      </c>
      <c r="C1010" s="105" t="s">
        <v>2478</v>
      </c>
      <c r="D1010" s="27" t="s">
        <v>1296</v>
      </c>
      <c r="E1010" s="37" t="s">
        <v>640</v>
      </c>
      <c r="F1010" s="37" t="s">
        <v>641</v>
      </c>
      <c r="G1010" s="105" t="s">
        <v>1899</v>
      </c>
      <c r="H1010" s="37" t="s">
        <v>650</v>
      </c>
      <c r="I1010" s="105" t="s">
        <v>2044</v>
      </c>
      <c r="J1010" s="37" t="s">
        <v>656</v>
      </c>
      <c r="K1010" s="105" t="s">
        <v>20</v>
      </c>
      <c r="L1010" s="106">
        <v>-153615.39</v>
      </c>
      <c r="M1010" s="31">
        <v>-144920.18</v>
      </c>
      <c r="N1010" s="31">
        <f t="shared" si="15"/>
        <v>-8695.21000000002</v>
      </c>
    </row>
    <row r="1011" hidden="1" customHeight="1" spans="1:14">
      <c r="A1011" s="27" t="s">
        <v>1985</v>
      </c>
      <c r="B1011" s="38">
        <v>45291</v>
      </c>
      <c r="C1011" s="105" t="s">
        <v>2478</v>
      </c>
      <c r="D1011" s="27" t="s">
        <v>1296</v>
      </c>
      <c r="E1011" s="37" t="s">
        <v>640</v>
      </c>
      <c r="F1011" s="37" t="s">
        <v>641</v>
      </c>
      <c r="G1011" s="105" t="s">
        <v>1899</v>
      </c>
      <c r="H1011" s="37" t="s">
        <v>650</v>
      </c>
      <c r="I1011" s="105" t="s">
        <v>2044</v>
      </c>
      <c r="J1011" s="37" t="s">
        <v>656</v>
      </c>
      <c r="K1011" s="105" t="s">
        <v>20</v>
      </c>
      <c r="L1011" s="106">
        <v>153615.39</v>
      </c>
      <c r="M1011" s="31">
        <v>149141.16</v>
      </c>
      <c r="N1011" s="31">
        <f t="shared" si="15"/>
        <v>4474.23000000001</v>
      </c>
    </row>
    <row r="1012" hidden="1" customHeight="1" spans="1:14">
      <c r="A1012" s="27" t="s">
        <v>1985</v>
      </c>
      <c r="B1012" s="38">
        <v>45291</v>
      </c>
      <c r="C1012" s="105" t="s">
        <v>2478</v>
      </c>
      <c r="D1012" s="27" t="s">
        <v>1296</v>
      </c>
      <c r="E1012" s="37" t="s">
        <v>640</v>
      </c>
      <c r="F1012" s="37" t="s">
        <v>641</v>
      </c>
      <c r="G1012" s="37" t="s">
        <v>1901</v>
      </c>
      <c r="H1012" s="37" t="s">
        <v>650</v>
      </c>
      <c r="I1012" s="105" t="s">
        <v>2060</v>
      </c>
      <c r="J1012" s="37" t="s">
        <v>656</v>
      </c>
      <c r="K1012" s="105" t="s">
        <v>20</v>
      </c>
      <c r="L1012" s="31">
        <v>520.24</v>
      </c>
      <c r="M1012" s="31">
        <v>520.24</v>
      </c>
      <c r="N1012" s="31">
        <f t="shared" si="15"/>
        <v>0</v>
      </c>
    </row>
    <row r="1013" hidden="1" customHeight="1" spans="1:14">
      <c r="A1013" s="27" t="s">
        <v>1985</v>
      </c>
      <c r="B1013" s="38">
        <v>45291</v>
      </c>
      <c r="C1013" s="105" t="s">
        <v>2478</v>
      </c>
      <c r="D1013" s="27" t="s">
        <v>1296</v>
      </c>
      <c r="E1013" s="37" t="s">
        <v>640</v>
      </c>
      <c r="F1013" s="37" t="s">
        <v>641</v>
      </c>
      <c r="G1013" s="37" t="s">
        <v>1901</v>
      </c>
      <c r="H1013" s="37" t="s">
        <v>650</v>
      </c>
      <c r="I1013" s="105" t="s">
        <v>2064</v>
      </c>
      <c r="J1013" s="37" t="s">
        <v>656</v>
      </c>
      <c r="K1013" s="105" t="s">
        <v>20</v>
      </c>
      <c r="L1013" s="31">
        <v>4121.42</v>
      </c>
      <c r="M1013" s="31">
        <v>4121.42</v>
      </c>
      <c r="N1013" s="31">
        <f t="shared" si="15"/>
        <v>0</v>
      </c>
    </row>
    <row r="1014" hidden="1" customHeight="1" spans="1:14">
      <c r="A1014" s="27" t="s">
        <v>1985</v>
      </c>
      <c r="B1014" s="38">
        <v>45291</v>
      </c>
      <c r="C1014" s="105" t="s">
        <v>2478</v>
      </c>
      <c r="D1014" s="27" t="s">
        <v>1296</v>
      </c>
      <c r="E1014" s="37" t="s">
        <v>640</v>
      </c>
      <c r="F1014" s="37" t="s">
        <v>641</v>
      </c>
      <c r="G1014" s="37" t="s">
        <v>1901</v>
      </c>
      <c r="H1014" s="37" t="s">
        <v>650</v>
      </c>
      <c r="I1014" s="105" t="s">
        <v>2058</v>
      </c>
      <c r="J1014" s="37" t="s">
        <v>656</v>
      </c>
      <c r="K1014" s="105" t="s">
        <v>20</v>
      </c>
      <c r="L1014" s="31">
        <v>2642</v>
      </c>
      <c r="M1014" s="31">
        <v>2642</v>
      </c>
      <c r="N1014" s="31">
        <f t="shared" si="15"/>
        <v>0</v>
      </c>
    </row>
    <row r="1015" hidden="1" customHeight="1" spans="1:14">
      <c r="A1015" s="27" t="s">
        <v>1985</v>
      </c>
      <c r="B1015" s="38">
        <v>45291</v>
      </c>
      <c r="C1015" s="105" t="s">
        <v>646</v>
      </c>
      <c r="D1015" s="27" t="s">
        <v>1296</v>
      </c>
      <c r="E1015" s="37" t="s">
        <v>640</v>
      </c>
      <c r="F1015" s="37" t="s">
        <v>641</v>
      </c>
      <c r="G1015" s="37" t="s">
        <v>1901</v>
      </c>
      <c r="H1015" s="37" t="s">
        <v>650</v>
      </c>
      <c r="I1015" s="105" t="s">
        <v>2024</v>
      </c>
      <c r="J1015" s="37" t="s">
        <v>656</v>
      </c>
      <c r="K1015" s="105" t="s">
        <v>13</v>
      </c>
      <c r="L1015" s="31">
        <v>-50250.02</v>
      </c>
      <c r="M1015" s="31">
        <v>-47405.68</v>
      </c>
      <c r="N1015" s="31">
        <f t="shared" si="15"/>
        <v>-2844.34</v>
      </c>
    </row>
    <row r="1016" hidden="1" customHeight="1" spans="1:14">
      <c r="A1016" s="27" t="s">
        <v>1985</v>
      </c>
      <c r="B1016" s="38">
        <v>45291</v>
      </c>
      <c r="C1016" s="105" t="s">
        <v>646</v>
      </c>
      <c r="D1016" s="27" t="s">
        <v>1296</v>
      </c>
      <c r="E1016" s="37" t="s">
        <v>640</v>
      </c>
      <c r="F1016" s="37" t="s">
        <v>641</v>
      </c>
      <c r="G1016" s="37" t="s">
        <v>1901</v>
      </c>
      <c r="H1016" s="37" t="s">
        <v>650</v>
      </c>
      <c r="I1016" s="105" t="s">
        <v>2024</v>
      </c>
      <c r="J1016" s="37" t="s">
        <v>656</v>
      </c>
      <c r="K1016" s="105" t="s">
        <v>13</v>
      </c>
      <c r="L1016" s="31">
        <v>50250.01</v>
      </c>
      <c r="M1016" s="31">
        <v>49752.49</v>
      </c>
      <c r="N1016" s="31">
        <f t="shared" si="15"/>
        <v>497.520000000004</v>
      </c>
    </row>
    <row r="1017" hidden="1" customHeight="1" spans="1:14">
      <c r="A1017" s="27" t="s">
        <v>1985</v>
      </c>
      <c r="B1017" s="38">
        <v>45291</v>
      </c>
      <c r="C1017" s="105" t="s">
        <v>646</v>
      </c>
      <c r="D1017" s="27" t="s">
        <v>1296</v>
      </c>
      <c r="E1017" s="37" t="s">
        <v>640</v>
      </c>
      <c r="F1017" s="37" t="s">
        <v>641</v>
      </c>
      <c r="G1017" s="37" t="s">
        <v>1901</v>
      </c>
      <c r="H1017" s="37" t="s">
        <v>650</v>
      </c>
      <c r="I1017" s="105" t="s">
        <v>2016</v>
      </c>
      <c r="J1017" s="37" t="s">
        <v>656</v>
      </c>
      <c r="K1017" s="105" t="s">
        <v>14</v>
      </c>
      <c r="L1017" s="31">
        <v>80354.7</v>
      </c>
      <c r="M1017" s="31">
        <v>75806.32</v>
      </c>
      <c r="N1017" s="31">
        <f t="shared" si="15"/>
        <v>4548.37999999999</v>
      </c>
    </row>
  </sheetData>
  <autoFilter xmlns:etc="http://www.wps.cn/officeDocument/2017/etCustomData" ref="A1:AH1017" etc:filterBottomFollowUsedRange="0">
    <filterColumn colId="0">
      <customFilters>
        <customFilter operator="equal" val="手工凭证"/>
        <customFilter operator="equal" val="金蝶手工"/>
      </customFilters>
    </filterColumn>
    <filterColumn colId="2">
      <customFilters>
        <customFilter operator="equal" val="新疆葫芦娃网络科技有限公司"/>
      </customFilters>
    </filterColumn>
    <filterColumn colId="6">
      <customFilters>
        <customFilter operator="equal" val="代运营服务"/>
      </customFilters>
    </filterColumn>
    <filterColumn colId="8">
      <customFilters>
        <customFilter operator="equal" val="温州创想网络科技有限公司"/>
      </customFilters>
    </filterColumn>
    <extLst/>
  </autoFilter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workbookViewId="0">
      <pane ySplit="1" topLeftCell="A13" activePane="bottomLeft" state="frozen"/>
      <selection/>
      <selection pane="bottomLeft" activeCell="D64" sqref="D64"/>
    </sheetView>
  </sheetViews>
  <sheetFormatPr defaultColWidth="9" defaultRowHeight="11.25"/>
  <cols>
    <col min="1" max="1" width="9" style="21"/>
    <col min="2" max="2" width="29.5" style="21" customWidth="1"/>
    <col min="3" max="3" width="12.375" style="11" customWidth="1"/>
    <col min="4" max="4" width="11.375" style="11" customWidth="1"/>
    <col min="5" max="6" width="9" style="11"/>
    <col min="7" max="7" width="9" style="21"/>
    <col min="8" max="8" width="96.625" style="21" customWidth="1"/>
    <col min="9" max="9" width="13.7583333333333" style="13"/>
    <col min="10" max="10" width="14.875" style="13"/>
    <col min="11" max="11" width="9" style="21"/>
    <col min="12" max="12" width="14.125" style="21" customWidth="1"/>
    <col min="13" max="16384" width="9" style="21"/>
  </cols>
  <sheetData>
    <row r="1" spans="1:12">
      <c r="A1" s="21" t="s">
        <v>2849</v>
      </c>
      <c r="B1" s="21" t="s">
        <v>2850</v>
      </c>
      <c r="H1" s="21" t="s">
        <v>2851</v>
      </c>
      <c r="I1" s="13">
        <v>0</v>
      </c>
      <c r="J1" s="13">
        <v>0</v>
      </c>
      <c r="K1" s="21" t="s">
        <v>2852</v>
      </c>
      <c r="L1" s="25">
        <v>123224.55</v>
      </c>
    </row>
    <row r="2" spans="1:12">
      <c r="A2" s="21" t="s">
        <v>2849</v>
      </c>
      <c r="B2" s="21" t="s">
        <v>2850</v>
      </c>
      <c r="C2" s="24">
        <v>44957</v>
      </c>
      <c r="D2" s="24">
        <v>44957</v>
      </c>
      <c r="E2" s="11">
        <v>2023.1</v>
      </c>
      <c r="F2" s="11" t="s">
        <v>2853</v>
      </c>
      <c r="G2" s="21">
        <v>2319</v>
      </c>
      <c r="H2" s="21" t="s">
        <v>2854</v>
      </c>
      <c r="I2" s="13">
        <v>0</v>
      </c>
      <c r="J2" s="13">
        <v>-942.11</v>
      </c>
      <c r="K2" s="21" t="s">
        <v>2852</v>
      </c>
      <c r="L2" s="25">
        <v>51883.98</v>
      </c>
    </row>
    <row r="3" spans="1:12">
      <c r="A3" s="21" t="s">
        <v>2849</v>
      </c>
      <c r="B3" s="21" t="s">
        <v>2850</v>
      </c>
      <c r="C3" s="24">
        <v>44985</v>
      </c>
      <c r="D3" s="24">
        <v>44985</v>
      </c>
      <c r="E3" s="11">
        <v>2023.2</v>
      </c>
      <c r="F3" s="11" t="s">
        <v>2853</v>
      </c>
      <c r="G3" s="21">
        <v>2208</v>
      </c>
      <c r="H3" s="21" t="s">
        <v>2855</v>
      </c>
      <c r="I3" s="13">
        <v>0</v>
      </c>
      <c r="J3" s="13">
        <v>-0.34</v>
      </c>
      <c r="K3" s="21" t="s">
        <v>2852</v>
      </c>
      <c r="L3" s="25">
        <v>51884.32</v>
      </c>
    </row>
    <row r="4" spans="1:12">
      <c r="A4" s="21" t="s">
        <v>2849</v>
      </c>
      <c r="B4" s="21" t="s">
        <v>2850</v>
      </c>
      <c r="C4" s="24">
        <v>45015</v>
      </c>
      <c r="D4" s="24">
        <v>45015</v>
      </c>
      <c r="E4" s="11">
        <v>2023.3</v>
      </c>
      <c r="F4" s="11" t="s">
        <v>2853</v>
      </c>
      <c r="G4" s="21">
        <v>1010</v>
      </c>
      <c r="H4" s="21" t="s">
        <v>2856</v>
      </c>
      <c r="I4" s="13">
        <v>-159443.55</v>
      </c>
      <c r="J4" s="13">
        <v>0</v>
      </c>
      <c r="K4" s="21" t="s">
        <v>2857</v>
      </c>
      <c r="L4" s="25">
        <v>132437.55</v>
      </c>
    </row>
    <row r="5" spans="1:12">
      <c r="A5" s="21" t="s">
        <v>2849</v>
      </c>
      <c r="B5" s="21" t="s">
        <v>2850</v>
      </c>
      <c r="C5" s="24">
        <v>45015</v>
      </c>
      <c r="D5" s="24">
        <v>45015</v>
      </c>
      <c r="E5" s="11">
        <v>2023.3</v>
      </c>
      <c r="F5" s="11" t="s">
        <v>2853</v>
      </c>
      <c r="G5" s="21">
        <v>1010</v>
      </c>
      <c r="H5" s="21" t="s">
        <v>2856</v>
      </c>
      <c r="I5" s="13">
        <v>-121.72</v>
      </c>
      <c r="J5" s="13">
        <v>0</v>
      </c>
      <c r="K5" s="21" t="s">
        <v>2857</v>
      </c>
      <c r="L5" s="25">
        <v>132559.27</v>
      </c>
    </row>
    <row r="6" spans="1:12">
      <c r="A6" s="21" t="s">
        <v>2849</v>
      </c>
      <c r="B6" s="21" t="s">
        <v>2850</v>
      </c>
      <c r="C6" s="24">
        <v>45015</v>
      </c>
      <c r="D6" s="24">
        <v>45015</v>
      </c>
      <c r="E6" s="11">
        <v>2023.3</v>
      </c>
      <c r="F6" s="11" t="s">
        <v>2853</v>
      </c>
      <c r="G6" s="21">
        <v>1010</v>
      </c>
      <c r="H6" s="21" t="s">
        <v>2856</v>
      </c>
      <c r="I6" s="13">
        <v>141676.12</v>
      </c>
      <c r="J6" s="13">
        <v>0</v>
      </c>
      <c r="K6" s="21" t="s">
        <v>2852</v>
      </c>
      <c r="L6" s="25">
        <v>9116.85</v>
      </c>
    </row>
    <row r="7" spans="1:12">
      <c r="A7" s="21" t="s">
        <v>2849</v>
      </c>
      <c r="B7" s="21" t="s">
        <v>2850</v>
      </c>
      <c r="C7" s="24">
        <v>45015</v>
      </c>
      <c r="D7" s="24">
        <v>45015</v>
      </c>
      <c r="E7" s="11">
        <v>2023.3</v>
      </c>
      <c r="F7" s="11" t="s">
        <v>2853</v>
      </c>
      <c r="G7" s="21">
        <v>1010</v>
      </c>
      <c r="H7" s="21" t="s">
        <v>2856</v>
      </c>
      <c r="I7" s="13">
        <v>121.72</v>
      </c>
      <c r="J7" s="13">
        <v>0</v>
      </c>
      <c r="K7" s="21" t="s">
        <v>2852</v>
      </c>
      <c r="L7" s="25">
        <v>9238.57</v>
      </c>
    </row>
    <row r="8" spans="1:12">
      <c r="A8" s="21" t="s">
        <v>2849</v>
      </c>
      <c r="B8" s="21" t="s">
        <v>2850</v>
      </c>
      <c r="C8" s="24">
        <v>45016</v>
      </c>
      <c r="D8" s="24">
        <v>45016</v>
      </c>
      <c r="E8" s="11">
        <v>2023.3</v>
      </c>
      <c r="F8" s="11" t="s">
        <v>2853</v>
      </c>
      <c r="G8" s="21">
        <v>2363</v>
      </c>
      <c r="H8" s="21" t="s">
        <v>2858</v>
      </c>
      <c r="I8" s="13">
        <v>0</v>
      </c>
      <c r="J8" s="13">
        <v>-12.96</v>
      </c>
      <c r="K8" s="21" t="s">
        <v>2852</v>
      </c>
      <c r="L8" s="25">
        <v>9251.53</v>
      </c>
    </row>
    <row r="9" spans="1:12">
      <c r="A9" s="21" t="s">
        <v>2849</v>
      </c>
      <c r="B9" s="21" t="s">
        <v>2850</v>
      </c>
      <c r="C9" s="24">
        <v>45046</v>
      </c>
      <c r="D9" s="24">
        <v>45046</v>
      </c>
      <c r="E9" s="11">
        <v>2023.4</v>
      </c>
      <c r="F9" s="11" t="s">
        <v>2853</v>
      </c>
      <c r="G9" s="21">
        <v>2430</v>
      </c>
      <c r="H9" s="21" t="s">
        <v>2859</v>
      </c>
      <c r="I9" s="13">
        <v>0</v>
      </c>
      <c r="J9" s="13">
        <v>-0.27</v>
      </c>
      <c r="K9" s="21" t="s">
        <v>2852</v>
      </c>
      <c r="L9" s="25">
        <v>9251.87</v>
      </c>
    </row>
    <row r="10" spans="1:12">
      <c r="A10" s="21" t="s">
        <v>2849</v>
      </c>
      <c r="B10" s="21" t="s">
        <v>2850</v>
      </c>
      <c r="C10" s="24">
        <v>45077</v>
      </c>
      <c r="D10" s="24">
        <v>45077</v>
      </c>
      <c r="E10" s="11">
        <v>2023.5</v>
      </c>
      <c r="F10" s="11" t="s">
        <v>2853</v>
      </c>
      <c r="G10" s="21">
        <v>2752</v>
      </c>
      <c r="H10" s="21" t="s">
        <v>2860</v>
      </c>
      <c r="I10" s="13">
        <v>0</v>
      </c>
      <c r="J10" s="13">
        <v>-338.77</v>
      </c>
      <c r="K10" s="21" t="s">
        <v>2852</v>
      </c>
      <c r="L10" s="25">
        <v>9590.64</v>
      </c>
    </row>
    <row r="11" spans="1:12">
      <c r="A11" s="21" t="s">
        <v>2849</v>
      </c>
      <c r="B11" s="21" t="s">
        <v>2850</v>
      </c>
      <c r="C11" s="24">
        <v>45107</v>
      </c>
      <c r="D11" s="24">
        <v>45107</v>
      </c>
      <c r="E11" s="11">
        <v>2023.6</v>
      </c>
      <c r="F11" s="11" t="s">
        <v>2853</v>
      </c>
      <c r="G11" s="21">
        <v>3457</v>
      </c>
      <c r="H11" s="21" t="s">
        <v>2861</v>
      </c>
      <c r="I11" s="13">
        <v>0</v>
      </c>
      <c r="J11" s="13">
        <v>-21217.85</v>
      </c>
      <c r="K11" s="21" t="s">
        <v>2852</v>
      </c>
      <c r="L11" s="25">
        <v>30808.49</v>
      </c>
    </row>
    <row r="12" spans="1:12">
      <c r="A12" s="21" t="s">
        <v>2849</v>
      </c>
      <c r="B12" s="21" t="s">
        <v>2850</v>
      </c>
      <c r="C12" s="24">
        <v>45107</v>
      </c>
      <c r="D12" s="24">
        <v>45107</v>
      </c>
      <c r="E12" s="11">
        <v>2023.6</v>
      </c>
      <c r="F12" s="11" t="s">
        <v>2853</v>
      </c>
      <c r="G12" s="21">
        <v>3493</v>
      </c>
      <c r="H12" s="21" t="s">
        <v>2862</v>
      </c>
      <c r="I12" s="13">
        <v>20816.95</v>
      </c>
      <c r="J12" s="13">
        <v>0</v>
      </c>
      <c r="K12" s="21" t="s">
        <v>2852</v>
      </c>
      <c r="L12" s="25">
        <v>30068.48</v>
      </c>
    </row>
    <row r="13" spans="1:12">
      <c r="A13" s="21" t="s">
        <v>2849</v>
      </c>
      <c r="B13" s="21" t="s">
        <v>2850</v>
      </c>
      <c r="C13" s="24">
        <v>45107</v>
      </c>
      <c r="D13" s="24">
        <v>45107</v>
      </c>
      <c r="E13" s="11">
        <v>2023.6</v>
      </c>
      <c r="F13" s="11" t="s">
        <v>2853</v>
      </c>
      <c r="G13" s="21">
        <v>3493</v>
      </c>
      <c r="H13" s="21" t="s">
        <v>2863</v>
      </c>
      <c r="I13" s="13">
        <v>-20816.95</v>
      </c>
      <c r="J13" s="13">
        <v>0</v>
      </c>
      <c r="K13" s="21" t="s">
        <v>2852</v>
      </c>
      <c r="L13" s="25">
        <v>9251.53</v>
      </c>
    </row>
    <row r="14" spans="1:12">
      <c r="A14" s="21" t="s">
        <v>2849</v>
      </c>
      <c r="B14" s="21" t="s">
        <v>2850</v>
      </c>
      <c r="C14" s="24">
        <v>45138</v>
      </c>
      <c r="D14" s="24">
        <v>45138</v>
      </c>
      <c r="E14" s="11">
        <v>2023.7</v>
      </c>
      <c r="F14" s="11" t="s">
        <v>2853</v>
      </c>
      <c r="G14" s="21">
        <v>2884</v>
      </c>
      <c r="H14" s="21" t="s">
        <v>2864</v>
      </c>
      <c r="I14" s="13">
        <v>0</v>
      </c>
      <c r="J14" s="13">
        <v>-4366.86</v>
      </c>
      <c r="K14" s="21" t="s">
        <v>2852</v>
      </c>
      <c r="L14" s="25">
        <v>13887.7</v>
      </c>
    </row>
    <row r="15" spans="1:12">
      <c r="A15" s="21" t="s">
        <v>2849</v>
      </c>
      <c r="B15" s="21" t="s">
        <v>2850</v>
      </c>
      <c r="C15" s="24">
        <v>45169</v>
      </c>
      <c r="D15" s="24">
        <v>45169</v>
      </c>
      <c r="E15" s="11">
        <v>2023.8</v>
      </c>
      <c r="F15" s="11" t="s">
        <v>2853</v>
      </c>
      <c r="G15" s="21">
        <v>3102</v>
      </c>
      <c r="H15" s="21" t="s">
        <v>2865</v>
      </c>
      <c r="I15" s="13">
        <v>0</v>
      </c>
      <c r="J15" s="13">
        <v>-0.45</v>
      </c>
      <c r="K15" s="21" t="s">
        <v>2852</v>
      </c>
      <c r="L15" s="25">
        <v>13888.15</v>
      </c>
    </row>
    <row r="16" spans="1:12">
      <c r="A16" s="21" t="s">
        <v>2849</v>
      </c>
      <c r="B16" s="21" t="s">
        <v>2850</v>
      </c>
      <c r="C16" s="24">
        <v>45199</v>
      </c>
      <c r="D16" s="24">
        <v>45199</v>
      </c>
      <c r="E16" s="11">
        <v>2023.9</v>
      </c>
      <c r="F16" s="11" t="s">
        <v>2853</v>
      </c>
      <c r="G16" s="21">
        <v>3460</v>
      </c>
      <c r="H16" s="21" t="s">
        <v>2866</v>
      </c>
      <c r="I16" s="13">
        <v>0</v>
      </c>
      <c r="J16" s="13">
        <v>-321.79</v>
      </c>
      <c r="K16" s="21" t="s">
        <v>2852</v>
      </c>
      <c r="L16" s="21">
        <v>9520.83</v>
      </c>
    </row>
    <row r="17" spans="1:12">
      <c r="A17" s="21" t="s">
        <v>2849</v>
      </c>
      <c r="B17" s="21" t="s">
        <v>2850</v>
      </c>
      <c r="C17" s="24">
        <v>45199</v>
      </c>
      <c r="D17" s="24">
        <v>45199</v>
      </c>
      <c r="E17" s="11">
        <v>2023.9</v>
      </c>
      <c r="F17" s="11" t="s">
        <v>2853</v>
      </c>
      <c r="G17" s="21">
        <v>3472</v>
      </c>
      <c r="H17" s="21" t="s">
        <v>2867</v>
      </c>
      <c r="I17" s="13">
        <v>0</v>
      </c>
      <c r="J17" s="13">
        <v>4643.09</v>
      </c>
      <c r="K17" s="21" t="s">
        <v>2852</v>
      </c>
      <c r="L17" s="21">
        <v>4877.74</v>
      </c>
    </row>
    <row r="18" spans="1:12">
      <c r="A18" s="21" t="s">
        <v>2849</v>
      </c>
      <c r="B18" s="21" t="s">
        <v>2850</v>
      </c>
      <c r="C18" s="24">
        <v>45199</v>
      </c>
      <c r="D18" s="24">
        <v>45199</v>
      </c>
      <c r="E18" s="11">
        <v>2023.9</v>
      </c>
      <c r="F18" s="11" t="s">
        <v>2853</v>
      </c>
      <c r="G18" s="21">
        <v>3472</v>
      </c>
      <c r="H18" s="21" t="s">
        <v>2868</v>
      </c>
      <c r="I18" s="13">
        <v>4643.09</v>
      </c>
      <c r="J18" s="13">
        <v>0</v>
      </c>
      <c r="K18" s="21" t="s">
        <v>2852</v>
      </c>
      <c r="L18" s="21">
        <v>9520.83</v>
      </c>
    </row>
    <row r="19" spans="1:12">
      <c r="A19" s="21" t="s">
        <v>2849</v>
      </c>
      <c r="B19" s="21" t="s">
        <v>2850</v>
      </c>
      <c r="C19" s="24">
        <v>44957</v>
      </c>
      <c r="D19" s="24">
        <v>44957</v>
      </c>
      <c r="E19" s="11">
        <v>2023.1</v>
      </c>
      <c r="F19" s="11" t="s">
        <v>2853</v>
      </c>
      <c r="G19" s="21">
        <v>2319</v>
      </c>
      <c r="H19" s="21" t="s">
        <v>2869</v>
      </c>
      <c r="I19" s="13">
        <v>0</v>
      </c>
      <c r="J19" s="13">
        <v>18054.47</v>
      </c>
      <c r="K19" s="21" t="s">
        <v>2852</v>
      </c>
      <c r="L19" s="21">
        <v>99353.64</v>
      </c>
    </row>
    <row r="20" spans="1:12">
      <c r="A20" s="21" t="s">
        <v>2849</v>
      </c>
      <c r="B20" s="21" t="s">
        <v>2850</v>
      </c>
      <c r="C20" s="24">
        <v>44985</v>
      </c>
      <c r="D20" s="24">
        <v>44985</v>
      </c>
      <c r="E20" s="11">
        <v>2023.2</v>
      </c>
      <c r="F20" s="11" t="s">
        <v>2853</v>
      </c>
      <c r="G20" s="21">
        <v>2208</v>
      </c>
      <c r="H20" s="21" t="s">
        <v>2870</v>
      </c>
      <c r="I20" s="13">
        <v>0</v>
      </c>
      <c r="J20" s="13">
        <v>7817.93</v>
      </c>
      <c r="K20" s="21" t="s">
        <v>2852</v>
      </c>
      <c r="L20" s="21">
        <v>123149.64</v>
      </c>
    </row>
    <row r="21" spans="1:12">
      <c r="A21" s="21" t="s">
        <v>2849</v>
      </c>
      <c r="B21" s="21" t="s">
        <v>2850</v>
      </c>
      <c r="C21" s="24">
        <v>45016</v>
      </c>
      <c r="D21" s="24">
        <v>45016</v>
      </c>
      <c r="E21" s="11">
        <v>2023.3</v>
      </c>
      <c r="F21" s="11" t="s">
        <v>2853</v>
      </c>
      <c r="G21" s="21">
        <v>2363</v>
      </c>
      <c r="H21" s="21" t="s">
        <v>2871</v>
      </c>
      <c r="I21" s="13">
        <v>0</v>
      </c>
      <c r="J21" s="13">
        <v>7286.74</v>
      </c>
      <c r="K21" s="21" t="s">
        <v>2852</v>
      </c>
      <c r="L21" s="21">
        <v>53980.72</v>
      </c>
    </row>
    <row r="22" spans="1:12">
      <c r="A22" s="21" t="s">
        <v>2849</v>
      </c>
      <c r="B22" s="21" t="s">
        <v>2850</v>
      </c>
      <c r="C22" s="24">
        <v>45046</v>
      </c>
      <c r="D22" s="24">
        <v>45046</v>
      </c>
      <c r="E22" s="11">
        <v>2023.4</v>
      </c>
      <c r="F22" s="11" t="s">
        <v>2853</v>
      </c>
      <c r="G22" s="21">
        <v>2430</v>
      </c>
      <c r="H22" s="21" t="s">
        <v>2872</v>
      </c>
      <c r="I22" s="13">
        <v>0</v>
      </c>
      <c r="J22" s="13">
        <v>4690.49</v>
      </c>
      <c r="K22" s="21" t="s">
        <v>2852</v>
      </c>
      <c r="L22" s="21">
        <v>51082.67</v>
      </c>
    </row>
    <row r="23" spans="1:12">
      <c r="A23" s="21" t="s">
        <v>2849</v>
      </c>
      <c r="B23" s="21" t="s">
        <v>2850</v>
      </c>
      <c r="C23" s="24">
        <v>45077</v>
      </c>
      <c r="D23" s="24">
        <v>45077</v>
      </c>
      <c r="E23" s="11">
        <v>2023.5</v>
      </c>
      <c r="F23" s="11" t="s">
        <v>2853</v>
      </c>
      <c r="G23" s="21">
        <v>2752</v>
      </c>
      <c r="H23" s="21" t="s">
        <v>2873</v>
      </c>
      <c r="I23" s="13">
        <v>0</v>
      </c>
      <c r="J23" s="13">
        <v>-1443.4</v>
      </c>
      <c r="K23" s="21" t="s">
        <v>2852</v>
      </c>
      <c r="L23" s="21">
        <v>21891.02</v>
      </c>
    </row>
    <row r="24" spans="1:12">
      <c r="A24" s="21" t="s">
        <v>2849</v>
      </c>
      <c r="B24" s="21" t="s">
        <v>2850</v>
      </c>
      <c r="C24" s="24">
        <v>45107</v>
      </c>
      <c r="D24" s="24">
        <v>45107</v>
      </c>
      <c r="E24" s="11">
        <v>2023.6</v>
      </c>
      <c r="F24" s="11" t="s">
        <v>2853</v>
      </c>
      <c r="G24" s="21">
        <v>3457</v>
      </c>
      <c r="H24" s="21" t="s">
        <v>2861</v>
      </c>
      <c r="I24" s="13">
        <v>0</v>
      </c>
      <c r="J24" s="13">
        <v>-4479.8</v>
      </c>
      <c r="K24" s="21" t="s">
        <v>2852</v>
      </c>
      <c r="L24" s="21">
        <v>28914.58</v>
      </c>
    </row>
    <row r="25" spans="1:12">
      <c r="A25" s="21" t="s">
        <v>2849</v>
      </c>
      <c r="B25" s="21" t="s">
        <v>2850</v>
      </c>
      <c r="C25" s="24">
        <v>45138</v>
      </c>
      <c r="D25" s="24">
        <v>45138</v>
      </c>
      <c r="E25" s="11">
        <v>2023.7</v>
      </c>
      <c r="F25" s="11" t="s">
        <v>2853</v>
      </c>
      <c r="G25" s="21">
        <v>2884</v>
      </c>
      <c r="H25" s="21" t="s">
        <v>2864</v>
      </c>
      <c r="I25" s="13">
        <v>0</v>
      </c>
      <c r="J25" s="13">
        <v>3894.91</v>
      </c>
      <c r="K25" s="21" t="s">
        <v>2852</v>
      </c>
      <c r="L25" s="21">
        <v>27774.89</v>
      </c>
    </row>
    <row r="26" spans="1:12">
      <c r="A26" s="21" t="s">
        <v>2849</v>
      </c>
      <c r="B26" s="21" t="s">
        <v>2850</v>
      </c>
      <c r="C26" s="24">
        <v>45169</v>
      </c>
      <c r="D26" s="24">
        <v>45169</v>
      </c>
      <c r="E26" s="11">
        <v>2023.8</v>
      </c>
      <c r="F26" s="11" t="s">
        <v>2853</v>
      </c>
      <c r="G26" s="21">
        <v>3102</v>
      </c>
      <c r="H26" s="21" t="s">
        <v>2865</v>
      </c>
      <c r="I26" s="13">
        <v>0</v>
      </c>
      <c r="J26" s="13">
        <v>8452.64</v>
      </c>
      <c r="K26" s="21" t="s">
        <v>2852</v>
      </c>
      <c r="L26" s="21">
        <v>35952.89</v>
      </c>
    </row>
    <row r="27" spans="1:12">
      <c r="A27" s="21" t="s">
        <v>2849</v>
      </c>
      <c r="B27" s="21" t="s">
        <v>2850</v>
      </c>
      <c r="C27" s="24">
        <v>45199</v>
      </c>
      <c r="D27" s="24">
        <v>45199</v>
      </c>
      <c r="E27" s="11">
        <v>2023.9</v>
      </c>
      <c r="F27" s="11" t="s">
        <v>2853</v>
      </c>
      <c r="G27" s="21">
        <v>3460</v>
      </c>
      <c r="H27" s="21" t="s">
        <v>2866</v>
      </c>
      <c r="I27" s="13">
        <v>0</v>
      </c>
      <c r="J27" s="13">
        <v>117.74</v>
      </c>
      <c r="K27" s="21" t="s">
        <v>2857</v>
      </c>
      <c r="L27" s="21">
        <v>9685.21</v>
      </c>
    </row>
    <row r="28" spans="1:12">
      <c r="A28" s="21" t="s">
        <v>2849</v>
      </c>
      <c r="B28" s="21" t="s">
        <v>2850</v>
      </c>
      <c r="C28" s="24">
        <v>44957</v>
      </c>
      <c r="D28" s="24">
        <v>44957</v>
      </c>
      <c r="E28" s="11">
        <v>2023.1</v>
      </c>
      <c r="F28" s="11" t="s">
        <v>2853</v>
      </c>
      <c r="G28" s="21">
        <v>582</v>
      </c>
      <c r="H28" s="21" t="s">
        <v>2874</v>
      </c>
      <c r="I28" s="13">
        <v>0</v>
      </c>
      <c r="J28" s="13">
        <v>457674.73</v>
      </c>
      <c r="K28" s="21" t="s">
        <v>2852</v>
      </c>
      <c r="L28" s="21">
        <v>2242391.68</v>
      </c>
    </row>
    <row r="29" spans="1:12">
      <c r="A29" s="21" t="s">
        <v>2849</v>
      </c>
      <c r="B29" s="21" t="s">
        <v>2850</v>
      </c>
      <c r="C29" s="24">
        <v>44985</v>
      </c>
      <c r="D29" s="24">
        <v>44985</v>
      </c>
      <c r="E29" s="11">
        <v>2023.2</v>
      </c>
      <c r="F29" s="11" t="s">
        <v>2853</v>
      </c>
      <c r="G29" s="21">
        <v>498</v>
      </c>
      <c r="H29" s="21" t="s">
        <v>2875</v>
      </c>
      <c r="I29" s="13">
        <v>0</v>
      </c>
      <c r="J29" s="13">
        <v>746692.25</v>
      </c>
      <c r="K29" s="21" t="s">
        <v>2852</v>
      </c>
      <c r="L29" s="21">
        <v>2437490.22</v>
      </c>
    </row>
    <row r="30" spans="1:12">
      <c r="A30" s="21" t="s">
        <v>2849</v>
      </c>
      <c r="B30" s="21" t="s">
        <v>2850</v>
      </c>
      <c r="C30" s="24">
        <v>45016</v>
      </c>
      <c r="D30" s="24">
        <v>44986</v>
      </c>
      <c r="E30" s="11">
        <v>2023.3</v>
      </c>
      <c r="F30" s="11" t="s">
        <v>2853</v>
      </c>
      <c r="G30" s="21">
        <v>562</v>
      </c>
      <c r="H30" s="21" t="s">
        <v>2876</v>
      </c>
      <c r="I30" s="13">
        <v>0</v>
      </c>
      <c r="J30" s="13">
        <v>804187.74</v>
      </c>
      <c r="K30" s="21" t="s">
        <v>2852</v>
      </c>
      <c r="L30" s="21">
        <v>1851833.43</v>
      </c>
    </row>
    <row r="31" spans="1:12">
      <c r="A31" s="21" t="s">
        <v>2849</v>
      </c>
      <c r="B31" s="21" t="s">
        <v>2850</v>
      </c>
      <c r="C31" s="24">
        <v>45046</v>
      </c>
      <c r="D31" s="24">
        <v>45017</v>
      </c>
      <c r="E31" s="11">
        <v>2023.4</v>
      </c>
      <c r="F31" s="11" t="s">
        <v>2853</v>
      </c>
      <c r="G31" s="21">
        <v>492</v>
      </c>
      <c r="H31" s="21" t="s">
        <v>2876</v>
      </c>
      <c r="I31" s="13">
        <v>0</v>
      </c>
      <c r="J31" s="13">
        <v>638296.66</v>
      </c>
      <c r="K31" s="21" t="s">
        <v>2852</v>
      </c>
      <c r="L31" s="21">
        <v>2344454.67</v>
      </c>
    </row>
    <row r="32" spans="1:12">
      <c r="A32" s="21" t="s">
        <v>2849</v>
      </c>
      <c r="B32" s="21" t="s">
        <v>2850</v>
      </c>
      <c r="C32" s="24">
        <v>45077</v>
      </c>
      <c r="D32" s="24">
        <v>45047</v>
      </c>
      <c r="E32" s="11">
        <v>2023.5</v>
      </c>
      <c r="F32" s="11" t="s">
        <v>2853</v>
      </c>
      <c r="G32" s="21">
        <v>530</v>
      </c>
      <c r="H32" s="21" t="s">
        <v>2876</v>
      </c>
      <c r="I32" s="13">
        <v>0</v>
      </c>
      <c r="J32" s="13">
        <v>514397.51</v>
      </c>
      <c r="K32" s="21" t="s">
        <v>2852</v>
      </c>
      <c r="L32" s="21">
        <v>1666357.57</v>
      </c>
    </row>
    <row r="33" spans="1:12">
      <c r="A33" s="21" t="s">
        <v>2849</v>
      </c>
      <c r="B33" s="21" t="s">
        <v>2850</v>
      </c>
      <c r="C33" s="24">
        <v>45107</v>
      </c>
      <c r="D33" s="24">
        <v>45107</v>
      </c>
      <c r="E33" s="11">
        <v>2023.6</v>
      </c>
      <c r="F33" s="11" t="s">
        <v>2853</v>
      </c>
      <c r="G33" s="21">
        <v>614</v>
      </c>
      <c r="H33" s="21" t="s">
        <v>2861</v>
      </c>
      <c r="I33" s="13">
        <v>0</v>
      </c>
      <c r="J33" s="13">
        <v>297051.71</v>
      </c>
      <c r="K33" s="21" t="s">
        <v>2852</v>
      </c>
      <c r="L33" s="21">
        <v>1398254.04</v>
      </c>
    </row>
    <row r="34" spans="1:12">
      <c r="A34" s="21" t="s">
        <v>2849</v>
      </c>
      <c r="B34" s="21" t="s">
        <v>2850</v>
      </c>
      <c r="C34" s="24">
        <v>45138</v>
      </c>
      <c r="D34" s="24">
        <v>45138</v>
      </c>
      <c r="E34" s="11">
        <v>2023.7</v>
      </c>
      <c r="F34" s="11" t="s">
        <v>2853</v>
      </c>
      <c r="G34" s="21">
        <v>650</v>
      </c>
      <c r="H34" s="21" t="s">
        <v>2864</v>
      </c>
      <c r="I34" s="13">
        <v>0</v>
      </c>
      <c r="J34" s="13">
        <v>354718.61</v>
      </c>
      <c r="K34" s="21" t="s">
        <v>2852</v>
      </c>
      <c r="L34" s="21">
        <v>1291154.3</v>
      </c>
    </row>
    <row r="35" spans="1:12">
      <c r="A35" s="21" t="s">
        <v>2849</v>
      </c>
      <c r="B35" s="21" t="s">
        <v>2850</v>
      </c>
      <c r="C35" s="24">
        <v>45169</v>
      </c>
      <c r="D35" s="24">
        <v>45169</v>
      </c>
      <c r="E35" s="11">
        <v>2023.8</v>
      </c>
      <c r="F35" s="11" t="s">
        <v>2853</v>
      </c>
      <c r="G35" s="21">
        <v>660</v>
      </c>
      <c r="H35" s="21" t="s">
        <v>2865</v>
      </c>
      <c r="I35" s="13">
        <v>0</v>
      </c>
      <c r="J35" s="13">
        <v>428837.04</v>
      </c>
      <c r="K35" s="21" t="s">
        <v>2852</v>
      </c>
      <c r="L35" s="21">
        <v>1304887.96</v>
      </c>
    </row>
    <row r="36" spans="1:12">
      <c r="A36" s="21" t="s">
        <v>2849</v>
      </c>
      <c r="B36" s="21" t="s">
        <v>2850</v>
      </c>
      <c r="C36" s="24">
        <v>45199</v>
      </c>
      <c r="D36" s="24">
        <v>45199</v>
      </c>
      <c r="E36" s="11">
        <v>2023.9</v>
      </c>
      <c r="F36" s="11" t="s">
        <v>2853</v>
      </c>
      <c r="G36" s="21">
        <v>610</v>
      </c>
      <c r="H36" s="21" t="s">
        <v>2866</v>
      </c>
      <c r="I36" s="13">
        <v>0</v>
      </c>
      <c r="J36" s="13">
        <v>565310.66</v>
      </c>
      <c r="K36" s="21" t="s">
        <v>2852</v>
      </c>
      <c r="L36" s="21">
        <v>585819.78</v>
      </c>
    </row>
    <row r="37" spans="1:12">
      <c r="A37" s="21" t="s">
        <v>2849</v>
      </c>
      <c r="B37" s="21" t="s">
        <v>2850</v>
      </c>
      <c r="C37" s="24">
        <v>44957</v>
      </c>
      <c r="D37" s="24">
        <v>44957</v>
      </c>
      <c r="E37" s="11">
        <v>2023.1</v>
      </c>
      <c r="F37" s="11" t="s">
        <v>2853</v>
      </c>
      <c r="G37" s="21">
        <v>582</v>
      </c>
      <c r="H37" s="21" t="s">
        <v>2877</v>
      </c>
      <c r="I37" s="13">
        <v>0</v>
      </c>
      <c r="J37" s="13">
        <v>282264.51</v>
      </c>
      <c r="K37" s="21" t="s">
        <v>2852</v>
      </c>
      <c r="L37" s="21">
        <v>572293.57</v>
      </c>
    </row>
    <row r="38" spans="1:12">
      <c r="A38" s="21" t="s">
        <v>2849</v>
      </c>
      <c r="B38" s="21" t="s">
        <v>2850</v>
      </c>
      <c r="C38" s="24">
        <v>44985</v>
      </c>
      <c r="D38" s="24">
        <v>44985</v>
      </c>
      <c r="E38" s="11">
        <v>2023.2</v>
      </c>
      <c r="F38" s="11" t="s">
        <v>2853</v>
      </c>
      <c r="G38" s="21">
        <v>498</v>
      </c>
      <c r="H38" s="21" t="s">
        <v>2878</v>
      </c>
      <c r="I38" s="13">
        <v>0</v>
      </c>
      <c r="J38" s="13">
        <v>325600.66</v>
      </c>
      <c r="K38" s="21" t="s">
        <v>2852</v>
      </c>
      <c r="L38" s="21">
        <v>400740.26</v>
      </c>
    </row>
    <row r="39" spans="1:12">
      <c r="A39" s="21" t="s">
        <v>2849</v>
      </c>
      <c r="B39" s="21" t="s">
        <v>2850</v>
      </c>
      <c r="C39" s="24">
        <v>45016</v>
      </c>
      <c r="D39" s="24">
        <v>44986</v>
      </c>
      <c r="E39" s="11">
        <v>2023.3</v>
      </c>
      <c r="F39" s="11" t="s">
        <v>2853</v>
      </c>
      <c r="G39" s="21">
        <v>562</v>
      </c>
      <c r="H39" s="21" t="s">
        <v>2879</v>
      </c>
      <c r="I39" s="13">
        <v>0</v>
      </c>
      <c r="J39" s="13">
        <v>456830.95</v>
      </c>
      <c r="K39" s="21" t="s">
        <v>2852</v>
      </c>
      <c r="L39" s="21">
        <v>422464.47</v>
      </c>
    </row>
    <row r="40" spans="1:12">
      <c r="A40" s="21" t="s">
        <v>2849</v>
      </c>
      <c r="B40" s="21" t="s">
        <v>2850</v>
      </c>
      <c r="C40" s="24">
        <v>45046</v>
      </c>
      <c r="D40" s="24">
        <v>45017</v>
      </c>
      <c r="E40" s="11">
        <v>2023.4</v>
      </c>
      <c r="F40" s="11" t="s">
        <v>2853</v>
      </c>
      <c r="G40" s="21">
        <v>492</v>
      </c>
      <c r="H40" s="21" t="s">
        <v>2879</v>
      </c>
      <c r="I40" s="13">
        <v>0</v>
      </c>
      <c r="J40" s="13">
        <v>311215.77</v>
      </c>
      <c r="K40" s="21" t="s">
        <v>2852</v>
      </c>
      <c r="L40" s="21">
        <v>410906.45</v>
      </c>
    </row>
    <row r="41" spans="1:12">
      <c r="A41" s="21" t="s">
        <v>2849</v>
      </c>
      <c r="B41" s="21" t="s">
        <v>2850</v>
      </c>
      <c r="C41" s="24">
        <v>45077</v>
      </c>
      <c r="D41" s="24">
        <v>45047</v>
      </c>
      <c r="E41" s="11">
        <v>2023.5</v>
      </c>
      <c r="F41" s="11" t="s">
        <v>2853</v>
      </c>
      <c r="G41" s="21">
        <v>530</v>
      </c>
      <c r="H41" s="21" t="s">
        <v>2879</v>
      </c>
      <c r="I41" s="13">
        <v>0</v>
      </c>
      <c r="J41" s="13">
        <v>230228.04</v>
      </c>
      <c r="K41" s="21" t="s">
        <v>2852</v>
      </c>
      <c r="L41" s="21">
        <v>131849.93</v>
      </c>
    </row>
    <row r="42" spans="1:12">
      <c r="A42" s="21" t="s">
        <v>2849</v>
      </c>
      <c r="B42" s="21" t="s">
        <v>2850</v>
      </c>
      <c r="C42" s="24">
        <v>45107</v>
      </c>
      <c r="D42" s="24">
        <v>45107</v>
      </c>
      <c r="E42" s="11">
        <v>2023.6</v>
      </c>
      <c r="F42" s="11" t="s">
        <v>2853</v>
      </c>
      <c r="G42" s="21">
        <v>614</v>
      </c>
      <c r="H42" s="21" t="s">
        <v>2861</v>
      </c>
      <c r="I42" s="13">
        <v>0</v>
      </c>
      <c r="J42" s="13">
        <v>-430.75</v>
      </c>
      <c r="K42" s="21" t="s">
        <v>2852</v>
      </c>
      <c r="L42" s="21">
        <v>546848.37</v>
      </c>
    </row>
    <row r="43" spans="1:12">
      <c r="A43" s="21" t="s">
        <v>2849</v>
      </c>
      <c r="B43" s="21" t="s">
        <v>2850</v>
      </c>
      <c r="C43" s="24">
        <v>45107</v>
      </c>
      <c r="D43" s="24">
        <v>45107</v>
      </c>
      <c r="E43" s="11">
        <v>2023.6</v>
      </c>
      <c r="F43" s="11" t="s">
        <v>2853</v>
      </c>
      <c r="G43" s="21">
        <v>614</v>
      </c>
      <c r="H43" s="21" t="s">
        <v>2861</v>
      </c>
      <c r="I43" s="13">
        <v>0</v>
      </c>
      <c r="J43" s="13">
        <v>293316.56</v>
      </c>
      <c r="K43" s="21" t="s">
        <v>2852</v>
      </c>
      <c r="L43" s="21">
        <v>253531.81</v>
      </c>
    </row>
    <row r="44" spans="1:12">
      <c r="A44" s="21" t="s">
        <v>2849</v>
      </c>
      <c r="B44" s="21" t="s">
        <v>2850</v>
      </c>
      <c r="C44" s="24">
        <v>45138</v>
      </c>
      <c r="D44" s="24">
        <v>45138</v>
      </c>
      <c r="E44" s="11">
        <v>2023.7</v>
      </c>
      <c r="F44" s="11" t="s">
        <v>2853</v>
      </c>
      <c r="G44" s="21">
        <v>650</v>
      </c>
      <c r="H44" s="21" t="s">
        <v>2864</v>
      </c>
      <c r="I44" s="13">
        <v>0</v>
      </c>
      <c r="J44" s="13">
        <v>0.57</v>
      </c>
      <c r="K44" s="21" t="s">
        <v>2852</v>
      </c>
      <c r="L44" s="21">
        <v>582758.67</v>
      </c>
    </row>
    <row r="45" spans="1:12">
      <c r="A45" s="21" t="s">
        <v>2849</v>
      </c>
      <c r="B45" s="21" t="s">
        <v>2850</v>
      </c>
      <c r="C45" s="24">
        <v>45138</v>
      </c>
      <c r="D45" s="24">
        <v>45138</v>
      </c>
      <c r="E45" s="11">
        <v>2023.7</v>
      </c>
      <c r="F45" s="11" t="s">
        <v>2853</v>
      </c>
      <c r="G45" s="21">
        <v>650</v>
      </c>
      <c r="H45" s="21" t="s">
        <v>2864</v>
      </c>
      <c r="I45" s="13">
        <v>0</v>
      </c>
      <c r="J45" s="13">
        <v>412760.21</v>
      </c>
      <c r="K45" s="21" t="s">
        <v>2852</v>
      </c>
      <c r="L45" s="21">
        <v>169998.46</v>
      </c>
    </row>
    <row r="46" spans="1:12">
      <c r="A46" s="21" t="s">
        <v>2849</v>
      </c>
      <c r="B46" s="21" t="s">
        <v>2850</v>
      </c>
      <c r="C46" s="24">
        <v>45169</v>
      </c>
      <c r="D46" s="24">
        <v>45169</v>
      </c>
      <c r="E46" s="11">
        <v>2023.8</v>
      </c>
      <c r="F46" s="11" t="s">
        <v>2853</v>
      </c>
      <c r="G46" s="21">
        <v>660</v>
      </c>
      <c r="H46" s="21" t="s">
        <v>2865</v>
      </c>
      <c r="I46" s="13">
        <v>0</v>
      </c>
      <c r="J46" s="13">
        <v>630785.58</v>
      </c>
      <c r="K46" s="21" t="s">
        <v>2852</v>
      </c>
      <c r="L46" s="21">
        <v>455292.65</v>
      </c>
    </row>
    <row r="47" spans="1:12">
      <c r="A47" s="21" t="s">
        <v>2849</v>
      </c>
      <c r="B47" s="21" t="s">
        <v>2850</v>
      </c>
      <c r="C47" s="24">
        <v>45199</v>
      </c>
      <c r="D47" s="24">
        <v>45199</v>
      </c>
      <c r="E47" s="11">
        <v>2023.9</v>
      </c>
      <c r="F47" s="11" t="s">
        <v>2853</v>
      </c>
      <c r="G47" s="21">
        <v>610</v>
      </c>
      <c r="H47" s="21" t="s">
        <v>2866</v>
      </c>
      <c r="I47" s="13">
        <v>0</v>
      </c>
      <c r="J47" s="13">
        <v>644094.01</v>
      </c>
      <c r="K47" s="21" t="s">
        <v>2852</v>
      </c>
      <c r="L47" s="21">
        <v>1050768.73</v>
      </c>
    </row>
    <row r="48" spans="1:12">
      <c r="A48" s="21" t="s">
        <v>2849</v>
      </c>
      <c r="B48" s="21" t="s">
        <v>2850</v>
      </c>
      <c r="C48" s="24">
        <v>45230</v>
      </c>
      <c r="D48" s="24">
        <v>45230</v>
      </c>
      <c r="E48" s="11">
        <v>2023.1</v>
      </c>
      <c r="F48" s="11" t="s">
        <v>2853</v>
      </c>
      <c r="G48" s="21">
        <v>2694</v>
      </c>
      <c r="H48" s="21" t="s">
        <v>2880</v>
      </c>
      <c r="I48" s="13">
        <v>0</v>
      </c>
      <c r="J48" s="13">
        <v>3175.47</v>
      </c>
      <c r="K48" s="21" t="s">
        <v>2857</v>
      </c>
      <c r="L48" s="25">
        <v>12314.98</v>
      </c>
    </row>
    <row r="49" spans="1:12">
      <c r="A49" s="21" t="s">
        <v>2849</v>
      </c>
      <c r="B49" s="21" t="s">
        <v>2850</v>
      </c>
      <c r="C49" s="24">
        <v>45260</v>
      </c>
      <c r="D49" s="24">
        <v>45260</v>
      </c>
      <c r="E49" s="11">
        <v>2023.11</v>
      </c>
      <c r="F49" s="11" t="s">
        <v>2853</v>
      </c>
      <c r="G49" s="21">
        <v>2838</v>
      </c>
      <c r="H49" s="21" t="s">
        <v>2881</v>
      </c>
      <c r="I49" s="13">
        <v>0</v>
      </c>
      <c r="J49" s="13">
        <v>375.95</v>
      </c>
      <c r="K49" s="21" t="s">
        <v>2857</v>
      </c>
      <c r="L49" s="25">
        <v>13246.65</v>
      </c>
    </row>
    <row r="50" spans="1:12">
      <c r="A50" s="21" t="s">
        <v>2849</v>
      </c>
      <c r="B50" s="21" t="s">
        <v>2850</v>
      </c>
      <c r="C50" s="24">
        <v>45260</v>
      </c>
      <c r="D50" s="24">
        <v>45260</v>
      </c>
      <c r="E50" s="11">
        <v>2023.11</v>
      </c>
      <c r="F50" s="11" t="s">
        <v>2853</v>
      </c>
      <c r="G50" s="21">
        <v>2838</v>
      </c>
      <c r="H50" s="21" t="s">
        <v>2881</v>
      </c>
      <c r="I50" s="13">
        <v>0</v>
      </c>
      <c r="J50" s="13">
        <v>-53144.79</v>
      </c>
      <c r="K50" s="21" t="s">
        <v>2852</v>
      </c>
      <c r="L50" s="25">
        <v>39898.14</v>
      </c>
    </row>
    <row r="51" spans="1:12">
      <c r="A51" s="21" t="s">
        <v>2849</v>
      </c>
      <c r="B51" s="21" t="s">
        <v>2850</v>
      </c>
      <c r="C51" s="24">
        <v>45230</v>
      </c>
      <c r="D51" s="24">
        <v>45230</v>
      </c>
      <c r="E51" s="11">
        <v>2023.1</v>
      </c>
      <c r="F51" s="11" t="s">
        <v>2853</v>
      </c>
      <c r="G51" s="21">
        <v>2694</v>
      </c>
      <c r="H51" s="21" t="s">
        <v>2880</v>
      </c>
      <c r="I51" s="13">
        <v>0</v>
      </c>
      <c r="J51" s="13">
        <v>-6674.01</v>
      </c>
      <c r="K51" s="21" t="s">
        <v>2852</v>
      </c>
      <c r="L51" s="25">
        <v>16194.84</v>
      </c>
    </row>
    <row r="52" spans="1:12">
      <c r="A52" s="21" t="s">
        <v>2849</v>
      </c>
      <c r="B52" s="21" t="s">
        <v>2850</v>
      </c>
      <c r="C52" s="24">
        <v>45260</v>
      </c>
      <c r="D52" s="24">
        <v>45260</v>
      </c>
      <c r="E52" s="11">
        <v>2023.11</v>
      </c>
      <c r="F52" s="11" t="s">
        <v>2853</v>
      </c>
      <c r="G52" s="21">
        <v>2838</v>
      </c>
      <c r="H52" s="21" t="s">
        <v>2881</v>
      </c>
      <c r="I52" s="13">
        <v>0</v>
      </c>
      <c r="J52" s="13">
        <v>-6364.43</v>
      </c>
      <c r="K52" s="21" t="s">
        <v>2852</v>
      </c>
      <c r="L52" s="25">
        <v>9520.82</v>
      </c>
    </row>
    <row r="53" spans="1:12">
      <c r="A53" s="21" t="s">
        <v>2849</v>
      </c>
      <c r="B53" s="21" t="s">
        <v>2850</v>
      </c>
      <c r="C53" s="24">
        <v>45230</v>
      </c>
      <c r="D53" s="24">
        <v>45230</v>
      </c>
      <c r="E53" s="11">
        <v>2023.1</v>
      </c>
      <c r="F53" s="11" t="s">
        <v>2853</v>
      </c>
      <c r="G53" s="21">
        <v>542</v>
      </c>
      <c r="H53" s="21" t="s">
        <v>2880</v>
      </c>
      <c r="I53" s="13">
        <v>0</v>
      </c>
      <c r="J53" s="13">
        <v>567562.55</v>
      </c>
      <c r="K53" s="21" t="s">
        <v>2852</v>
      </c>
      <c r="L53" s="25">
        <v>166492.02</v>
      </c>
    </row>
    <row r="54" spans="1:12">
      <c r="A54" s="21" t="s">
        <v>2849</v>
      </c>
      <c r="B54" s="21" t="s">
        <v>2850</v>
      </c>
      <c r="C54" s="24">
        <v>45260</v>
      </c>
      <c r="D54" s="24">
        <v>45260</v>
      </c>
      <c r="E54" s="11">
        <v>2023.11</v>
      </c>
      <c r="F54" s="11" t="s">
        <v>2853</v>
      </c>
      <c r="G54" s="21">
        <v>630</v>
      </c>
      <c r="H54" s="21" t="s">
        <v>2881</v>
      </c>
      <c r="I54" s="13">
        <v>0</v>
      </c>
      <c r="J54" s="13">
        <v>385117.69</v>
      </c>
      <c r="K54" s="21" t="s">
        <v>2852</v>
      </c>
      <c r="L54" s="25">
        <v>509988.92</v>
      </c>
    </row>
    <row r="55" spans="1:12">
      <c r="A55" s="21" t="s">
        <v>2849</v>
      </c>
      <c r="B55" s="21" t="s">
        <v>2850</v>
      </c>
      <c r="C55" s="24">
        <v>45230</v>
      </c>
      <c r="D55" s="24">
        <v>45230</v>
      </c>
      <c r="E55" s="11">
        <v>2023.1</v>
      </c>
      <c r="F55" s="11" t="s">
        <v>2853</v>
      </c>
      <c r="G55" s="21">
        <v>542</v>
      </c>
      <c r="H55" s="21" t="s">
        <v>2880</v>
      </c>
      <c r="I55" s="13">
        <v>0</v>
      </c>
      <c r="J55" s="13">
        <v>480468.67</v>
      </c>
      <c r="K55" s="21" t="s">
        <v>2852</v>
      </c>
      <c r="L55" s="25">
        <v>657060.21</v>
      </c>
    </row>
    <row r="56" spans="1:12">
      <c r="A56" s="21" t="s">
        <v>2849</v>
      </c>
      <c r="B56" s="21" t="s">
        <v>2850</v>
      </c>
      <c r="C56" s="24">
        <v>45260</v>
      </c>
      <c r="D56" s="24">
        <v>45260</v>
      </c>
      <c r="E56" s="11">
        <v>2023.11</v>
      </c>
      <c r="F56" s="11" t="s">
        <v>2853</v>
      </c>
      <c r="G56" s="21">
        <v>630</v>
      </c>
      <c r="H56" s="21" t="s">
        <v>2881</v>
      </c>
      <c r="I56" s="13">
        <v>0</v>
      </c>
      <c r="J56" s="13">
        <v>575759.27</v>
      </c>
      <c r="K56" s="21" t="s">
        <v>2852</v>
      </c>
      <c r="L56" s="25">
        <v>845126.38</v>
      </c>
    </row>
    <row r="57" spans="1:12">
      <c r="A57" s="21" t="s">
        <v>2849</v>
      </c>
      <c r="B57" s="21" t="s">
        <v>2850</v>
      </c>
      <c r="C57" s="24">
        <v>45291</v>
      </c>
      <c r="D57" s="24">
        <v>45291</v>
      </c>
      <c r="E57" s="11">
        <v>2023.12</v>
      </c>
      <c r="F57" s="11" t="s">
        <v>2853</v>
      </c>
      <c r="G57" s="21">
        <v>2897</v>
      </c>
      <c r="H57" s="21" t="s">
        <v>2882</v>
      </c>
      <c r="I57" s="13">
        <v>0</v>
      </c>
      <c r="J57" s="13">
        <v>38.36</v>
      </c>
      <c r="K57" s="21" t="s">
        <v>2852</v>
      </c>
      <c r="L57" s="25">
        <v>6751.14</v>
      </c>
    </row>
    <row r="58" spans="1:12">
      <c r="A58" s="21" t="s">
        <v>2849</v>
      </c>
      <c r="B58" s="21" t="s">
        <v>2850</v>
      </c>
      <c r="C58" s="24">
        <v>45291</v>
      </c>
      <c r="D58" s="24">
        <v>45291</v>
      </c>
      <c r="E58" s="11">
        <v>2023.12</v>
      </c>
      <c r="F58" s="11" t="s">
        <v>2853</v>
      </c>
      <c r="G58" s="21">
        <v>2999</v>
      </c>
      <c r="H58" s="21" t="s">
        <v>2883</v>
      </c>
      <c r="I58" s="13">
        <v>0</v>
      </c>
      <c r="J58" s="13">
        <v>12999.78</v>
      </c>
      <c r="K58" s="21" t="s">
        <v>2857</v>
      </c>
      <c r="L58" s="25">
        <v>6631</v>
      </c>
    </row>
    <row r="59" spans="1:12">
      <c r="A59" s="21" t="s">
        <v>2849</v>
      </c>
      <c r="B59" s="21" t="s">
        <v>2850</v>
      </c>
      <c r="C59" s="24">
        <v>45291</v>
      </c>
      <c r="D59" s="24">
        <v>45291</v>
      </c>
      <c r="E59" s="11">
        <v>2023.12</v>
      </c>
      <c r="F59" s="11" t="s">
        <v>2853</v>
      </c>
      <c r="G59" s="21">
        <v>2897</v>
      </c>
      <c r="H59" s="21" t="s">
        <v>2882</v>
      </c>
      <c r="I59" s="13">
        <v>0</v>
      </c>
      <c r="J59" s="13">
        <v>3440.21</v>
      </c>
      <c r="K59" s="21" t="s">
        <v>2852</v>
      </c>
      <c r="L59" s="25">
        <v>41068.56</v>
      </c>
    </row>
    <row r="60" spans="1:12">
      <c r="A60" s="21" t="s">
        <v>2849</v>
      </c>
      <c r="B60" s="21" t="s">
        <v>2850</v>
      </c>
      <c r="C60" s="24">
        <v>45291</v>
      </c>
      <c r="D60" s="24">
        <v>45291</v>
      </c>
      <c r="E60" s="11">
        <v>2023.12</v>
      </c>
      <c r="F60" s="11" t="s">
        <v>2853</v>
      </c>
      <c r="G60" s="21">
        <v>728</v>
      </c>
      <c r="H60" s="21" t="s">
        <v>2882</v>
      </c>
      <c r="I60" s="13">
        <v>0</v>
      </c>
      <c r="J60" s="13">
        <v>749335.54</v>
      </c>
      <c r="K60" s="21" t="s">
        <v>2852</v>
      </c>
      <c r="L60" s="25">
        <v>308569.47</v>
      </c>
    </row>
    <row r="61" spans="1:12">
      <c r="A61" s="21" t="s">
        <v>2849</v>
      </c>
      <c r="B61" s="21" t="s">
        <v>2850</v>
      </c>
      <c r="C61" s="24">
        <v>45291</v>
      </c>
      <c r="D61" s="24">
        <v>45291</v>
      </c>
      <c r="E61" s="11">
        <v>2023.12</v>
      </c>
      <c r="F61" s="11" t="s">
        <v>2853</v>
      </c>
      <c r="G61" s="21">
        <v>728</v>
      </c>
      <c r="H61" s="21" t="s">
        <v>2882</v>
      </c>
      <c r="I61" s="13">
        <v>0</v>
      </c>
      <c r="J61" s="13">
        <v>693800.63</v>
      </c>
      <c r="K61" s="21" t="s">
        <v>2852</v>
      </c>
      <c r="L61" s="25">
        <v>94057.79</v>
      </c>
    </row>
    <row r="62" spans="1:12">
      <c r="A62" s="21" t="s">
        <v>2849</v>
      </c>
      <c r="B62" s="21" t="s">
        <v>2850</v>
      </c>
      <c r="C62" s="24">
        <v>45291</v>
      </c>
      <c r="D62" s="24">
        <v>45291</v>
      </c>
      <c r="E62" s="11">
        <v>2023.12</v>
      </c>
      <c r="F62" s="11" t="s">
        <v>2853</v>
      </c>
      <c r="G62" s="21">
        <v>728</v>
      </c>
      <c r="H62" s="21" t="s">
        <v>2882</v>
      </c>
      <c r="I62" s="13">
        <v>0</v>
      </c>
      <c r="J62" s="13">
        <v>65094.34</v>
      </c>
      <c r="K62" s="21" t="s">
        <v>2884</v>
      </c>
      <c r="L62" s="21">
        <v>0</v>
      </c>
    </row>
    <row r="65" spans="10:10">
      <c r="J65" s="13">
        <f>SUM(J1:J64)</f>
        <v>11886651.66</v>
      </c>
    </row>
  </sheetData>
  <autoFilter xmlns:etc="http://www.wps.cn/officeDocument/2017/etCustomData" ref="A1:L62" etc:filterBottomFollowUsedRange="0"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93"/>
  <sheetViews>
    <sheetView topLeftCell="N1" workbookViewId="0">
      <pane ySplit="1" topLeftCell="A92" activePane="bottomLeft" state="frozen"/>
      <selection/>
      <selection pane="bottomLeft" activeCell="D64" sqref="D64"/>
    </sheetView>
  </sheetViews>
  <sheetFormatPr defaultColWidth="9" defaultRowHeight="13.5"/>
  <cols>
    <col min="1" max="1" width="9" style="1"/>
    <col min="2" max="2" width="7.63333333333333" style="1" customWidth="1"/>
    <col min="3" max="3" width="15.8833333333333" style="1" customWidth="1"/>
    <col min="4" max="4" width="13.3833333333333" style="2" customWidth="1"/>
    <col min="5" max="5" width="12.2583333333333" style="2" customWidth="1"/>
    <col min="6" max="6" width="13.1333333333333" style="2" customWidth="1"/>
    <col min="7" max="7" width="11.8833333333333" style="2" customWidth="1"/>
    <col min="8" max="8" width="17.4416666666667" style="2" customWidth="1"/>
    <col min="9" max="9" width="12.6333333333333"/>
    <col min="10" max="10" width="7.38333333333333" style="3"/>
    <col min="11" max="11" width="21.2583333333333" style="3"/>
    <col min="12" max="12" width="18.7583333333333" style="4" customWidth="1"/>
    <col min="13" max="13" width="20.3833333333333" style="4"/>
    <col min="14" max="14" width="18.8833333333333" style="4"/>
    <col min="15" max="16" width="17.8833333333333" style="4"/>
    <col min="17" max="17" width="15.5" style="4" customWidth="1"/>
    <col min="18" max="18" width="11.3833333333333" style="4" customWidth="1"/>
    <col min="19" max="19" width="16" style="4"/>
    <col min="20" max="20" width="15" style="3"/>
    <col min="21" max="21" width="16" style="3"/>
    <col min="22" max="22" width="15" style="3"/>
    <col min="23" max="23" width="15" style="4"/>
    <col min="24" max="24" width="13.8833333333333" style="3" customWidth="1"/>
    <col min="25" max="25" width="11.1333333333333" style="4"/>
    <col min="26" max="28" width="11.1333333333333" style="6"/>
  </cols>
  <sheetData>
    <row r="1" spans="1:24">
      <c r="A1" s="7" t="s">
        <v>2885</v>
      </c>
      <c r="B1" s="7" t="s">
        <v>84</v>
      </c>
      <c r="C1" s="7" t="s">
        <v>2886</v>
      </c>
      <c r="D1" s="8" t="s">
        <v>12</v>
      </c>
      <c r="E1" s="8" t="s">
        <v>13</v>
      </c>
      <c r="F1" s="8" t="s">
        <v>14</v>
      </c>
      <c r="G1" s="8" t="s">
        <v>20</v>
      </c>
      <c r="H1" s="8" t="s">
        <v>15</v>
      </c>
      <c r="J1" s="3" t="s">
        <v>84</v>
      </c>
      <c r="K1" s="3" t="s">
        <v>2886</v>
      </c>
      <c r="L1" s="4" t="s">
        <v>2887</v>
      </c>
      <c r="M1" s="4" t="s">
        <v>2888</v>
      </c>
      <c r="N1" s="4" t="s">
        <v>2889</v>
      </c>
      <c r="O1" s="4" t="s">
        <v>2890</v>
      </c>
      <c r="P1" s="4" t="s">
        <v>2891</v>
      </c>
      <c r="X1" s="3" t="s">
        <v>304</v>
      </c>
    </row>
    <row r="2" spans="1:28">
      <c r="A2" s="1" t="s">
        <v>369</v>
      </c>
      <c r="B2" s="1" t="s">
        <v>148</v>
      </c>
      <c r="C2" s="1" t="s">
        <v>2892</v>
      </c>
      <c r="D2" s="2">
        <v>187429414.76</v>
      </c>
      <c r="E2" s="2">
        <v>533610426.269998</v>
      </c>
      <c r="F2" s="2">
        <v>54033466.6000001</v>
      </c>
      <c r="G2" s="2">
        <v>2509839.67000001</v>
      </c>
      <c r="H2" s="2">
        <f t="shared" ref="H2:H65" si="0">SUM(D2:G2)</f>
        <v>777583147.299998</v>
      </c>
      <c r="J2" s="3" t="s">
        <v>148</v>
      </c>
      <c r="L2" s="4">
        <v>2697547465.865</v>
      </c>
      <c r="M2" s="4">
        <v>846767983.689</v>
      </c>
      <c r="N2" s="4">
        <v>1440726411.45</v>
      </c>
      <c r="O2" s="4">
        <v>347934210.7418</v>
      </c>
      <c r="P2" s="4">
        <v>62118859.9842</v>
      </c>
      <c r="Q2" s="4">
        <f>(L8-L7)+(L5-L6-L3+L4+L9-L10+L11-L12)*1.06</f>
        <v>30055531.818</v>
      </c>
      <c r="S2" s="4" t="s">
        <v>12</v>
      </c>
      <c r="T2" s="3" t="s">
        <v>13</v>
      </c>
      <c r="U2" s="3" t="s">
        <v>14</v>
      </c>
      <c r="V2" s="3" t="s">
        <v>20</v>
      </c>
      <c r="Y2" s="4" t="s">
        <v>12</v>
      </c>
      <c r="Z2" s="6" t="s">
        <v>13</v>
      </c>
      <c r="AA2" s="6" t="s">
        <v>14</v>
      </c>
      <c r="AB2" s="4" t="s">
        <v>20</v>
      </c>
    </row>
    <row r="3" spans="1:28">
      <c r="A3" s="1" t="s">
        <v>369</v>
      </c>
      <c r="B3" s="1" t="s">
        <v>149</v>
      </c>
      <c r="C3" s="1" t="s">
        <v>2892</v>
      </c>
      <c r="D3" s="2">
        <v>157125703.94</v>
      </c>
      <c r="E3" s="2">
        <v>666984893.580001</v>
      </c>
      <c r="F3" s="2">
        <v>85540308.7799996</v>
      </c>
      <c r="G3" s="2">
        <v>5663419.53</v>
      </c>
      <c r="H3" s="2">
        <f t="shared" si="0"/>
        <v>915314325.830001</v>
      </c>
      <c r="K3" s="3" t="s">
        <v>2893</v>
      </c>
      <c r="L3" s="4">
        <v>104706232.98</v>
      </c>
      <c r="M3" s="4">
        <v>13937563.8</v>
      </c>
      <c r="N3" s="4">
        <v>11829437.31</v>
      </c>
      <c r="O3" s="4">
        <v>68545076.2</v>
      </c>
      <c r="P3" s="4">
        <v>10394155.67</v>
      </c>
      <c r="Q3" s="4">
        <f>Q2-W5</f>
        <v>1.13621354103088e-6</v>
      </c>
      <c r="R3" s="4" t="s">
        <v>2894</v>
      </c>
      <c r="S3" s="4">
        <f>(M8-M7)+(M5-M6-M3+M4+M11-M12)*1.06</f>
        <v>15487370.251</v>
      </c>
      <c r="T3" s="4">
        <f>(N8-N7)+(N5-N6-N3+N4+N11-N12)*1.06</f>
        <v>2595422.92419896</v>
      </c>
      <c r="U3" s="4">
        <f>(O8-O7)+(O5-O6-O3+O4+O11-O12)*1.06</f>
        <v>9073414.31659989</v>
      </c>
      <c r="V3" s="4">
        <f>(P8-P7)+(P5-P6-P3+P4+P11-P12)*1.06</f>
        <v>546591.913399997</v>
      </c>
      <c r="X3" s="4" t="s">
        <v>2894</v>
      </c>
      <c r="Y3" s="4">
        <f>S3/10000</f>
        <v>1548.7370251</v>
      </c>
      <c r="Z3" s="4">
        <f>T3/10000</f>
        <v>259.542292419896</v>
      </c>
      <c r="AA3" s="4">
        <f>U3/10000</f>
        <v>907.341431659989</v>
      </c>
      <c r="AB3" s="4">
        <f>V3/10000</f>
        <v>54.6591913399997</v>
      </c>
    </row>
    <row r="4" spans="1:28">
      <c r="A4" s="1" t="s">
        <v>369</v>
      </c>
      <c r="B4" s="1" t="s">
        <v>150</v>
      </c>
      <c r="C4" s="1" t="s">
        <v>2892</v>
      </c>
      <c r="D4" s="2">
        <v>113254170.87</v>
      </c>
      <c r="E4" s="2">
        <v>615193802.67</v>
      </c>
      <c r="F4" s="2">
        <v>112676909.08</v>
      </c>
      <c r="G4" s="2">
        <v>8896127.58999999</v>
      </c>
      <c r="H4" s="2">
        <f t="shared" si="0"/>
        <v>850021010.21</v>
      </c>
      <c r="K4" s="3" t="s">
        <v>2895</v>
      </c>
      <c r="L4" s="4">
        <v>13863225.78</v>
      </c>
      <c r="M4" s="4">
        <v>2443.02</v>
      </c>
      <c r="N4" s="4">
        <v>153638.86</v>
      </c>
      <c r="O4" s="4">
        <v>13657749.85</v>
      </c>
      <c r="P4" s="4">
        <v>49394.05</v>
      </c>
      <c r="R4" s="4" t="s">
        <v>583</v>
      </c>
      <c r="S4" s="4">
        <f>(M9-M10)*1.06</f>
        <v>0</v>
      </c>
      <c r="T4" s="4">
        <f>(N9-N10)*1.06</f>
        <v>0</v>
      </c>
      <c r="U4" s="4">
        <f>(O9-O10)*1.06</f>
        <v>2352732.4128</v>
      </c>
      <c r="V4" s="4">
        <f>(P9-P10)*1.06</f>
        <v>0</v>
      </c>
      <c r="X4" s="4" t="s">
        <v>583</v>
      </c>
      <c r="Y4" s="4">
        <f>S4/10000</f>
        <v>0</v>
      </c>
      <c r="Z4" s="4">
        <f>T4/10000</f>
        <v>0</v>
      </c>
      <c r="AA4" s="4">
        <f>U4/10000</f>
        <v>235.27324128</v>
      </c>
      <c r="AB4" s="4">
        <f>V4/10000</f>
        <v>0</v>
      </c>
    </row>
    <row r="5" spans="1:28">
      <c r="A5" s="1" t="s">
        <v>369</v>
      </c>
      <c r="B5" s="1" t="s">
        <v>151</v>
      </c>
      <c r="C5" s="1" t="s">
        <v>2892</v>
      </c>
      <c r="D5" s="2">
        <v>82022638.3799998</v>
      </c>
      <c r="E5" s="2">
        <v>611000255.89</v>
      </c>
      <c r="F5" s="2">
        <v>116551278.98</v>
      </c>
      <c r="G5" s="2">
        <v>9741044.67999998</v>
      </c>
      <c r="H5" s="2">
        <f t="shared" si="0"/>
        <v>819315217.93</v>
      </c>
      <c r="K5" s="3" t="s">
        <v>2896</v>
      </c>
      <c r="L5" s="4">
        <v>107148194.51</v>
      </c>
      <c r="M5" s="4">
        <v>14447260.92</v>
      </c>
      <c r="N5" s="4">
        <v>11771325.7</v>
      </c>
      <c r="O5" s="4">
        <v>70443281.63</v>
      </c>
      <c r="P5" s="4">
        <v>10486326.26</v>
      </c>
      <c r="R5" s="4" t="s">
        <v>2897</v>
      </c>
      <c r="T5" s="4"/>
      <c r="U5" s="4"/>
      <c r="V5" s="4"/>
      <c r="W5" s="4">
        <f>SUM(S3:V5)</f>
        <v>30055531.8179989</v>
      </c>
      <c r="X5" s="4" t="s">
        <v>2897</v>
      </c>
      <c r="Y5" s="4">
        <f>S5/10000</f>
        <v>0</v>
      </c>
      <c r="Z5" s="4">
        <f>T5/10000</f>
        <v>0</v>
      </c>
      <c r="AA5" s="4">
        <f>U5/10000</f>
        <v>0</v>
      </c>
      <c r="AB5" s="4">
        <f>V5/10000</f>
        <v>0</v>
      </c>
    </row>
    <row r="6" spans="1:16">
      <c r="A6" s="1" t="s">
        <v>369</v>
      </c>
      <c r="B6" s="1" t="s">
        <v>152</v>
      </c>
      <c r="C6" s="1" t="s">
        <v>2892</v>
      </c>
      <c r="D6" s="2">
        <v>107503941.53</v>
      </c>
      <c r="E6" s="2">
        <v>661515108.259998</v>
      </c>
      <c r="F6" s="2">
        <v>120904063.23</v>
      </c>
      <c r="G6" s="2">
        <v>10818533.89</v>
      </c>
      <c r="H6" s="2">
        <f t="shared" si="0"/>
        <v>900741646.909998</v>
      </c>
      <c r="K6" s="3" t="s">
        <v>2898</v>
      </c>
      <c r="L6" s="4">
        <v>13909190</v>
      </c>
      <c r="M6" s="4">
        <v>2443.02</v>
      </c>
      <c r="N6" s="4">
        <v>199603.08</v>
      </c>
      <c r="O6" s="4">
        <v>13657749.85</v>
      </c>
      <c r="P6" s="4">
        <v>49394.05</v>
      </c>
    </row>
    <row r="7" spans="1:16">
      <c r="A7" s="1" t="s">
        <v>369</v>
      </c>
      <c r="B7" s="1" t="s">
        <v>153</v>
      </c>
      <c r="C7" s="1" t="s">
        <v>2892</v>
      </c>
      <c r="D7" s="2">
        <v>92902926.07</v>
      </c>
      <c r="E7" s="2">
        <v>761208210.74</v>
      </c>
      <c r="F7" s="2">
        <v>177436920.12</v>
      </c>
      <c r="G7" s="2">
        <v>44034641.6900001</v>
      </c>
      <c r="H7" s="2">
        <f t="shared" si="0"/>
        <v>1075582698.62</v>
      </c>
      <c r="K7" s="3" t="s">
        <v>2899</v>
      </c>
      <c r="L7" s="4">
        <v>1215886543.0292</v>
      </c>
      <c r="M7" s="4">
        <v>402111877.18</v>
      </c>
      <c r="N7" s="4">
        <v>707052411.129999</v>
      </c>
      <c r="O7" s="4">
        <v>86364593.9650002</v>
      </c>
      <c r="P7" s="4">
        <v>20357660.7542</v>
      </c>
    </row>
    <row r="8" spans="1:16">
      <c r="A8" s="1" t="s">
        <v>369</v>
      </c>
      <c r="B8" s="1" t="s">
        <v>154</v>
      </c>
      <c r="C8" s="1" t="s">
        <v>2892</v>
      </c>
      <c r="D8" s="2">
        <v>108033681.1</v>
      </c>
      <c r="E8" s="2">
        <v>615241295.020003</v>
      </c>
      <c r="F8" s="2">
        <v>162978588.76</v>
      </c>
      <c r="G8" s="2">
        <v>18440306.72</v>
      </c>
      <c r="H8" s="2">
        <f t="shared" si="0"/>
        <v>904693871.600003</v>
      </c>
      <c r="K8" s="3" t="s">
        <v>2892</v>
      </c>
      <c r="L8" s="4">
        <v>1219230110.6858</v>
      </c>
      <c r="M8" s="4">
        <v>403056850.169</v>
      </c>
      <c r="N8" s="4">
        <v>709084010.969998</v>
      </c>
      <c r="O8" s="4">
        <v>86717697.7168001</v>
      </c>
      <c r="P8" s="4">
        <v>20371551.83</v>
      </c>
    </row>
    <row r="9" spans="1:16">
      <c r="A9" s="1" t="s">
        <v>369</v>
      </c>
      <c r="B9" s="1" t="s">
        <v>155</v>
      </c>
      <c r="C9" s="1" t="s">
        <v>2892</v>
      </c>
      <c r="D9" s="2">
        <v>111255797.63</v>
      </c>
      <c r="E9" s="2">
        <v>569915062.779998</v>
      </c>
      <c r="F9" s="2">
        <v>169199209.23</v>
      </c>
      <c r="G9" s="2">
        <v>15416182.23</v>
      </c>
      <c r="H9" s="2">
        <f t="shared" si="0"/>
        <v>865786251.869998</v>
      </c>
      <c r="K9" s="3" t="s">
        <v>2900</v>
      </c>
      <c r="L9" s="4">
        <v>2219558.88</v>
      </c>
      <c r="M9" s="4">
        <v>0</v>
      </c>
      <c r="N9" s="4">
        <v>0</v>
      </c>
      <c r="O9" s="4">
        <v>2219558.88</v>
      </c>
      <c r="P9" s="4">
        <v>0</v>
      </c>
    </row>
    <row r="10" spans="1:12">
      <c r="A10" s="1" t="s">
        <v>369</v>
      </c>
      <c r="B10" s="1" t="s">
        <v>156</v>
      </c>
      <c r="C10" s="1" t="s">
        <v>2892</v>
      </c>
      <c r="D10" s="2">
        <v>69931879.84</v>
      </c>
      <c r="E10" s="2">
        <v>670717491.250001</v>
      </c>
      <c r="F10" s="2">
        <v>153787589.56</v>
      </c>
      <c r="G10" s="2">
        <v>22599479.65</v>
      </c>
      <c r="H10" s="2">
        <f t="shared" si="0"/>
        <v>917036440.300001</v>
      </c>
      <c r="K10" s="3" t="s">
        <v>2901</v>
      </c>
      <c r="L10" s="4">
        <v>0</v>
      </c>
    </row>
    <row r="11" spans="1:16">
      <c r="A11" s="1" t="s">
        <v>369</v>
      </c>
      <c r="B11" s="1" t="s">
        <v>157</v>
      </c>
      <c r="C11" s="1" t="s">
        <v>2892</v>
      </c>
      <c r="D11" s="2">
        <v>64669929.5499999</v>
      </c>
      <c r="E11" s="2">
        <v>798162167.74</v>
      </c>
      <c r="F11" s="2">
        <v>140239931.45</v>
      </c>
      <c r="G11" s="2">
        <v>20460758.01</v>
      </c>
      <c r="H11" s="2">
        <f t="shared" si="0"/>
        <v>1023532786.75</v>
      </c>
      <c r="K11" s="3" t="s">
        <v>2902</v>
      </c>
      <c r="L11" s="4">
        <v>20584410</v>
      </c>
      <c r="M11" s="4">
        <v>13209545.58</v>
      </c>
      <c r="N11" s="4">
        <v>635984.4</v>
      </c>
      <c r="O11" s="4">
        <v>6328502.65</v>
      </c>
      <c r="P11" s="4">
        <v>410377.37</v>
      </c>
    </row>
    <row r="12" spans="1:12">
      <c r="A12" s="1" t="s">
        <v>369</v>
      </c>
      <c r="B12" s="1" t="s">
        <v>158</v>
      </c>
      <c r="C12" s="1" t="s">
        <v>2892</v>
      </c>
      <c r="D12" s="2">
        <v>65763024.83</v>
      </c>
      <c r="E12" s="2">
        <v>788119169.840005</v>
      </c>
      <c r="F12" s="2">
        <v>195257845.6</v>
      </c>
      <c r="G12" s="2">
        <v>49404781.49</v>
      </c>
      <c r="H12" s="2">
        <f t="shared" si="0"/>
        <v>1098544821.76</v>
      </c>
      <c r="K12" s="3" t="s">
        <v>2903</v>
      </c>
      <c r="L12" s="4">
        <v>0</v>
      </c>
    </row>
    <row r="13" spans="1:28">
      <c r="A13" s="1" t="s">
        <v>369</v>
      </c>
      <c r="B13" s="1" t="s">
        <v>159</v>
      </c>
      <c r="C13" s="1" t="s">
        <v>2892</v>
      </c>
      <c r="D13" s="2">
        <v>59364616.9199999</v>
      </c>
      <c r="E13" s="2">
        <v>788569650.139998</v>
      </c>
      <c r="F13" s="2">
        <v>159335548.340001</v>
      </c>
      <c r="G13" s="2">
        <v>62949162.5499999</v>
      </c>
      <c r="H13" s="2">
        <f t="shared" si="0"/>
        <v>1070218977.95</v>
      </c>
      <c r="J13" s="3" t="s">
        <v>149</v>
      </c>
      <c r="L13" s="4">
        <v>2938569534.154</v>
      </c>
      <c r="M13" s="4">
        <v>601024735.1688</v>
      </c>
      <c r="N13" s="4">
        <v>1873936706.1394</v>
      </c>
      <c r="O13" s="4">
        <v>427340238.3196</v>
      </c>
      <c r="P13" s="4">
        <v>36267854.5262</v>
      </c>
      <c r="Q13" s="4">
        <f>(L19-L18)+(L16-L17-L14+L15+L20-L21+L22-L23)*1.06</f>
        <v>24482397.9708</v>
      </c>
      <c r="S13" s="4" t="s">
        <v>12</v>
      </c>
      <c r="T13" t="s">
        <v>13</v>
      </c>
      <c r="U13" t="s">
        <v>14</v>
      </c>
      <c r="V13" s="3" t="s">
        <v>20</v>
      </c>
      <c r="Y13" s="4" t="s">
        <v>12</v>
      </c>
      <c r="Z13" s="6" t="s">
        <v>13</v>
      </c>
      <c r="AA13" s="6" t="s">
        <v>14</v>
      </c>
      <c r="AB13" s="4" t="s">
        <v>20</v>
      </c>
    </row>
    <row r="14" spans="1:28">
      <c r="A14" s="1" t="s">
        <v>369</v>
      </c>
      <c r="B14" s="1" t="s">
        <v>148</v>
      </c>
      <c r="C14" s="1" t="s">
        <v>2899</v>
      </c>
      <c r="D14" s="2">
        <v>185046360.35</v>
      </c>
      <c r="E14" s="2">
        <v>531794990.889999</v>
      </c>
      <c r="F14" s="2">
        <v>51497008.4500002</v>
      </c>
      <c r="G14" s="2">
        <v>2409235.04</v>
      </c>
      <c r="H14" s="2">
        <f t="shared" si="0"/>
        <v>770747594.729999</v>
      </c>
      <c r="K14" s="3" t="s">
        <v>2893</v>
      </c>
      <c r="L14" s="4">
        <v>94163301.15</v>
      </c>
      <c r="M14" s="4">
        <v>21203722.57</v>
      </c>
      <c r="N14" s="4">
        <v>8481208.47</v>
      </c>
      <c r="O14" s="4">
        <v>59124854.71</v>
      </c>
      <c r="P14" s="4">
        <v>5353515.4</v>
      </c>
      <c r="Q14" s="4">
        <f>Q13-W16</f>
        <v>-2.02283263206482e-6</v>
      </c>
      <c r="R14" s="4" t="s">
        <v>2894</v>
      </c>
      <c r="S14" s="4">
        <f>(M19-M18)+(M16-M17-M14+M15+M22-M23)*1.06</f>
        <v>10115544.3968</v>
      </c>
      <c r="T14" s="4">
        <f>(N19-N18)+(N16-N17-N14+N15+N22-N23)*1.06</f>
        <v>2413401.01240204</v>
      </c>
      <c r="U14" s="4">
        <f>(O19-O18)+(O16-O17-O14+O15+O22-O23)*1.06</f>
        <v>10752610.0028</v>
      </c>
      <c r="V14" s="4">
        <f>(P19-P18)+(P16-P17-P14+P15+P22-P23)*1.06</f>
        <v>305257.059999999</v>
      </c>
      <c r="X14" s="4" t="s">
        <v>2894</v>
      </c>
      <c r="Y14" s="4">
        <f>S14/10000</f>
        <v>1011.55443968</v>
      </c>
      <c r="Z14" s="4">
        <f>T14/10000</f>
        <v>241.340101240204</v>
      </c>
      <c r="AA14" s="4">
        <f>U14/10000</f>
        <v>1075.26100028</v>
      </c>
      <c r="AB14" s="4">
        <f>V14/10000</f>
        <v>30.5257059999999</v>
      </c>
    </row>
    <row r="15" spans="1:28">
      <c r="A15" s="1" t="s">
        <v>369</v>
      </c>
      <c r="B15" s="1" t="s">
        <v>149</v>
      </c>
      <c r="C15" s="1" t="s">
        <v>2899</v>
      </c>
      <c r="D15" s="2">
        <v>155617144.02</v>
      </c>
      <c r="E15" s="2">
        <v>665239857.899999</v>
      </c>
      <c r="F15" s="2">
        <v>82134021.67</v>
      </c>
      <c r="G15" s="2">
        <v>5584462.43</v>
      </c>
      <c r="H15" s="2">
        <f t="shared" si="0"/>
        <v>908575486.019999</v>
      </c>
      <c r="K15" s="3" t="s">
        <v>2895</v>
      </c>
      <c r="L15" s="4">
        <v>6468401.91</v>
      </c>
      <c r="N15" s="4">
        <v>60830.19</v>
      </c>
      <c r="O15" s="4">
        <v>6407493.14</v>
      </c>
      <c r="P15" s="4">
        <v>78.58</v>
      </c>
      <c r="R15" s="4" t="s">
        <v>583</v>
      </c>
      <c r="S15" s="4">
        <f>(M20-M21)*1.06</f>
        <v>1777.249</v>
      </c>
      <c r="T15" s="4">
        <f>(N20-N21)*1.06</f>
        <v>0</v>
      </c>
      <c r="U15" s="4">
        <f>(O20-O21)*1.06</f>
        <v>893808.2498</v>
      </c>
      <c r="V15" s="4">
        <f>(P20-P21)*1.06</f>
        <v>0</v>
      </c>
      <c r="X15" s="4" t="s">
        <v>583</v>
      </c>
      <c r="Y15" s="4">
        <f>S15/10000</f>
        <v>0.1777249</v>
      </c>
      <c r="Z15" s="4">
        <f>T15/10000</f>
        <v>0</v>
      </c>
      <c r="AA15" s="4">
        <f>U15/10000</f>
        <v>89.38082498</v>
      </c>
      <c r="AB15" s="4">
        <f>V15/10000</f>
        <v>0</v>
      </c>
    </row>
    <row r="16" spans="1:28">
      <c r="A16" s="1" t="s">
        <v>369</v>
      </c>
      <c r="B16" s="1" t="s">
        <v>150</v>
      </c>
      <c r="C16" s="1" t="s">
        <v>2899</v>
      </c>
      <c r="D16" s="2">
        <v>111723550.15</v>
      </c>
      <c r="E16" s="2">
        <v>612375063.029999</v>
      </c>
      <c r="F16" s="2">
        <v>109733495.18</v>
      </c>
      <c r="G16" s="2">
        <v>8579444.92000001</v>
      </c>
      <c r="H16" s="2">
        <f t="shared" si="0"/>
        <v>842411553.279999</v>
      </c>
      <c r="K16" s="3" t="s">
        <v>2896</v>
      </c>
      <c r="L16" s="4">
        <v>96036596.67</v>
      </c>
      <c r="M16" s="4">
        <v>21878140.31</v>
      </c>
      <c r="N16" s="4">
        <v>8285670.4</v>
      </c>
      <c r="O16" s="4">
        <v>60340647.46</v>
      </c>
      <c r="P16" s="4">
        <v>5532138.5</v>
      </c>
      <c r="R16" s="4" t="s">
        <v>2897</v>
      </c>
      <c r="T16" s="4"/>
      <c r="U16" s="4"/>
      <c r="V16" s="4"/>
      <c r="W16" s="4">
        <f>SUM(S14:V16)</f>
        <v>24482397.9708021</v>
      </c>
      <c r="X16" s="4" t="s">
        <v>2897</v>
      </c>
      <c r="Y16" s="4">
        <f>S16/10000</f>
        <v>0</v>
      </c>
      <c r="Z16" s="4">
        <f>T16/10000</f>
        <v>0</v>
      </c>
      <c r="AA16" s="4">
        <f>U16/10000</f>
        <v>0</v>
      </c>
      <c r="AB16" s="4">
        <f>V16/10000</f>
        <v>0</v>
      </c>
    </row>
    <row r="17" spans="1:16">
      <c r="A17" s="1" t="s">
        <v>369</v>
      </c>
      <c r="B17" s="1" t="s">
        <v>151</v>
      </c>
      <c r="C17" s="1" t="s">
        <v>2899</v>
      </c>
      <c r="D17" s="2">
        <v>80873789.3299999</v>
      </c>
      <c r="E17" s="2">
        <v>608983764.459999</v>
      </c>
      <c r="F17" s="2">
        <v>113600777.209999</v>
      </c>
      <c r="G17" s="2">
        <v>9700467.64</v>
      </c>
      <c r="H17" s="2">
        <f t="shared" si="0"/>
        <v>813158798.639998</v>
      </c>
      <c r="K17" s="3" t="s">
        <v>2898</v>
      </c>
      <c r="L17" s="4">
        <v>6486031.23</v>
      </c>
      <c r="N17" s="4">
        <v>78459.51</v>
      </c>
      <c r="O17" s="4">
        <v>6407493.14</v>
      </c>
      <c r="P17" s="4">
        <v>78.58</v>
      </c>
    </row>
    <row r="18" spans="1:16">
      <c r="A18" s="1" t="s">
        <v>369</v>
      </c>
      <c r="B18" s="1" t="s">
        <v>152</v>
      </c>
      <c r="C18" s="1" t="s">
        <v>2899</v>
      </c>
      <c r="D18" s="2">
        <v>105996579.25</v>
      </c>
      <c r="E18" s="2">
        <v>657226194.049998</v>
      </c>
      <c r="F18" s="2">
        <v>119325586.07</v>
      </c>
      <c r="G18" s="2">
        <v>10585627.26</v>
      </c>
      <c r="H18" s="2">
        <f t="shared" si="0"/>
        <v>893133986.629998</v>
      </c>
      <c r="K18" s="3" t="s">
        <v>2899</v>
      </c>
      <c r="L18" s="4">
        <v>1356585407.03</v>
      </c>
      <c r="M18" s="4">
        <v>274392914.96</v>
      </c>
      <c r="N18" s="4">
        <v>927220972.559999</v>
      </c>
      <c r="O18" s="4">
        <v>142337229.63</v>
      </c>
      <c r="P18" s="4">
        <v>12634289.88</v>
      </c>
    </row>
    <row r="19" spans="1:16">
      <c r="A19" s="1" t="s">
        <v>369</v>
      </c>
      <c r="B19" s="1" t="s">
        <v>153</v>
      </c>
      <c r="C19" s="1" t="s">
        <v>2899</v>
      </c>
      <c r="D19" s="2">
        <v>91408437.85</v>
      </c>
      <c r="E19" s="2">
        <v>756884172.940001</v>
      </c>
      <c r="F19" s="2">
        <v>176014467.299999</v>
      </c>
      <c r="G19" s="2">
        <v>41310817.89</v>
      </c>
      <c r="H19" s="2">
        <f t="shared" si="0"/>
        <v>1065617895.98</v>
      </c>
      <c r="K19" s="3" t="s">
        <v>2892</v>
      </c>
      <c r="L19" s="4">
        <v>1366966076.684</v>
      </c>
      <c r="M19" s="4">
        <v>279460016.1188</v>
      </c>
      <c r="N19" s="4">
        <v>928963465.069401</v>
      </c>
      <c r="O19" s="4">
        <v>145835723.0396</v>
      </c>
      <c r="P19" s="4">
        <v>12706872.4562</v>
      </c>
    </row>
    <row r="20" spans="1:16">
      <c r="A20" s="1" t="s">
        <v>369</v>
      </c>
      <c r="B20" s="1" t="s">
        <v>154</v>
      </c>
      <c r="C20" s="1" t="s">
        <v>2899</v>
      </c>
      <c r="D20" s="2">
        <v>106287508.0372</v>
      </c>
      <c r="E20" s="2">
        <v>610218184.509998</v>
      </c>
      <c r="F20" s="2">
        <v>160068359.87</v>
      </c>
      <c r="G20" s="2">
        <v>16886614.48</v>
      </c>
      <c r="H20" s="2">
        <f t="shared" si="0"/>
        <v>893460666.897198</v>
      </c>
      <c r="K20" s="3" t="s">
        <v>2900</v>
      </c>
      <c r="L20" s="4">
        <v>1052826.18</v>
      </c>
      <c r="M20" s="4">
        <v>1676.65</v>
      </c>
      <c r="N20" s="4">
        <v>0</v>
      </c>
      <c r="O20" s="4">
        <v>1051149.53</v>
      </c>
      <c r="P20" s="4">
        <v>0</v>
      </c>
    </row>
    <row r="21" spans="1:15">
      <c r="A21" s="1" t="s">
        <v>369</v>
      </c>
      <c r="B21" s="1" t="s">
        <v>155</v>
      </c>
      <c r="C21" s="1" t="s">
        <v>2899</v>
      </c>
      <c r="D21" s="2">
        <v>108882683.6702</v>
      </c>
      <c r="E21" s="2">
        <v>566674709.5362</v>
      </c>
      <c r="F21" s="2">
        <v>164322595.3158</v>
      </c>
      <c r="G21" s="2">
        <v>15034036.5248</v>
      </c>
      <c r="H21" s="2">
        <f t="shared" si="0"/>
        <v>854914025.047</v>
      </c>
      <c r="K21" s="3" t="s">
        <v>2901</v>
      </c>
      <c r="L21" s="4">
        <v>207934.2</v>
      </c>
      <c r="O21" s="4">
        <v>207934.2</v>
      </c>
    </row>
    <row r="22" spans="1:16">
      <c r="A22" s="1" t="s">
        <v>369</v>
      </c>
      <c r="B22" s="1" t="s">
        <v>156</v>
      </c>
      <c r="C22" s="1" t="s">
        <v>2899</v>
      </c>
      <c r="D22" s="2">
        <v>68979598.22</v>
      </c>
      <c r="E22" s="2">
        <v>667188628.15</v>
      </c>
      <c r="F22" s="2">
        <v>151955326.28</v>
      </c>
      <c r="G22" s="2">
        <v>22456154.3</v>
      </c>
      <c r="H22" s="2">
        <f t="shared" si="0"/>
        <v>910579706.95</v>
      </c>
      <c r="K22" s="3" t="s">
        <v>2902</v>
      </c>
      <c r="L22" s="4">
        <v>10602959.1</v>
      </c>
      <c r="M22" s="4">
        <v>4088264.56</v>
      </c>
      <c r="N22" s="4">
        <v>846099.94</v>
      </c>
      <c r="O22" s="4">
        <v>5627713.47</v>
      </c>
      <c r="P22" s="4">
        <v>40881.13</v>
      </c>
    </row>
    <row r="23" spans="1:12">
      <c r="A23" s="1" t="s">
        <v>369</v>
      </c>
      <c r="B23" s="1" t="s">
        <v>157</v>
      </c>
      <c r="C23" s="1" t="s">
        <v>2899</v>
      </c>
      <c r="D23" s="2">
        <v>63966129.0982</v>
      </c>
      <c r="E23" s="2">
        <v>793808937.382798</v>
      </c>
      <c r="F23" s="2">
        <v>136721448.1588</v>
      </c>
      <c r="G23" s="2">
        <v>19550370.6028</v>
      </c>
      <c r="H23" s="2">
        <f t="shared" si="0"/>
        <v>1014046885.2426</v>
      </c>
      <c r="K23" s="3" t="s">
        <v>2903</v>
      </c>
      <c r="L23" s="4">
        <v>0</v>
      </c>
    </row>
    <row r="24" spans="1:28">
      <c r="A24" s="1" t="s">
        <v>369</v>
      </c>
      <c r="B24" s="1" t="s">
        <v>158</v>
      </c>
      <c r="C24" s="1" t="s">
        <v>2899</v>
      </c>
      <c r="D24" s="2">
        <v>64782923.64</v>
      </c>
      <c r="E24" s="2">
        <v>784336429.920001</v>
      </c>
      <c r="F24" s="2">
        <v>190096722.6996</v>
      </c>
      <c r="G24" s="2">
        <v>49420670.14</v>
      </c>
      <c r="H24" s="2">
        <f t="shared" si="0"/>
        <v>1088636746.3996</v>
      </c>
      <c r="J24" s="3" t="s">
        <v>150</v>
      </c>
      <c r="L24" s="4">
        <v>2662748033.1274</v>
      </c>
      <c r="M24" s="4">
        <v>642268221.225</v>
      </c>
      <c r="N24" s="4">
        <v>1972026252.41</v>
      </c>
      <c r="O24" s="4">
        <v>538606696.13</v>
      </c>
      <c r="P24" s="4">
        <v>127358610.4924</v>
      </c>
      <c r="Q24" s="4">
        <f>(L30-L29)+(L27-L28-L25+L26+L31-L32+L33-L34)*1.06</f>
        <v>36766757.6570006</v>
      </c>
      <c r="S24" s="4" t="s">
        <v>12</v>
      </c>
      <c r="T24" t="s">
        <v>13</v>
      </c>
      <c r="U24" t="s">
        <v>14</v>
      </c>
      <c r="V24" s="3" t="s">
        <v>20</v>
      </c>
      <c r="Y24" s="4" t="s">
        <v>12</v>
      </c>
      <c r="Z24" s="6" t="s">
        <v>13</v>
      </c>
      <c r="AA24" s="6" t="s">
        <v>14</v>
      </c>
      <c r="AB24" s="4" t="s">
        <v>20</v>
      </c>
    </row>
    <row r="25" spans="1:28">
      <c r="A25" s="1" t="s">
        <v>369</v>
      </c>
      <c r="B25" s="1" t="s">
        <v>159</v>
      </c>
      <c r="C25" s="1" t="s">
        <v>2899</v>
      </c>
      <c r="D25" s="2">
        <v>58380138.2142</v>
      </c>
      <c r="E25" s="2">
        <v>785464753.9666</v>
      </c>
      <c r="F25" s="2">
        <v>157553876.2216</v>
      </c>
      <c r="G25" s="2">
        <v>62231319.3724</v>
      </c>
      <c r="H25" s="2">
        <f t="shared" si="0"/>
        <v>1063630087.7748</v>
      </c>
      <c r="K25" s="3" t="s">
        <v>2893</v>
      </c>
      <c r="L25" s="4">
        <f t="shared" ref="L25:L34" si="1">SUM(M25:P25)</f>
        <v>98207469.96</v>
      </c>
      <c r="M25" s="4">
        <v>16856680.07</v>
      </c>
      <c r="N25" s="4">
        <v>8603066.15</v>
      </c>
      <c r="O25" s="4">
        <v>56592901.04</v>
      </c>
      <c r="P25" s="4">
        <v>16154822.7</v>
      </c>
      <c r="Q25" s="4">
        <f>Q24-W27</f>
        <v>-4.02331352233887e-7</v>
      </c>
      <c r="R25" s="4" t="s">
        <v>2894</v>
      </c>
      <c r="S25" s="4">
        <f>(M30-M29)+(M27-M28-M25+M26+M33-M34)*1.06</f>
        <v>12751450.964</v>
      </c>
      <c r="T25" s="4">
        <f>(N30-N29)+(N27-N28-N25+N26+N33-N34)*1.06</f>
        <v>2967748.50740102</v>
      </c>
      <c r="U25" s="4">
        <f>(O30-O29)+(O27-O28-O25+O26+O33-O34)*1.06</f>
        <v>19461266.3528</v>
      </c>
      <c r="V25" s="4">
        <f>(P30-P29)+(P27-P28-P25+P26+P33-P34)*1.06</f>
        <v>630069.118800005</v>
      </c>
      <c r="X25" s="4" t="s">
        <v>2894</v>
      </c>
      <c r="Y25" s="4">
        <f>S25/10000</f>
        <v>1275.1450964</v>
      </c>
      <c r="Z25" s="4">
        <f>T25/10000</f>
        <v>296.774850740102</v>
      </c>
      <c r="AA25" s="4">
        <f>U25/10000</f>
        <v>1946.12663528</v>
      </c>
      <c r="AB25" s="4">
        <f>V25/10000</f>
        <v>63.0069118800005</v>
      </c>
    </row>
    <row r="26" spans="1:28">
      <c r="A26" s="1" t="s">
        <v>369</v>
      </c>
      <c r="B26" s="1" t="s">
        <v>148</v>
      </c>
      <c r="C26" s="1" t="s">
        <v>2896</v>
      </c>
      <c r="D26" s="2">
        <v>406744.56</v>
      </c>
      <c r="E26" s="2">
        <v>5150393.82</v>
      </c>
      <c r="F26" s="2">
        <v>4129815.94</v>
      </c>
      <c r="G26" s="2">
        <v>153163.83</v>
      </c>
      <c r="H26" s="2">
        <f t="shared" si="0"/>
        <v>9840118.15</v>
      </c>
      <c r="K26" s="3" t="s">
        <v>2895</v>
      </c>
      <c r="L26" s="4">
        <f t="shared" si="1"/>
        <v>5566961.18</v>
      </c>
      <c r="N26" s="4">
        <v>294055.85</v>
      </c>
      <c r="O26" s="4">
        <v>5272748.16</v>
      </c>
      <c r="P26" s="4">
        <v>157.17</v>
      </c>
      <c r="R26" s="4" t="s">
        <v>583</v>
      </c>
      <c r="S26" s="4">
        <f>(M31-M32)*1.06</f>
        <v>5164.2776</v>
      </c>
      <c r="T26" s="4">
        <f>(N31-N32)*1.06</f>
        <v>0</v>
      </c>
      <c r="U26" s="4">
        <f>(O31-O32)*1.06</f>
        <v>951058.4364</v>
      </c>
      <c r="V26" s="4">
        <f>(P31-P32)*1.06</f>
        <v>0</v>
      </c>
      <c r="X26" s="4" t="s">
        <v>583</v>
      </c>
      <c r="Y26" s="4">
        <f>S26/10000</f>
        <v>0.51642776</v>
      </c>
      <c r="Z26" s="4">
        <f>T26/10000</f>
        <v>0</v>
      </c>
      <c r="AA26" s="4">
        <f>U26/10000</f>
        <v>95.10584364</v>
      </c>
      <c r="AB26" s="4">
        <f>V26/10000</f>
        <v>0</v>
      </c>
    </row>
    <row r="27" spans="1:28">
      <c r="A27" s="1" t="s">
        <v>369</v>
      </c>
      <c r="B27" s="1" t="s">
        <v>149</v>
      </c>
      <c r="C27" s="1" t="s">
        <v>2896</v>
      </c>
      <c r="D27" s="2">
        <v>51903.65</v>
      </c>
      <c r="E27" s="2">
        <v>3972940.72</v>
      </c>
      <c r="F27" s="2">
        <v>279553</v>
      </c>
      <c r="G27" s="2">
        <v>44457.69</v>
      </c>
      <c r="H27" s="2">
        <f t="shared" si="0"/>
        <v>4348855.06</v>
      </c>
      <c r="K27" s="3" t="s">
        <v>2896</v>
      </c>
      <c r="L27" s="4">
        <f t="shared" si="1"/>
        <v>100833302.76</v>
      </c>
      <c r="M27" s="4">
        <v>17711855.86</v>
      </c>
      <c r="N27" s="4">
        <v>8496112.95</v>
      </c>
      <c r="O27" s="4">
        <v>58275198.31</v>
      </c>
      <c r="P27" s="4">
        <v>16350135.64</v>
      </c>
      <c r="R27" s="4" t="s">
        <v>2897</v>
      </c>
      <c r="T27" s="4"/>
      <c r="U27" s="4"/>
      <c r="V27" s="4"/>
      <c r="W27" s="4">
        <f>SUM(S25:V27)</f>
        <v>36766757.657001</v>
      </c>
      <c r="X27" s="4" t="s">
        <v>2897</v>
      </c>
      <c r="Y27" s="4">
        <f>S27/10000</f>
        <v>0</v>
      </c>
      <c r="Z27" s="4">
        <f>T27/10000</f>
        <v>0</v>
      </c>
      <c r="AA27" s="4">
        <f>U27/10000</f>
        <v>0</v>
      </c>
      <c r="AB27" s="4">
        <f>V27/10000</f>
        <v>0</v>
      </c>
    </row>
    <row r="28" spans="1:16">
      <c r="A28" s="1" t="s">
        <v>369</v>
      </c>
      <c r="B28" s="1" t="s">
        <v>150</v>
      </c>
      <c r="C28" s="1" t="s">
        <v>2896</v>
      </c>
      <c r="D28" s="2">
        <v>235363.52</v>
      </c>
      <c r="E28" s="2">
        <v>1481937.17</v>
      </c>
      <c r="F28" s="2">
        <v>795696.71</v>
      </c>
      <c r="G28" s="2">
        <v>120072.44</v>
      </c>
      <c r="H28" s="2">
        <f t="shared" si="0"/>
        <v>2633069.84</v>
      </c>
      <c r="K28" s="3" t="s">
        <v>2898</v>
      </c>
      <c r="L28" s="4">
        <f t="shared" si="1"/>
        <v>5600666.55</v>
      </c>
      <c r="N28" s="4">
        <v>327761.22</v>
      </c>
      <c r="O28" s="4">
        <v>5272748.16</v>
      </c>
      <c r="P28" s="4">
        <v>157.17</v>
      </c>
    </row>
    <row r="29" spans="1:22">
      <c r="A29" s="1" t="s">
        <v>369</v>
      </c>
      <c r="B29" s="1" t="s">
        <v>151</v>
      </c>
      <c r="C29" s="1" t="s">
        <v>2896</v>
      </c>
      <c r="D29" s="2">
        <v>254365.06</v>
      </c>
      <c r="E29" s="2">
        <v>12032.96</v>
      </c>
      <c r="F29" s="2">
        <v>1007160.5</v>
      </c>
      <c r="G29" s="2">
        <v>91325.97</v>
      </c>
      <c r="H29" s="2">
        <f t="shared" si="0"/>
        <v>1364884.49</v>
      </c>
      <c r="K29" s="3" t="s">
        <v>2899</v>
      </c>
      <c r="L29" s="4">
        <f t="shared" si="1"/>
        <v>1515150538.2128</v>
      </c>
      <c r="M29" s="4">
        <v>298250095.61</v>
      </c>
      <c r="N29" s="4">
        <v>975601028.289999</v>
      </c>
      <c r="O29" s="4">
        <v>194085290.985</v>
      </c>
      <c r="P29" s="4">
        <v>47214123.3278</v>
      </c>
      <c r="T29" s="4"/>
      <c r="U29" s="4"/>
      <c r="V29" s="4"/>
    </row>
    <row r="30" spans="1:22">
      <c r="A30" s="1" t="s">
        <v>369</v>
      </c>
      <c r="B30" s="1" t="s">
        <v>152</v>
      </c>
      <c r="C30" s="1" t="s">
        <v>2896</v>
      </c>
      <c r="D30" s="2">
        <v>1000068.97</v>
      </c>
      <c r="E30" s="2">
        <v>358018.55</v>
      </c>
      <c r="F30" s="2">
        <v>1790483.78</v>
      </c>
      <c r="G30" s="2">
        <v>212176.76</v>
      </c>
      <c r="H30" s="2">
        <f t="shared" si="0"/>
        <v>3360748.06</v>
      </c>
      <c r="K30" s="3" t="s">
        <v>2892</v>
      </c>
      <c r="L30" s="4">
        <f t="shared" si="1"/>
        <v>1521825100.6446</v>
      </c>
      <c r="M30" s="4">
        <v>298605675.865</v>
      </c>
      <c r="N30" s="4">
        <v>978476779.09</v>
      </c>
      <c r="O30" s="4">
        <v>197069201.965</v>
      </c>
      <c r="P30" s="4">
        <v>47673443.7246</v>
      </c>
      <c r="T30" s="4"/>
      <c r="U30" s="4"/>
      <c r="V30" s="4"/>
    </row>
    <row r="31" spans="1:16">
      <c r="A31" s="1" t="s">
        <v>369</v>
      </c>
      <c r="B31" s="1" t="s">
        <v>153</v>
      </c>
      <c r="C31" s="1" t="s">
        <v>2896</v>
      </c>
      <c r="D31" s="2">
        <v>56843.38</v>
      </c>
      <c r="E31" s="2">
        <v>0</v>
      </c>
      <c r="F31" s="2">
        <v>1258644.81</v>
      </c>
      <c r="G31" s="2">
        <v>21988.31</v>
      </c>
      <c r="H31" s="2">
        <f t="shared" si="0"/>
        <v>1337476.5</v>
      </c>
      <c r="K31" s="3" t="s">
        <v>2900</v>
      </c>
      <c r="L31" s="4">
        <f t="shared" si="1"/>
        <v>4541599.38</v>
      </c>
      <c r="M31" s="4">
        <v>4871.96</v>
      </c>
      <c r="N31" s="4">
        <v>0</v>
      </c>
      <c r="O31" s="4">
        <v>4536727.42</v>
      </c>
      <c r="P31" s="4">
        <v>0</v>
      </c>
    </row>
    <row r="32" spans="1:15">
      <c r="A32" s="1" t="s">
        <v>369</v>
      </c>
      <c r="B32" s="1" t="s">
        <v>154</v>
      </c>
      <c r="C32" s="1" t="s">
        <v>2896</v>
      </c>
      <c r="D32" s="2">
        <v>42045.88</v>
      </c>
      <c r="E32" s="2">
        <v>2389151.59</v>
      </c>
      <c r="F32" s="2">
        <v>1454076.07</v>
      </c>
      <c r="G32" s="2">
        <v>734631.87</v>
      </c>
      <c r="H32" s="2">
        <f t="shared" si="0"/>
        <v>4619905.41</v>
      </c>
      <c r="K32" s="3" t="s">
        <v>2901</v>
      </c>
      <c r="L32" s="4">
        <f t="shared" si="1"/>
        <v>3639502.48</v>
      </c>
      <c r="O32" s="4">
        <v>3639502.48</v>
      </c>
    </row>
    <row r="33" spans="1:16">
      <c r="A33" s="1" t="s">
        <v>369</v>
      </c>
      <c r="B33" s="1" t="s">
        <v>155</v>
      </c>
      <c r="C33" s="1" t="s">
        <v>2896</v>
      </c>
      <c r="D33" s="2">
        <v>31949.81</v>
      </c>
      <c r="E33" s="2">
        <v>170298.39</v>
      </c>
      <c r="F33" s="2">
        <v>1079588.84</v>
      </c>
      <c r="G33" s="2">
        <v>532579.54</v>
      </c>
      <c r="H33" s="2">
        <f t="shared" si="0"/>
        <v>1814416.58</v>
      </c>
      <c r="K33" s="3" t="s">
        <v>2902</v>
      </c>
      <c r="L33" s="4">
        <f t="shared" si="1"/>
        <v>24894639.09</v>
      </c>
      <c r="M33" s="4">
        <v>10839041.86</v>
      </c>
      <c r="N33" s="4">
        <v>227448.86</v>
      </c>
      <c r="O33" s="4">
        <v>13862377.61</v>
      </c>
      <c r="P33" s="4">
        <v>-34229.24</v>
      </c>
    </row>
    <row r="34" spans="1:12">
      <c r="A34" s="1" t="s">
        <v>369</v>
      </c>
      <c r="B34" s="1" t="s">
        <v>156</v>
      </c>
      <c r="C34" s="1" t="s">
        <v>2896</v>
      </c>
      <c r="D34" s="2">
        <v>15943.71</v>
      </c>
      <c r="E34" s="2">
        <v>159664.43</v>
      </c>
      <c r="F34" s="2">
        <v>1370957.68</v>
      </c>
      <c r="G34" s="2">
        <v>-858859.56</v>
      </c>
      <c r="H34" s="2">
        <f t="shared" si="0"/>
        <v>687706.26</v>
      </c>
      <c r="K34" s="3" t="s">
        <v>2903</v>
      </c>
      <c r="L34" s="4">
        <f t="shared" si="1"/>
        <v>0</v>
      </c>
    </row>
    <row r="35" spans="1:28">
      <c r="A35" s="1" t="s">
        <v>369</v>
      </c>
      <c r="B35" s="1" t="s">
        <v>157</v>
      </c>
      <c r="C35" s="1" t="s">
        <v>2896</v>
      </c>
      <c r="D35" s="2">
        <v>2222.14</v>
      </c>
      <c r="E35" s="2">
        <v>545781.78</v>
      </c>
      <c r="F35" s="2">
        <v>305162.58</v>
      </c>
      <c r="G35" s="2">
        <v>335601.18</v>
      </c>
      <c r="H35" s="2">
        <f t="shared" si="0"/>
        <v>1188767.68</v>
      </c>
      <c r="J35" s="3" t="s">
        <v>151</v>
      </c>
      <c r="L35" s="4">
        <v>3049183825.0774</v>
      </c>
      <c r="M35" s="4">
        <v>495375593.3986</v>
      </c>
      <c r="N35" s="4">
        <v>1938974247.6</v>
      </c>
      <c r="O35" s="4">
        <v>540980559.984399</v>
      </c>
      <c r="P35" s="4">
        <v>73853424.0944</v>
      </c>
      <c r="Q35" s="4">
        <f>(L41-L40)+(L38-L39-L36+L37+L42-L43+L44-L45)*1.06</f>
        <v>22498036.3869998</v>
      </c>
      <c r="S35" s="4" t="s">
        <v>12</v>
      </c>
      <c r="T35" t="s">
        <v>13</v>
      </c>
      <c r="U35" t="s">
        <v>14</v>
      </c>
      <c r="V35" s="3" t="s">
        <v>20</v>
      </c>
      <c r="Y35" s="4" t="s">
        <v>12</v>
      </c>
      <c r="Z35" s="6" t="s">
        <v>13</v>
      </c>
      <c r="AA35" s="6" t="s">
        <v>14</v>
      </c>
      <c r="AB35" s="4" t="s">
        <v>20</v>
      </c>
    </row>
    <row r="36" spans="1:28">
      <c r="A36" s="1" t="s">
        <v>369</v>
      </c>
      <c r="B36" s="1" t="s">
        <v>158</v>
      </c>
      <c r="C36" s="1" t="s">
        <v>2896</v>
      </c>
      <c r="D36" s="2">
        <v>-843.57</v>
      </c>
      <c r="E36" s="2">
        <v>1911037.91</v>
      </c>
      <c r="F36" s="2">
        <v>4322463.02</v>
      </c>
      <c r="G36" s="2">
        <v>2156013.34</v>
      </c>
      <c r="H36" s="2">
        <f t="shared" si="0"/>
        <v>8388670.7</v>
      </c>
      <c r="K36" s="3" t="s">
        <v>2893</v>
      </c>
      <c r="L36" s="4">
        <v>89365976.82</v>
      </c>
      <c r="M36" s="4">
        <v>16526211.44</v>
      </c>
      <c r="N36" s="4">
        <v>4349679.53</v>
      </c>
      <c r="O36" s="4">
        <v>56354775.04</v>
      </c>
      <c r="P36" s="4">
        <v>12135310.81</v>
      </c>
      <c r="Q36" s="4">
        <f>Q35-W38</f>
        <v>-2.23517417907715e-6</v>
      </c>
      <c r="R36" s="4" t="s">
        <v>2894</v>
      </c>
      <c r="S36" s="4">
        <f>(M41-M40)+(M38-M39-M36+M37+M44-M45)*1.06</f>
        <v>8638782.36600002</v>
      </c>
      <c r="T36" s="4">
        <f>(N41-N40)+(N38-N39-N36+N37+N44-N45)*1.06</f>
        <v>2497535.43360105</v>
      </c>
      <c r="U36" s="4">
        <f>(O41-O40)+(O38-O39-O36+O37+O44-O45)*1.06</f>
        <v>9353831.626801</v>
      </c>
      <c r="V36" s="4">
        <f>(P41-P40)+(P38-P39-P36+P37+P44-P45)*1.06</f>
        <v>619177.865400002</v>
      </c>
      <c r="X36" s="4" t="s">
        <v>2894</v>
      </c>
      <c r="Y36" s="4">
        <f>S36/10000</f>
        <v>863.878236600002</v>
      </c>
      <c r="Z36" s="4">
        <f>T36/10000</f>
        <v>249.753543360105</v>
      </c>
      <c r="AA36" s="4">
        <f>U36/10000</f>
        <v>935.3831626801</v>
      </c>
      <c r="AB36" s="4">
        <f>V36/10000</f>
        <v>61.9177865400002</v>
      </c>
    </row>
    <row r="37" spans="1:28">
      <c r="A37" s="1" t="s">
        <v>369</v>
      </c>
      <c r="B37" s="1" t="s">
        <v>159</v>
      </c>
      <c r="C37" s="1" t="s">
        <v>2896</v>
      </c>
      <c r="D37" s="2">
        <v>18109.97</v>
      </c>
      <c r="E37" s="2">
        <v>-527490.12</v>
      </c>
      <c r="F37" s="2">
        <v>7607512.53</v>
      </c>
      <c r="G37" s="2">
        <v>2641358.75</v>
      </c>
      <c r="H37" s="2">
        <f t="shared" si="0"/>
        <v>9739491.13</v>
      </c>
      <c r="K37" s="3" t="s">
        <v>2895</v>
      </c>
      <c r="L37" s="4">
        <v>5634093.87</v>
      </c>
      <c r="M37" s="4">
        <v>39466.37</v>
      </c>
      <c r="N37" s="4">
        <v>50</v>
      </c>
      <c r="O37" s="4">
        <v>5513518.58</v>
      </c>
      <c r="P37" s="4">
        <v>81058.92</v>
      </c>
      <c r="R37" s="4" t="s">
        <v>583</v>
      </c>
      <c r="S37" s="4">
        <f>(M42-M43)*1.06</f>
        <v>329572.921</v>
      </c>
      <c r="T37" s="4">
        <f>(N42-N43)*1.06</f>
        <v>0</v>
      </c>
      <c r="U37" s="4">
        <f>(O42-O43)*1.06</f>
        <v>1059136.1742</v>
      </c>
      <c r="V37" s="4">
        <f>(P42-P43)*1.06</f>
        <v>0</v>
      </c>
      <c r="X37" s="4" t="s">
        <v>583</v>
      </c>
      <c r="Y37" s="4">
        <f>S37/10000</f>
        <v>32.9572921</v>
      </c>
      <c r="Z37" s="4">
        <f>T37/10000</f>
        <v>0</v>
      </c>
      <c r="AA37" s="4">
        <f>U37/10000</f>
        <v>105.91361742</v>
      </c>
      <c r="AB37" s="4">
        <f>V37/10000</f>
        <v>0</v>
      </c>
    </row>
    <row r="38" spans="1:28">
      <c r="A38" s="1" t="s">
        <v>369</v>
      </c>
      <c r="B38" s="1" t="s">
        <v>148</v>
      </c>
      <c r="C38" s="1" t="s">
        <v>2893</v>
      </c>
      <c r="D38" s="2">
        <v>424581.81</v>
      </c>
      <c r="E38" s="2">
        <v>5148154.79</v>
      </c>
      <c r="F38" s="2">
        <v>3938588.18</v>
      </c>
      <c r="G38" s="2">
        <v>141656.44</v>
      </c>
      <c r="H38" s="2">
        <f t="shared" si="0"/>
        <v>9652981.22</v>
      </c>
      <c r="K38" s="3" t="s">
        <v>2896</v>
      </c>
      <c r="L38" s="4">
        <v>91562407.5</v>
      </c>
      <c r="M38" s="4">
        <v>16998798.92</v>
      </c>
      <c r="N38" s="4">
        <v>4454103.88</v>
      </c>
      <c r="O38" s="4">
        <v>57379759.03</v>
      </c>
      <c r="P38" s="4">
        <v>12729745.67</v>
      </c>
      <c r="R38" s="4" t="s">
        <v>2897</v>
      </c>
      <c r="T38" s="4"/>
      <c r="U38" s="4"/>
      <c r="V38" s="4"/>
      <c r="W38" s="4">
        <f>SUM(S36:V38)</f>
        <v>22498036.3870021</v>
      </c>
      <c r="X38" s="4" t="s">
        <v>2897</v>
      </c>
      <c r="Y38" s="4">
        <f>S38/10000</f>
        <v>0</v>
      </c>
      <c r="Z38" s="4">
        <f>T38/10000</f>
        <v>0</v>
      </c>
      <c r="AA38" s="4">
        <f>U38/10000</f>
        <v>0</v>
      </c>
      <c r="AB38" s="4">
        <f>V38/10000</f>
        <v>0</v>
      </c>
    </row>
    <row r="39" spans="1:16">
      <c r="A39" s="1" t="s">
        <v>369</v>
      </c>
      <c r="B39" s="1" t="s">
        <v>149</v>
      </c>
      <c r="C39" s="1" t="s">
        <v>2893</v>
      </c>
      <c r="D39" s="2">
        <v>55057.48</v>
      </c>
      <c r="E39" s="2">
        <v>4141974.87</v>
      </c>
      <c r="F39" s="2">
        <v>260134.83</v>
      </c>
      <c r="G39" s="2">
        <v>43985.01</v>
      </c>
      <c r="H39" s="2">
        <f t="shared" si="0"/>
        <v>4501152.19</v>
      </c>
      <c r="K39" s="3" t="s">
        <v>2898</v>
      </c>
      <c r="L39" s="4">
        <v>5683949.55</v>
      </c>
      <c r="M39" s="4">
        <v>39466.37</v>
      </c>
      <c r="N39" s="4">
        <v>49905.68</v>
      </c>
      <c r="O39" s="4">
        <v>5513518.58</v>
      </c>
      <c r="P39" s="4">
        <v>81058.92</v>
      </c>
    </row>
    <row r="40" spans="1:16">
      <c r="A40" s="1" t="s">
        <v>369</v>
      </c>
      <c r="B40" s="1" t="s">
        <v>150</v>
      </c>
      <c r="C40" s="1" t="s">
        <v>2893</v>
      </c>
      <c r="D40" s="2">
        <v>249126.36</v>
      </c>
      <c r="E40" s="2">
        <v>1520726.88</v>
      </c>
      <c r="F40" s="2">
        <v>752400.18</v>
      </c>
      <c r="G40" s="2">
        <v>113606.99</v>
      </c>
      <c r="H40" s="2">
        <f t="shared" si="0"/>
        <v>2635860.41</v>
      </c>
      <c r="K40" s="3" t="s">
        <v>2899</v>
      </c>
      <c r="L40" s="4">
        <v>1417803099.2578</v>
      </c>
      <c r="M40" s="4">
        <v>226888937.45</v>
      </c>
      <c r="N40" s="4">
        <v>963850393.609999</v>
      </c>
      <c r="O40" s="4">
        <v>202644891.673199</v>
      </c>
      <c r="P40" s="4">
        <v>24418876.5246</v>
      </c>
    </row>
    <row r="41" spans="1:16">
      <c r="A41" s="1" t="s">
        <v>369</v>
      </c>
      <c r="B41" s="1" t="s">
        <v>151</v>
      </c>
      <c r="C41" s="1" t="s">
        <v>2893</v>
      </c>
      <c r="D41" s="2">
        <v>265089.44</v>
      </c>
      <c r="E41" s="2">
        <v>12115.41</v>
      </c>
      <c r="F41" s="2">
        <v>854478.78</v>
      </c>
      <c r="G41" s="2">
        <v>83456.53</v>
      </c>
      <c r="H41" s="2">
        <f t="shared" si="0"/>
        <v>1215140.16</v>
      </c>
      <c r="K41" s="3" t="s">
        <v>2892</v>
      </c>
      <c r="L41" s="4">
        <v>1421963904.7596</v>
      </c>
      <c r="M41" s="4">
        <v>226988760.1886</v>
      </c>
      <c r="N41" s="4">
        <v>965937259.01</v>
      </c>
      <c r="O41" s="4">
        <v>204640182.1212</v>
      </c>
      <c r="P41" s="4">
        <v>24397703.4398</v>
      </c>
    </row>
    <row r="42" spans="1:16">
      <c r="A42" s="1" t="s">
        <v>369</v>
      </c>
      <c r="B42" s="1" t="s">
        <v>152</v>
      </c>
      <c r="C42" s="1" t="s">
        <v>2893</v>
      </c>
      <c r="D42" s="2">
        <v>1037065.55</v>
      </c>
      <c r="E42" s="2">
        <v>356683.15</v>
      </c>
      <c r="F42" s="2">
        <v>1671502.46</v>
      </c>
      <c r="G42" s="2">
        <v>170843.21</v>
      </c>
      <c r="H42" s="2">
        <f t="shared" si="0"/>
        <v>3236094.37</v>
      </c>
      <c r="K42" s="3" t="s">
        <v>2900</v>
      </c>
      <c r="L42" s="4">
        <v>2318949.87</v>
      </c>
      <c r="M42" s="4">
        <v>310917.85</v>
      </c>
      <c r="N42" s="4">
        <v>0</v>
      </c>
      <c r="O42" s="4">
        <v>2008032.02</v>
      </c>
      <c r="P42" s="4">
        <v>0</v>
      </c>
    </row>
    <row r="43" spans="1:15">
      <c r="A43" s="1" t="s">
        <v>369</v>
      </c>
      <c r="B43" s="1" t="s">
        <v>153</v>
      </c>
      <c r="C43" s="1" t="s">
        <v>2893</v>
      </c>
      <c r="D43" s="2">
        <v>56732.58</v>
      </c>
      <c r="E43" s="2">
        <v>0</v>
      </c>
      <c r="F43" s="2">
        <v>1573160.57</v>
      </c>
      <c r="G43" s="2">
        <v>42408.5</v>
      </c>
      <c r="H43" s="2">
        <f t="shared" si="0"/>
        <v>1672301.65</v>
      </c>
      <c r="K43" s="3" t="s">
        <v>2901</v>
      </c>
      <c r="L43" s="4">
        <v>1008846.95</v>
      </c>
      <c r="O43" s="4">
        <v>1008846.95</v>
      </c>
    </row>
    <row r="44" spans="1:16">
      <c r="A44" s="1" t="s">
        <v>369</v>
      </c>
      <c r="B44" s="1" t="s">
        <v>154</v>
      </c>
      <c r="C44" s="1" t="s">
        <v>2893</v>
      </c>
      <c r="D44" s="2">
        <v>52779.9</v>
      </c>
      <c r="E44" s="2">
        <v>2384397.7</v>
      </c>
      <c r="F44" s="2">
        <v>1527914.45</v>
      </c>
      <c r="G44" s="2">
        <v>740950.33</v>
      </c>
      <c r="H44" s="2">
        <f t="shared" si="0"/>
        <v>4706042.38</v>
      </c>
      <c r="K44" s="3" t="s">
        <v>2902</v>
      </c>
      <c r="L44" s="4">
        <v>13842596.5</v>
      </c>
      <c r="M44" s="4">
        <v>7583034.81</v>
      </c>
      <c r="N44" s="4">
        <v>332855.89</v>
      </c>
      <c r="O44" s="4">
        <v>5917035.99</v>
      </c>
      <c r="P44" s="4">
        <v>9669.81</v>
      </c>
    </row>
    <row r="45" spans="1:12">
      <c r="A45" s="1" t="s">
        <v>369</v>
      </c>
      <c r="B45" s="1" t="s">
        <v>155</v>
      </c>
      <c r="C45" s="1" t="s">
        <v>2893</v>
      </c>
      <c r="D45" s="2">
        <v>38870.69</v>
      </c>
      <c r="E45" s="2">
        <v>168134.5</v>
      </c>
      <c r="F45" s="2">
        <v>1067493.11</v>
      </c>
      <c r="G45" s="2">
        <v>532754.67</v>
      </c>
      <c r="H45" s="2">
        <f t="shared" si="0"/>
        <v>1807252.97</v>
      </c>
      <c r="K45" s="3" t="s">
        <v>2903</v>
      </c>
      <c r="L45" s="4">
        <v>0</v>
      </c>
    </row>
    <row r="46" spans="1:28">
      <c r="A46" s="1" t="s">
        <v>369</v>
      </c>
      <c r="B46" s="1" t="s">
        <v>156</v>
      </c>
      <c r="C46" s="1" t="s">
        <v>2893</v>
      </c>
      <c r="D46" s="2">
        <v>20063.44</v>
      </c>
      <c r="E46" s="2">
        <v>183687.96</v>
      </c>
      <c r="F46" s="2">
        <v>1220537.12</v>
      </c>
      <c r="G46" s="2">
        <v>-1009936.35</v>
      </c>
      <c r="H46" s="2">
        <f t="shared" si="0"/>
        <v>414352.17</v>
      </c>
      <c r="J46" s="3" t="s">
        <v>152</v>
      </c>
      <c r="L46" s="4">
        <v>2942812555.1978</v>
      </c>
      <c r="M46" s="4">
        <v>528129021.3276</v>
      </c>
      <c r="N46" s="4">
        <v>1760160136.07</v>
      </c>
      <c r="O46" s="4">
        <v>572497012.745</v>
      </c>
      <c r="P46" s="4">
        <v>82026385.0552</v>
      </c>
      <c r="Q46" s="4">
        <f>(L52-L51)+(L49-L50-L47+L48+L53-L54+L55-L56)*1.06</f>
        <v>27430615.7317999</v>
      </c>
      <c r="S46" s="4" t="s">
        <v>12</v>
      </c>
      <c r="T46" t="s">
        <v>13</v>
      </c>
      <c r="U46" t="s">
        <v>14</v>
      </c>
      <c r="V46" s="3" t="s">
        <v>20</v>
      </c>
      <c r="Y46" s="4" t="s">
        <v>12</v>
      </c>
      <c r="Z46" s="6" t="s">
        <v>13</v>
      </c>
      <c r="AA46" s="6" t="s">
        <v>14</v>
      </c>
      <c r="AB46" s="4" t="s">
        <v>20</v>
      </c>
    </row>
    <row r="47" spans="1:28">
      <c r="A47" s="1" t="s">
        <v>369</v>
      </c>
      <c r="B47" s="1" t="s">
        <v>157</v>
      </c>
      <c r="C47" s="1" t="s">
        <v>2893</v>
      </c>
      <c r="D47" s="2">
        <v>8657.9</v>
      </c>
      <c r="E47" s="2">
        <v>545910.77</v>
      </c>
      <c r="F47" s="2">
        <v>295498.35</v>
      </c>
      <c r="G47" s="2">
        <v>292058.04</v>
      </c>
      <c r="H47" s="2">
        <f t="shared" si="0"/>
        <v>1142125.06</v>
      </c>
      <c r="K47" s="3" t="s">
        <v>2893</v>
      </c>
      <c r="L47" s="4">
        <v>95437208.95</v>
      </c>
      <c r="M47" s="4">
        <v>14135917.82</v>
      </c>
      <c r="N47" s="4">
        <v>2023551.09</v>
      </c>
      <c r="O47" s="4">
        <v>66283275.73</v>
      </c>
      <c r="P47" s="4">
        <v>12994464.31</v>
      </c>
      <c r="Q47" s="4">
        <f>Q46-W49</f>
        <v>-1.15483999252319e-7</v>
      </c>
      <c r="R47" s="4" t="s">
        <v>2894</v>
      </c>
      <c r="S47" s="4">
        <f>(M52-M51)+(M49-M50-M47+M48+M55-M56)*1.06</f>
        <v>9683797.30120001</v>
      </c>
      <c r="T47" s="4">
        <f>(N52-N51)+(N49-N50-N47+N48+N55-N56)*1.06</f>
        <v>5345191.46660001</v>
      </c>
      <c r="U47" s="4">
        <f>(O52-O51)+(O49-O50-O47+O48+O55-O56)*1.06</f>
        <v>10005782.1296</v>
      </c>
      <c r="V47" s="4">
        <f>(P52-P51)+(P49-P50-P47+P48+P55-P56)*1.06</f>
        <v>1668108.841</v>
      </c>
      <c r="X47" s="4" t="s">
        <v>2894</v>
      </c>
      <c r="Y47" s="4">
        <f>S47/10000</f>
        <v>968.379730120001</v>
      </c>
      <c r="Z47" s="4">
        <f>T47/10000</f>
        <v>534.519146660002</v>
      </c>
      <c r="AA47" s="4">
        <f>U47/10000</f>
        <v>1000.57821296</v>
      </c>
      <c r="AB47" s="4">
        <f>V47/10000</f>
        <v>166.8108841</v>
      </c>
    </row>
    <row r="48" spans="1:28">
      <c r="A48" s="1" t="s">
        <v>369</v>
      </c>
      <c r="B48" s="1" t="s">
        <v>158</v>
      </c>
      <c r="C48" s="1" t="s">
        <v>2893</v>
      </c>
      <c r="D48" s="2">
        <v>5067.18</v>
      </c>
      <c r="E48" s="2">
        <v>2048771.6</v>
      </c>
      <c r="F48" s="2">
        <v>4998220.52</v>
      </c>
      <c r="G48" s="2">
        <v>2143108.78</v>
      </c>
      <c r="H48" s="2">
        <f t="shared" si="0"/>
        <v>9195168.08</v>
      </c>
      <c r="K48" s="3" t="s">
        <v>2895</v>
      </c>
      <c r="L48" s="4">
        <v>8822030.72</v>
      </c>
      <c r="M48" s="4">
        <v>1131247.83</v>
      </c>
      <c r="N48" s="4">
        <v>298191.89</v>
      </c>
      <c r="O48" s="4">
        <v>7244950.96</v>
      </c>
      <c r="P48" s="4">
        <v>147640.04</v>
      </c>
      <c r="R48" s="4" t="s">
        <v>583</v>
      </c>
      <c r="S48" s="4">
        <f>(M53-M54)*1.06</f>
        <v>-324326.0058</v>
      </c>
      <c r="T48" s="4">
        <f>(N53-N54)*1.06</f>
        <v>0</v>
      </c>
      <c r="U48" s="4">
        <f>(O53-O54)*1.06</f>
        <v>1052061.9992</v>
      </c>
      <c r="V48" s="4">
        <f>(P53-P54)*1.06</f>
        <v>0</v>
      </c>
      <c r="X48" s="4" t="s">
        <v>583</v>
      </c>
      <c r="Y48" s="4">
        <f>S48/10000</f>
        <v>-32.43260058</v>
      </c>
      <c r="Z48" s="4">
        <f>T48/10000</f>
        <v>0</v>
      </c>
      <c r="AA48" s="4">
        <f>U48/10000</f>
        <v>105.20619992</v>
      </c>
      <c r="AB48" s="4">
        <f>V48/10000</f>
        <v>0</v>
      </c>
    </row>
    <row r="49" spans="1:28">
      <c r="A49" s="1" t="s">
        <v>369</v>
      </c>
      <c r="B49" s="1" t="s">
        <v>159</v>
      </c>
      <c r="C49" s="1" t="s">
        <v>2893</v>
      </c>
      <c r="D49" s="2">
        <v>19872.17</v>
      </c>
      <c r="E49" s="2">
        <v>-455879.94</v>
      </c>
      <c r="F49" s="2">
        <v>7386619.96</v>
      </c>
      <c r="G49" s="2">
        <v>2597744.6</v>
      </c>
      <c r="H49" s="2">
        <f t="shared" si="0"/>
        <v>9548356.79</v>
      </c>
      <c r="K49" s="3" t="s">
        <v>2896</v>
      </c>
      <c r="L49" s="4">
        <v>99023012.48</v>
      </c>
      <c r="M49" s="4">
        <v>14529822.77</v>
      </c>
      <c r="N49" s="4">
        <v>2824004.72</v>
      </c>
      <c r="O49" s="4">
        <v>68674989.13</v>
      </c>
      <c r="P49" s="4">
        <v>12994195.86</v>
      </c>
      <c r="R49" s="4" t="s">
        <v>2897</v>
      </c>
      <c r="T49" s="4"/>
      <c r="U49" s="4"/>
      <c r="V49" s="4"/>
      <c r="W49" s="4">
        <f>SUM(S47:V49)</f>
        <v>27430615.7318</v>
      </c>
      <c r="X49" s="4" t="s">
        <v>2897</v>
      </c>
      <c r="Y49" s="4">
        <f>S49/10000</f>
        <v>0</v>
      </c>
      <c r="Z49" s="4">
        <f>T49/10000</f>
        <v>0</v>
      </c>
      <c r="AA49" s="4">
        <f>U49/10000</f>
        <v>0</v>
      </c>
      <c r="AB49" s="4">
        <f>V49/10000</f>
        <v>0</v>
      </c>
    </row>
    <row r="50" spans="1:16">
      <c r="A50" s="1" t="s">
        <v>369</v>
      </c>
      <c r="B50" s="1" t="s">
        <v>148</v>
      </c>
      <c r="C50" s="1" t="s">
        <v>2902</v>
      </c>
      <c r="D50" s="2">
        <v>16874.34</v>
      </c>
      <c r="E50" s="2">
        <v>635984.4</v>
      </c>
      <c r="F50" s="2">
        <v>35318.6</v>
      </c>
      <c r="G50" s="2">
        <v>0</v>
      </c>
      <c r="H50" s="2">
        <f t="shared" si="0"/>
        <v>688177.34</v>
      </c>
      <c r="K50" s="3" t="s">
        <v>2898</v>
      </c>
      <c r="L50" s="4">
        <v>8841280.21</v>
      </c>
      <c r="M50" s="4">
        <v>1131247.83</v>
      </c>
      <c r="N50" s="4">
        <v>317441.38</v>
      </c>
      <c r="O50" s="4">
        <v>7244950.96</v>
      </c>
      <c r="P50" s="4">
        <v>147640.04</v>
      </c>
    </row>
    <row r="51" spans="1:16">
      <c r="A51" s="1" t="s">
        <v>369</v>
      </c>
      <c r="B51" s="1" t="s">
        <v>149</v>
      </c>
      <c r="C51" s="1" t="s">
        <v>2902</v>
      </c>
      <c r="D51" s="2">
        <v>29620</v>
      </c>
      <c r="E51" s="2">
        <v>846099.94</v>
      </c>
      <c r="F51" s="2">
        <v>36145.28</v>
      </c>
      <c r="G51" s="2">
        <v>0</v>
      </c>
      <c r="H51" s="2">
        <f t="shared" si="0"/>
        <v>911865.22</v>
      </c>
      <c r="K51" s="3" t="s">
        <v>2899</v>
      </c>
      <c r="L51" s="4">
        <v>1353007543.97</v>
      </c>
      <c r="M51" s="4">
        <v>244361050.85</v>
      </c>
      <c r="N51" s="4">
        <v>875100443.329998</v>
      </c>
      <c r="O51" s="4">
        <v>206469809.77</v>
      </c>
      <c r="P51" s="4">
        <v>27076240.02</v>
      </c>
    </row>
    <row r="52" spans="1:16">
      <c r="A52" s="1" t="s">
        <v>369</v>
      </c>
      <c r="B52" s="1" t="s">
        <v>150</v>
      </c>
      <c r="C52" s="1" t="s">
        <v>2902</v>
      </c>
      <c r="D52" s="2">
        <v>40373.9</v>
      </c>
      <c r="E52" s="2">
        <v>227448.86</v>
      </c>
      <c r="F52" s="2">
        <v>63192.28</v>
      </c>
      <c r="G52" s="2">
        <v>0</v>
      </c>
      <c r="H52" s="2">
        <f t="shared" si="0"/>
        <v>331015.04</v>
      </c>
      <c r="K52" s="3" t="s">
        <v>2892</v>
      </c>
      <c r="L52" s="4">
        <v>1359198478.7078</v>
      </c>
      <c r="M52" s="4">
        <v>245118923.0476</v>
      </c>
      <c r="N52" s="4">
        <v>879245591.189998</v>
      </c>
      <c r="O52" s="4">
        <v>207474903.565</v>
      </c>
      <c r="P52" s="4">
        <v>27359060.9052</v>
      </c>
    </row>
    <row r="53" spans="1:16">
      <c r="A53" s="1" t="s">
        <v>369</v>
      </c>
      <c r="B53" s="1" t="s">
        <v>151</v>
      </c>
      <c r="C53" s="1" t="s">
        <v>2902</v>
      </c>
      <c r="D53" s="2">
        <v>36961.5</v>
      </c>
      <c r="E53" s="2">
        <v>332855.89</v>
      </c>
      <c r="F53" s="2">
        <v>17913.98</v>
      </c>
      <c r="G53" s="2">
        <v>0</v>
      </c>
      <c r="H53" s="2">
        <f t="shared" si="0"/>
        <v>387731.37</v>
      </c>
      <c r="K53" s="3" t="s">
        <v>2900</v>
      </c>
      <c r="L53" s="4">
        <v>1692603.04</v>
      </c>
      <c r="M53" s="4">
        <v>-305967.93</v>
      </c>
      <c r="N53" s="4">
        <v>0</v>
      </c>
      <c r="O53" s="4">
        <v>1998570.97</v>
      </c>
      <c r="P53" s="4">
        <v>0</v>
      </c>
    </row>
    <row r="54" spans="1:15">
      <c r="A54" s="1" t="s">
        <v>369</v>
      </c>
      <c r="B54" s="1" t="s">
        <v>152</v>
      </c>
      <c r="C54" s="1" t="s">
        <v>2902</v>
      </c>
      <c r="D54" s="2">
        <v>395037.53</v>
      </c>
      <c r="E54" s="2">
        <v>350912.47</v>
      </c>
      <c r="F54" s="2">
        <v>75088.36</v>
      </c>
      <c r="G54" s="2">
        <v>0</v>
      </c>
      <c r="H54" s="2">
        <f t="shared" si="0"/>
        <v>821038.36</v>
      </c>
      <c r="K54" s="3" t="s">
        <v>2901</v>
      </c>
      <c r="L54" s="4">
        <v>1006059.65</v>
      </c>
      <c r="O54" s="4">
        <v>1006059.65</v>
      </c>
    </row>
    <row r="55" spans="1:16">
      <c r="A55" s="1" t="s">
        <v>369</v>
      </c>
      <c r="B55" s="1" t="s">
        <v>153</v>
      </c>
      <c r="C55" s="1" t="s">
        <v>2902</v>
      </c>
      <c r="D55" s="2">
        <v>25744.64</v>
      </c>
      <c r="E55" s="2">
        <v>621224.81</v>
      </c>
      <c r="F55" s="2">
        <v>405547.84</v>
      </c>
      <c r="G55" s="2">
        <v>60604.72</v>
      </c>
      <c r="H55" s="2">
        <f t="shared" si="0"/>
        <v>1113122.01</v>
      </c>
      <c r="K55" s="3" t="s">
        <v>2902</v>
      </c>
      <c r="L55" s="4">
        <v>15784337.47</v>
      </c>
      <c r="M55" s="4">
        <v>8026779.11</v>
      </c>
      <c r="N55" s="4">
        <v>350912.47</v>
      </c>
      <c r="O55" s="4">
        <v>6099502.01</v>
      </c>
      <c r="P55" s="4">
        <v>1307143.88</v>
      </c>
    </row>
    <row r="56" spans="1:12">
      <c r="A56" s="1" t="s">
        <v>369</v>
      </c>
      <c r="B56" s="1" t="s">
        <v>154</v>
      </c>
      <c r="C56" s="1" t="s">
        <v>2902</v>
      </c>
      <c r="D56" s="2">
        <v>115670.33</v>
      </c>
      <c r="E56" s="2">
        <v>240331.24</v>
      </c>
      <c r="F56" s="2">
        <v>282952.51</v>
      </c>
      <c r="H56" s="2">
        <f t="shared" si="0"/>
        <v>638954.08</v>
      </c>
      <c r="K56" s="3" t="s">
        <v>2903</v>
      </c>
      <c r="L56" s="4">
        <v>0</v>
      </c>
    </row>
    <row r="57" spans="1:28">
      <c r="A57" s="1" t="s">
        <v>369</v>
      </c>
      <c r="B57" s="1" t="s">
        <v>155</v>
      </c>
      <c r="C57" s="1" t="s">
        <v>2902</v>
      </c>
      <c r="D57" s="2">
        <v>25708.13</v>
      </c>
      <c r="E57" s="2">
        <v>358554.05</v>
      </c>
      <c r="F57" s="2">
        <v>56955.25</v>
      </c>
      <c r="G57" s="2">
        <v>4008.92</v>
      </c>
      <c r="H57" s="2">
        <f t="shared" si="0"/>
        <v>445226.35</v>
      </c>
      <c r="J57" s="3" t="s">
        <v>153</v>
      </c>
      <c r="L57" s="4">
        <v>3292914001.518</v>
      </c>
      <c r="M57" s="4">
        <v>438339643.962</v>
      </c>
      <c r="N57" s="4">
        <v>1830834106.66</v>
      </c>
      <c r="O57" s="4">
        <v>862010525.085999</v>
      </c>
      <c r="P57" s="4">
        <v>161729725.81</v>
      </c>
      <c r="Q57" s="4">
        <f>(L63-L62)+(L60-L61-L58+L59+L64-L65+L66-L67)*1.06</f>
        <v>29930092.8377999</v>
      </c>
      <c r="S57" s="4" t="s">
        <v>12</v>
      </c>
      <c r="T57" t="s">
        <v>13</v>
      </c>
      <c r="U57" t="s">
        <v>14</v>
      </c>
      <c r="V57" s="3" t="s">
        <v>20</v>
      </c>
      <c r="Y57" s="4" t="s">
        <v>12</v>
      </c>
      <c r="Z57" s="6" t="s">
        <v>13</v>
      </c>
      <c r="AA57" s="6" t="s">
        <v>14</v>
      </c>
      <c r="AB57" s="4" t="s">
        <v>20</v>
      </c>
    </row>
    <row r="58" spans="1:28">
      <c r="A58" s="1" t="s">
        <v>369</v>
      </c>
      <c r="B58" s="1" t="s">
        <v>156</v>
      </c>
      <c r="C58" s="1" t="s">
        <v>2902</v>
      </c>
      <c r="D58" s="2">
        <v>24702.1</v>
      </c>
      <c r="E58" s="2">
        <v>360098.64</v>
      </c>
      <c r="F58" s="2">
        <v>48636</v>
      </c>
      <c r="G58" s="2">
        <v>135656.69</v>
      </c>
      <c r="H58" s="2">
        <f t="shared" si="0"/>
        <v>569093.43</v>
      </c>
      <c r="K58" s="3" t="s">
        <v>2893</v>
      </c>
      <c r="L58" s="4">
        <v>133171152.06</v>
      </c>
      <c r="M58" s="4">
        <v>13448768.71</v>
      </c>
      <c r="N58" s="4">
        <v>6152583.02</v>
      </c>
      <c r="O58" s="4">
        <v>107105863.72</v>
      </c>
      <c r="P58" s="4">
        <v>6463936.61</v>
      </c>
      <c r="Q58" s="4">
        <f>Q57-W60</f>
        <v>-2.30967998504639e-7</v>
      </c>
      <c r="R58" s="4" t="s">
        <v>2894</v>
      </c>
      <c r="S58" s="4">
        <f>(M63-M62)+(M60-M61-M58+M59+M66-M67)*1.06</f>
        <v>7711374.21740001</v>
      </c>
      <c r="T58" s="4">
        <f>(N63-N62)+(N60-N61-N58+N59+N66-N67)*1.06</f>
        <v>4001192.86239903</v>
      </c>
      <c r="U58" s="4">
        <f>(O63-O62)+(O60-O61-O58+O59+O66-O67)*1.06</f>
        <v>13960129.392401</v>
      </c>
      <c r="V58" s="4">
        <f>(P63-P62)+(P60-P61-P58+P59+P66-P67)*1.06</f>
        <v>3084239.4682001</v>
      </c>
      <c r="X58" s="4" t="s">
        <v>2894</v>
      </c>
      <c r="Y58" s="4">
        <f>S58/10000</f>
        <v>771.137421740001</v>
      </c>
      <c r="Z58" s="4">
        <f>T58/10000</f>
        <v>400.119286239903</v>
      </c>
      <c r="AA58" s="4">
        <f>U58/10000</f>
        <v>1396.0129392401</v>
      </c>
      <c r="AB58" s="4">
        <f>V58/10000</f>
        <v>308.42394682001</v>
      </c>
    </row>
    <row r="59" spans="1:28">
      <c r="A59" s="1" t="s">
        <v>369</v>
      </c>
      <c r="B59" s="1" t="s">
        <v>157</v>
      </c>
      <c r="C59" s="1" t="s">
        <v>2902</v>
      </c>
      <c r="D59" s="2">
        <v>26136.3</v>
      </c>
      <c r="E59" s="2">
        <v>425835.81</v>
      </c>
      <c r="F59" s="2">
        <v>-66046.33</v>
      </c>
      <c r="G59" s="2">
        <v>135801.16</v>
      </c>
      <c r="H59" s="2">
        <f t="shared" si="0"/>
        <v>521726.94</v>
      </c>
      <c r="K59" s="3" t="s">
        <v>2895</v>
      </c>
      <c r="L59" s="4">
        <v>14113931.94</v>
      </c>
      <c r="M59" s="4">
        <v>3820.15</v>
      </c>
      <c r="N59" s="4">
        <v>782115.53</v>
      </c>
      <c r="O59" s="4">
        <v>13327917.68</v>
      </c>
      <c r="P59" s="4">
        <v>78.58</v>
      </c>
      <c r="R59" s="4" t="s">
        <v>583</v>
      </c>
      <c r="S59" s="4">
        <f>(M64-M65)*1.06</f>
        <v>50356.2752</v>
      </c>
      <c r="T59" s="4">
        <f>(N64-N65)*1.06</f>
        <v>0</v>
      </c>
      <c r="U59" s="4">
        <f>(O64-O65)*1.06</f>
        <v>1122800.6222</v>
      </c>
      <c r="V59" s="4">
        <f>(P64-P65)*1.06</f>
        <v>0</v>
      </c>
      <c r="X59" s="4" t="s">
        <v>583</v>
      </c>
      <c r="Y59" s="4">
        <f>S59/10000</f>
        <v>5.03562752</v>
      </c>
      <c r="Z59" s="4">
        <f>T59/10000</f>
        <v>0</v>
      </c>
      <c r="AA59" s="4">
        <f>U59/10000</f>
        <v>112.28006222</v>
      </c>
      <c r="AB59" s="4">
        <f>V59/10000</f>
        <v>0</v>
      </c>
    </row>
    <row r="60" spans="1:28">
      <c r="A60" s="1" t="s">
        <v>369</v>
      </c>
      <c r="B60" s="1" t="s">
        <v>158</v>
      </c>
      <c r="C60" s="1" t="s">
        <v>2902</v>
      </c>
      <c r="D60" s="2">
        <v>40594.48</v>
      </c>
      <c r="E60" s="2">
        <v>431850.9</v>
      </c>
      <c r="F60" s="2">
        <v>1107501.14</v>
      </c>
      <c r="G60" s="2">
        <v>374462.14</v>
      </c>
      <c r="H60" s="2">
        <f t="shared" si="0"/>
        <v>1954408.66</v>
      </c>
      <c r="K60" s="3" t="s">
        <v>2896</v>
      </c>
      <c r="L60" s="4">
        <v>133678042.66</v>
      </c>
      <c r="M60" s="4">
        <v>13941915.36</v>
      </c>
      <c r="N60" s="4">
        <v>5542149.47</v>
      </c>
      <c r="O60" s="4">
        <v>107501148.22</v>
      </c>
      <c r="P60" s="4">
        <v>6692829.61</v>
      </c>
      <c r="R60" s="4" t="s">
        <v>2897</v>
      </c>
      <c r="T60" s="4"/>
      <c r="U60" s="4"/>
      <c r="V60" s="4"/>
      <c r="W60" s="4">
        <f>SUM(S58:V60)</f>
        <v>29930092.8378001</v>
      </c>
      <c r="X60" s="4" t="s">
        <v>2897</v>
      </c>
      <c r="Y60" s="4">
        <f>S60/10000</f>
        <v>0</v>
      </c>
      <c r="Z60" s="4">
        <f>T60/10000</f>
        <v>0</v>
      </c>
      <c r="AA60" s="4">
        <f>U60/10000</f>
        <v>0</v>
      </c>
      <c r="AB60" s="4">
        <f>V60/10000</f>
        <v>0</v>
      </c>
    </row>
    <row r="61" spans="1:16">
      <c r="A61" s="1" t="s">
        <v>369</v>
      </c>
      <c r="B61" s="1" t="s">
        <v>159</v>
      </c>
      <c r="C61" s="1" t="s">
        <v>2902</v>
      </c>
      <c r="D61" s="2">
        <v>26165.84</v>
      </c>
      <c r="E61" s="2">
        <v>567888.52</v>
      </c>
      <c r="F61" s="2">
        <v>203104.79</v>
      </c>
      <c r="G61" s="2">
        <v>593170.76</v>
      </c>
      <c r="H61" s="2">
        <f t="shared" si="0"/>
        <v>1390329.91</v>
      </c>
      <c r="K61" s="3" t="s">
        <v>2898</v>
      </c>
      <c r="L61" s="4">
        <v>14300545.16</v>
      </c>
      <c r="M61" s="4">
        <v>3820.15</v>
      </c>
      <c r="N61" s="4">
        <v>968728.75</v>
      </c>
      <c r="O61" s="4">
        <v>13327917.68</v>
      </c>
      <c r="P61" s="4">
        <v>78.58</v>
      </c>
    </row>
    <row r="62" spans="1:16">
      <c r="A62" s="1" t="s">
        <v>369</v>
      </c>
      <c r="B62" s="1" t="s">
        <v>148</v>
      </c>
      <c r="C62" s="1" t="s">
        <v>2900</v>
      </c>
      <c r="D62" s="2">
        <v>0</v>
      </c>
      <c r="E62" s="2">
        <v>0</v>
      </c>
      <c r="F62" s="2">
        <v>86103.47</v>
      </c>
      <c r="G62" s="2">
        <v>0</v>
      </c>
      <c r="H62" s="2">
        <f t="shared" si="0"/>
        <v>86103.47</v>
      </c>
      <c r="K62" s="3" t="s">
        <v>2899</v>
      </c>
      <c r="L62" s="4">
        <v>1484276083.558</v>
      </c>
      <c r="M62" s="4">
        <v>202029180.002</v>
      </c>
      <c r="N62" s="4">
        <v>906289870.470001</v>
      </c>
      <c r="O62" s="4">
        <v>303090803.305999</v>
      </c>
      <c r="P62" s="4">
        <v>72866229.78</v>
      </c>
    </row>
    <row r="63" spans="1:16">
      <c r="A63" s="1" t="s">
        <v>369</v>
      </c>
      <c r="B63" s="1" t="s">
        <v>149</v>
      </c>
      <c r="C63" s="1" t="s">
        <v>2900</v>
      </c>
      <c r="D63" s="2">
        <v>0</v>
      </c>
      <c r="E63" s="2">
        <v>0</v>
      </c>
      <c r="F63" s="2">
        <v>88845.38</v>
      </c>
      <c r="G63" s="2">
        <v>0</v>
      </c>
      <c r="H63" s="2">
        <f t="shared" si="0"/>
        <v>88845.38</v>
      </c>
      <c r="K63" s="3" t="s">
        <v>2892</v>
      </c>
      <c r="L63" s="4">
        <v>1491052049.51</v>
      </c>
      <c r="M63" s="4">
        <v>202978215.33</v>
      </c>
      <c r="N63" s="4">
        <v>910477434.61</v>
      </c>
      <c r="O63" s="4">
        <v>301910993.89</v>
      </c>
      <c r="P63" s="4">
        <v>75685405.6800001</v>
      </c>
    </row>
    <row r="64" spans="1:16">
      <c r="A64" s="1" t="s">
        <v>369</v>
      </c>
      <c r="B64" s="1" t="s">
        <v>150</v>
      </c>
      <c r="C64" s="1" t="s">
        <v>2900</v>
      </c>
      <c r="D64" s="2">
        <v>4871.96</v>
      </c>
      <c r="E64" s="2">
        <v>0</v>
      </c>
      <c r="F64" s="2">
        <v>85093.94</v>
      </c>
      <c r="G64" s="2">
        <v>0</v>
      </c>
      <c r="H64" s="2">
        <f t="shared" si="0"/>
        <v>89965.9</v>
      </c>
      <c r="K64" s="3" t="s">
        <v>2900</v>
      </c>
      <c r="L64" s="4">
        <v>1506230.83</v>
      </c>
      <c r="M64" s="4">
        <v>47505.92</v>
      </c>
      <c r="N64" s="4">
        <v>0</v>
      </c>
      <c r="O64" s="4">
        <v>1458724.91</v>
      </c>
      <c r="P64" s="4">
        <v>0</v>
      </c>
    </row>
    <row r="65" spans="1:15">
      <c r="A65" s="1" t="s">
        <v>369</v>
      </c>
      <c r="B65" s="1" t="s">
        <v>151</v>
      </c>
      <c r="C65" s="1" t="s">
        <v>2900</v>
      </c>
      <c r="D65" s="2">
        <v>2096.15</v>
      </c>
      <c r="E65" s="2">
        <v>0</v>
      </c>
      <c r="F65" s="2">
        <v>0</v>
      </c>
      <c r="G65" s="2">
        <v>0</v>
      </c>
      <c r="H65" s="2">
        <f t="shared" si="0"/>
        <v>2096.15</v>
      </c>
      <c r="K65" s="3" t="s">
        <v>2901</v>
      </c>
      <c r="L65" s="4">
        <v>399479.04</v>
      </c>
      <c r="O65" s="4">
        <v>399479.04</v>
      </c>
    </row>
    <row r="66" spans="1:16">
      <c r="A66" s="1" t="s">
        <v>369</v>
      </c>
      <c r="B66" s="1" t="s">
        <v>152</v>
      </c>
      <c r="C66" s="1" t="s">
        <v>2900</v>
      </c>
      <c r="D66" s="2">
        <v>23.58</v>
      </c>
      <c r="E66" s="2">
        <v>0</v>
      </c>
      <c r="F66" s="2">
        <v>709.23</v>
      </c>
      <c r="G66" s="2">
        <v>0</v>
      </c>
      <c r="H66" s="2">
        <f t="shared" ref="H66:H129" si="2">SUM(D66:G66)</f>
        <v>732.81</v>
      </c>
      <c r="K66" s="3" t="s">
        <v>2902</v>
      </c>
      <c r="L66" s="4">
        <v>20416486.76</v>
      </c>
      <c r="M66" s="4">
        <v>5886418.34</v>
      </c>
      <c r="N66" s="4">
        <v>621224.81</v>
      </c>
      <c r="O66" s="4">
        <v>13887676.64</v>
      </c>
      <c r="P66" s="4">
        <v>21166.97</v>
      </c>
    </row>
    <row r="67" spans="1:12">
      <c r="A67" s="1" t="s">
        <v>369</v>
      </c>
      <c r="B67" s="1" t="s">
        <v>153</v>
      </c>
      <c r="C67" s="1" t="s">
        <v>2900</v>
      </c>
      <c r="D67" s="2">
        <v>336.11</v>
      </c>
      <c r="E67" s="2">
        <v>0</v>
      </c>
      <c r="F67" s="2">
        <v>269600.58</v>
      </c>
      <c r="G67" s="2">
        <v>0</v>
      </c>
      <c r="H67" s="2">
        <f t="shared" si="2"/>
        <v>269936.69</v>
      </c>
      <c r="K67" s="3" t="s">
        <v>2903</v>
      </c>
      <c r="L67" s="4">
        <v>0</v>
      </c>
    </row>
    <row r="68" spans="1:28">
      <c r="A68" s="1" t="s">
        <v>369</v>
      </c>
      <c r="B68" s="1" t="s">
        <v>154</v>
      </c>
      <c r="C68" s="1" t="s">
        <v>2900</v>
      </c>
      <c r="D68" s="2">
        <v>219.66</v>
      </c>
      <c r="E68" s="2">
        <v>0</v>
      </c>
      <c r="F68" s="2">
        <v>60154.53</v>
      </c>
      <c r="G68" s="2">
        <v>0</v>
      </c>
      <c r="H68" s="2">
        <f t="shared" si="2"/>
        <v>60374.19</v>
      </c>
      <c r="J68" s="3" t="s">
        <v>154</v>
      </c>
      <c r="L68" s="4">
        <v>2749333529.4572</v>
      </c>
      <c r="M68" s="4">
        <v>500316739.3172</v>
      </c>
      <c r="N68" s="4">
        <v>1410758735.26</v>
      </c>
      <c r="O68" s="4">
        <v>736935329.95</v>
      </c>
      <c r="P68" s="4">
        <v>101322724.93</v>
      </c>
      <c r="Q68" s="4">
        <f>(L74-L73)+(L71-L72-L69+L70+L75-L76+L77-L78)*1.06</f>
        <v>22508502.2978</v>
      </c>
      <c r="S68" s="4" t="s">
        <v>12</v>
      </c>
      <c r="T68" t="s">
        <v>13</v>
      </c>
      <c r="U68" t="s">
        <v>14</v>
      </c>
      <c r="V68" s="3" t="s">
        <v>20</v>
      </c>
      <c r="Y68" s="4" t="s">
        <v>12</v>
      </c>
      <c r="Z68" s="6" t="s">
        <v>13</v>
      </c>
      <c r="AA68" s="6" t="s">
        <v>14</v>
      </c>
      <c r="AB68" s="4" t="s">
        <v>20</v>
      </c>
    </row>
    <row r="69" spans="1:28">
      <c r="A69" s="1" t="s">
        <v>369</v>
      </c>
      <c r="B69" s="1" t="s">
        <v>155</v>
      </c>
      <c r="C69" s="1" t="s">
        <v>2900</v>
      </c>
      <c r="D69" s="2">
        <v>700.8</v>
      </c>
      <c r="E69" s="2">
        <v>7202</v>
      </c>
      <c r="F69" s="2">
        <v>317989.86</v>
      </c>
      <c r="H69" s="2">
        <f t="shared" si="2"/>
        <v>325892.66</v>
      </c>
      <c r="K69" s="3" t="s">
        <v>2893</v>
      </c>
      <c r="L69" s="4">
        <v>120745115.83</v>
      </c>
      <c r="M69" s="4">
        <v>17650730.06</v>
      </c>
      <c r="N69" s="4">
        <v>7483009.12</v>
      </c>
      <c r="O69" s="4">
        <v>81267640</v>
      </c>
      <c r="P69" s="4">
        <v>14343736.65</v>
      </c>
      <c r="Q69" s="4">
        <f>Q68-W71</f>
        <v>-4.92855906486511e-6</v>
      </c>
      <c r="R69" s="4" t="s">
        <v>2894</v>
      </c>
      <c r="S69" s="4">
        <f>(M74-M73)+(M71-M72-M69+M70+M77-M78)*1.06</f>
        <v>6927879.55379999</v>
      </c>
      <c r="T69" s="4">
        <f>(N74-N73)+(N71-N72-N69+N70+N77-N78)*1.06</f>
        <v>5413051.49200498</v>
      </c>
      <c r="U69" s="4">
        <f>(O74-O73)+(O71-O72-O69+O70+O77-O78)*1.06</f>
        <v>7393279.6328</v>
      </c>
      <c r="V69" s="4">
        <f>(P74-P73)+(P71-P72-P69+P70+P77-P78)*1.06</f>
        <v>1716318.53</v>
      </c>
      <c r="X69" s="4" t="s">
        <v>2894</v>
      </c>
      <c r="Y69" s="4">
        <f>S69/10000</f>
        <v>692.787955379999</v>
      </c>
      <c r="Z69" s="4">
        <f>T69/10000</f>
        <v>541.305149200498</v>
      </c>
      <c r="AA69" s="4">
        <f>U69/10000</f>
        <v>739.32796328</v>
      </c>
      <c r="AB69" s="4">
        <f>V69/10000</f>
        <v>171.631853</v>
      </c>
    </row>
    <row r="70" spans="1:28">
      <c r="A70" s="1" t="s">
        <v>369</v>
      </c>
      <c r="B70" s="1" t="s">
        <v>156</v>
      </c>
      <c r="C70" s="1" t="s">
        <v>2900</v>
      </c>
      <c r="D70" s="2">
        <v>2664.13</v>
      </c>
      <c r="E70" s="2">
        <v>2317</v>
      </c>
      <c r="F70" s="2">
        <v>571248.61</v>
      </c>
      <c r="G70" s="2">
        <v>2666.39</v>
      </c>
      <c r="H70" s="2">
        <f t="shared" si="2"/>
        <v>578896.13</v>
      </c>
      <c r="K70" s="3" t="s">
        <v>2895</v>
      </c>
      <c r="L70" s="4">
        <v>12254156.07</v>
      </c>
      <c r="M70" s="4">
        <v>1997244.72</v>
      </c>
      <c r="N70" s="4">
        <v>2408812.01</v>
      </c>
      <c r="O70" s="4">
        <v>7848099.34</v>
      </c>
      <c r="R70" s="4" t="s">
        <v>583</v>
      </c>
      <c r="S70" s="4">
        <f>(M75-M76)*1.06</f>
        <v>232.8396</v>
      </c>
      <c r="T70" s="4">
        <f>(N75-N76)*1.06</f>
        <v>0</v>
      </c>
      <c r="U70" s="4">
        <f>(O75-O76)*1.06</f>
        <v>1057740.2496</v>
      </c>
      <c r="V70" s="4">
        <f>(P75-P76)*1.06</f>
        <v>0</v>
      </c>
      <c r="X70" s="4" t="s">
        <v>583</v>
      </c>
      <c r="Y70" s="4">
        <f>S70/10000</f>
        <v>0.02328396</v>
      </c>
      <c r="Z70" s="4">
        <f>T70/10000</f>
        <v>0</v>
      </c>
      <c r="AA70" s="4">
        <f>U70/10000</f>
        <v>105.77402496</v>
      </c>
      <c r="AB70" s="4">
        <f>V70/10000</f>
        <v>0</v>
      </c>
    </row>
    <row r="71" spans="1:28">
      <c r="A71" s="1" t="s">
        <v>369</v>
      </c>
      <c r="B71" s="1" t="s">
        <v>157</v>
      </c>
      <c r="C71" s="1" t="s">
        <v>2900</v>
      </c>
      <c r="D71" s="2">
        <v>25409.04</v>
      </c>
      <c r="E71" s="2">
        <v>0</v>
      </c>
      <c r="F71" s="2">
        <v>1306876.3</v>
      </c>
      <c r="G71" s="2">
        <v>2208.05</v>
      </c>
      <c r="H71" s="2">
        <f t="shared" si="2"/>
        <v>1334493.39</v>
      </c>
      <c r="K71" s="3" t="s">
        <v>2896</v>
      </c>
      <c r="L71" s="4">
        <v>119283808.84</v>
      </c>
      <c r="M71" s="4">
        <v>18211493.44</v>
      </c>
      <c r="N71" s="4">
        <v>7572607.61</v>
      </c>
      <c r="O71" s="4">
        <v>79040844.01</v>
      </c>
      <c r="P71" s="4">
        <v>14458863.78</v>
      </c>
      <c r="R71" s="4" t="s">
        <v>2897</v>
      </c>
      <c r="T71" s="4"/>
      <c r="U71" s="4"/>
      <c r="V71" s="4"/>
      <c r="W71" s="4">
        <f>SUM(S69:V71)</f>
        <v>22508502.297805</v>
      </c>
      <c r="X71" s="4" t="s">
        <v>2897</v>
      </c>
      <c r="Y71" s="4">
        <f>S71/10000</f>
        <v>0</v>
      </c>
      <c r="Z71" s="4">
        <f>T71/10000</f>
        <v>0</v>
      </c>
      <c r="AA71" s="4">
        <f>U71/10000</f>
        <v>0</v>
      </c>
      <c r="AB71" s="4">
        <f>V71/10000</f>
        <v>0</v>
      </c>
    </row>
    <row r="72" spans="1:15">
      <c r="A72" s="1" t="s">
        <v>369</v>
      </c>
      <c r="B72" s="1" t="s">
        <v>158</v>
      </c>
      <c r="C72" s="1" t="s">
        <v>2900</v>
      </c>
      <c r="D72" s="2">
        <v>82143.28</v>
      </c>
      <c r="E72" s="2">
        <v>0</v>
      </c>
      <c r="F72" s="2">
        <v>3753774.69</v>
      </c>
      <c r="G72" s="2">
        <v>2113.47</v>
      </c>
      <c r="H72" s="2">
        <f t="shared" si="2"/>
        <v>3838031.44</v>
      </c>
      <c r="K72" s="3" t="s">
        <v>2898</v>
      </c>
      <c r="L72" s="4">
        <v>12235687.6</v>
      </c>
      <c r="M72" s="4">
        <v>1997244.72</v>
      </c>
      <c r="N72" s="4">
        <v>2390343.54</v>
      </c>
      <c r="O72" s="4">
        <v>7848099.34</v>
      </c>
    </row>
    <row r="73" spans="1:16">
      <c r="A73" s="1" t="s">
        <v>369</v>
      </c>
      <c r="B73" s="1" t="s">
        <v>159</v>
      </c>
      <c r="C73" s="1" t="s">
        <v>2900</v>
      </c>
      <c r="D73" s="2">
        <v>12301.45</v>
      </c>
      <c r="E73" s="2">
        <v>0</v>
      </c>
      <c r="F73" s="2">
        <v>95807.89</v>
      </c>
      <c r="G73" s="2">
        <v>24266.62</v>
      </c>
      <c r="H73" s="2">
        <f t="shared" si="2"/>
        <v>132375.96</v>
      </c>
      <c r="K73" s="3" t="s">
        <v>2899</v>
      </c>
      <c r="L73" s="4">
        <v>1229940932.2572</v>
      </c>
      <c r="M73" s="4">
        <v>227210330.5772</v>
      </c>
      <c r="N73" s="4">
        <v>692809941.169998</v>
      </c>
      <c r="O73" s="4">
        <v>274457724.58</v>
      </c>
      <c r="P73" s="4">
        <v>35462935.93</v>
      </c>
    </row>
    <row r="74" spans="1:16">
      <c r="A74" s="1" t="s">
        <v>369</v>
      </c>
      <c r="B74" s="1" t="s">
        <v>159</v>
      </c>
      <c r="C74" s="1" t="s">
        <v>2904</v>
      </c>
      <c r="D74" s="2">
        <v>206672.91</v>
      </c>
      <c r="H74" s="2">
        <f t="shared" si="2"/>
        <v>206672.91</v>
      </c>
      <c r="K74" s="3" t="s">
        <v>2892</v>
      </c>
      <c r="L74" s="4">
        <v>1239000373.71</v>
      </c>
      <c r="M74" s="4">
        <v>228344062.67</v>
      </c>
      <c r="N74" s="4">
        <v>697853690.570003</v>
      </c>
      <c r="O74" s="4">
        <v>275745950.77</v>
      </c>
      <c r="P74" s="4">
        <v>37056669.7</v>
      </c>
    </row>
    <row r="75" spans="1:16">
      <c r="A75" s="1" t="s">
        <v>369</v>
      </c>
      <c r="B75" s="1" t="s">
        <v>159</v>
      </c>
      <c r="C75" s="1" t="s">
        <v>2905</v>
      </c>
      <c r="D75" s="2">
        <v>0</v>
      </c>
      <c r="E75" s="2">
        <v>0</v>
      </c>
      <c r="F75" s="2">
        <v>0</v>
      </c>
      <c r="G75" s="2">
        <v>196008.24</v>
      </c>
      <c r="H75" s="2">
        <f t="shared" si="2"/>
        <v>196008.24</v>
      </c>
      <c r="K75" s="3" t="s">
        <v>2900</v>
      </c>
      <c r="L75" s="4">
        <v>1869499.51</v>
      </c>
      <c r="M75" s="4">
        <v>219.66</v>
      </c>
      <c r="N75" s="4">
        <v>0</v>
      </c>
      <c r="O75" s="4">
        <v>1869279.85</v>
      </c>
      <c r="P75" s="4">
        <v>0</v>
      </c>
    </row>
    <row r="76" spans="1:15">
      <c r="A76" s="1" t="s">
        <v>2906</v>
      </c>
      <c r="B76" s="1" t="s">
        <v>148</v>
      </c>
      <c r="C76" s="1" t="s">
        <v>2892</v>
      </c>
      <c r="D76" s="2">
        <v>8965069.339</v>
      </c>
      <c r="E76" s="2">
        <v>0</v>
      </c>
      <c r="F76" s="2">
        <v>572335.5268</v>
      </c>
      <c r="G76" s="2">
        <v>38400</v>
      </c>
      <c r="H76" s="2">
        <f t="shared" si="2"/>
        <v>9575804.8658</v>
      </c>
      <c r="K76" s="3" t="s">
        <v>2901</v>
      </c>
      <c r="L76" s="4">
        <v>871411.69</v>
      </c>
      <c r="O76" s="4">
        <v>871411.69</v>
      </c>
    </row>
    <row r="77" spans="1:16">
      <c r="A77" s="1" t="s">
        <v>2906</v>
      </c>
      <c r="B77" s="1" t="s">
        <v>149</v>
      </c>
      <c r="C77" s="1" t="s">
        <v>2892</v>
      </c>
      <c r="D77" s="2">
        <v>4191181.4188</v>
      </c>
      <c r="E77" s="2">
        <v>0</v>
      </c>
      <c r="F77" s="2">
        <v>12542.4156</v>
      </c>
      <c r="G77" s="2">
        <v>0</v>
      </c>
      <c r="H77" s="2">
        <f t="shared" si="2"/>
        <v>4203723.8344</v>
      </c>
      <c r="K77" s="3" t="s">
        <v>2902</v>
      </c>
      <c r="L77" s="4">
        <v>13132543.95</v>
      </c>
      <c r="M77" s="4">
        <v>4905413.47</v>
      </c>
      <c r="N77" s="4">
        <v>240331.24</v>
      </c>
      <c r="O77" s="4">
        <v>7986280.37</v>
      </c>
      <c r="P77" s="4">
        <v>518.87</v>
      </c>
    </row>
    <row r="78" spans="1:12">
      <c r="A78" s="1" t="s">
        <v>2906</v>
      </c>
      <c r="B78" s="1" t="s">
        <v>150</v>
      </c>
      <c r="C78" s="1" t="s">
        <v>2892</v>
      </c>
      <c r="D78" s="2">
        <v>2732998.71</v>
      </c>
      <c r="E78" s="2">
        <v>0</v>
      </c>
      <c r="F78" s="2">
        <v>1527.3</v>
      </c>
      <c r="G78" s="2">
        <v>0</v>
      </c>
      <c r="H78" s="2">
        <f t="shared" si="2"/>
        <v>2734526.01</v>
      </c>
      <c r="K78" s="3" t="s">
        <v>2903</v>
      </c>
      <c r="L78" s="4">
        <v>0</v>
      </c>
    </row>
    <row r="79" spans="1:28">
      <c r="A79" s="1" t="s">
        <v>2906</v>
      </c>
      <c r="B79" s="1" t="s">
        <v>151</v>
      </c>
      <c r="C79" s="1" t="s">
        <v>2892</v>
      </c>
      <c r="D79" s="2">
        <v>2645212.77</v>
      </c>
      <c r="E79" s="2">
        <v>0</v>
      </c>
      <c r="F79" s="2">
        <v>567.9</v>
      </c>
      <c r="G79" s="2">
        <v>0</v>
      </c>
      <c r="H79" s="2">
        <f t="shared" si="2"/>
        <v>2645780.67</v>
      </c>
      <c r="J79" s="3" t="s">
        <v>155</v>
      </c>
      <c r="L79" s="4">
        <v>2662367885.8068</v>
      </c>
      <c r="M79" s="4">
        <v>502715968.1856</v>
      </c>
      <c r="N79" s="4">
        <v>1254147278.9362</v>
      </c>
      <c r="O79" s="4">
        <v>808333454.5602</v>
      </c>
      <c r="P79" s="4">
        <v>97171184.1248</v>
      </c>
      <c r="Q79" s="4">
        <f>(L85-L84)+(L82-L83-L80+L81+L86-L87+L88-L89)*1.06</f>
        <v>29174303.958</v>
      </c>
      <c r="S79" s="4" t="s">
        <v>12</v>
      </c>
      <c r="T79" t="s">
        <v>13</v>
      </c>
      <c r="U79" t="s">
        <v>14</v>
      </c>
      <c r="V79" s="3" t="s">
        <v>20</v>
      </c>
      <c r="Y79" s="4" t="s">
        <v>12</v>
      </c>
      <c r="Z79" s="6" t="s">
        <v>13</v>
      </c>
      <c r="AA79" s="6" t="s">
        <v>14</v>
      </c>
      <c r="AB79" s="4" t="s">
        <v>20</v>
      </c>
    </row>
    <row r="80" spans="1:28">
      <c r="A80" s="1" t="s">
        <v>2906</v>
      </c>
      <c r="B80" s="1" t="s">
        <v>152</v>
      </c>
      <c r="C80" s="1" t="s">
        <v>2892</v>
      </c>
      <c r="D80" s="2">
        <v>4709975.83</v>
      </c>
      <c r="E80" s="2">
        <v>0</v>
      </c>
      <c r="F80" s="2">
        <v>1293.9</v>
      </c>
      <c r="G80" s="2">
        <v>0</v>
      </c>
      <c r="H80" s="2">
        <f t="shared" si="2"/>
        <v>4711269.73</v>
      </c>
      <c r="K80" s="3" t="s">
        <v>2893</v>
      </c>
      <c r="L80" s="4">
        <v>153826357.35</v>
      </c>
      <c r="M80" s="4">
        <v>14089178.37</v>
      </c>
      <c r="N80" s="4">
        <v>3366830.27</v>
      </c>
      <c r="O80" s="4">
        <v>119012928.41</v>
      </c>
      <c r="P80" s="4">
        <v>17357420.3</v>
      </c>
      <c r="Q80" s="4">
        <f>Q79-W82</f>
        <v>1.96695327758789e-6</v>
      </c>
      <c r="R80" s="4" t="s">
        <v>2894</v>
      </c>
      <c r="S80" s="4">
        <f>(M85-M84)+(M82-M83-M80+M81+M88-M89)*1.06</f>
        <v>9769759.2326</v>
      </c>
      <c r="T80" s="4">
        <f>(N85-N84)+(N82-N83-N80+N81+N88-N89)*1.06</f>
        <v>3753202.15739802</v>
      </c>
      <c r="U80" s="4">
        <f>(O85-O84)+(O82-O83-O80+O81+O88-O89)*1.06</f>
        <v>9374906.14660002</v>
      </c>
      <c r="V80" s="4">
        <f>(P85-P84)+(P82-P83-P80+P81+P88-P89)*1.06</f>
        <v>4278745.2422</v>
      </c>
      <c r="X80" s="4" t="s">
        <v>2894</v>
      </c>
      <c r="Y80" s="4">
        <f>S80/10000</f>
        <v>976.97592326</v>
      </c>
      <c r="Z80" s="4">
        <f>T80/10000</f>
        <v>375.320215739802</v>
      </c>
      <c r="AA80" s="4">
        <f>U80/10000</f>
        <v>937.490614660002</v>
      </c>
      <c r="AB80" s="4">
        <f>V80/10000</f>
        <v>427.87452422</v>
      </c>
    </row>
    <row r="81" spans="1:28">
      <c r="A81" s="1" t="s">
        <v>2906</v>
      </c>
      <c r="B81" s="1" t="s">
        <v>153</v>
      </c>
      <c r="C81" s="1" t="s">
        <v>2892</v>
      </c>
      <c r="D81" s="2">
        <v>2484889.77</v>
      </c>
      <c r="E81" s="2">
        <v>0</v>
      </c>
      <c r="F81" s="2">
        <v>4295.7</v>
      </c>
      <c r="G81" s="2">
        <v>0</v>
      </c>
      <c r="H81" s="2">
        <f t="shared" si="2"/>
        <v>2489185.47</v>
      </c>
      <c r="K81" s="3" t="s">
        <v>2895</v>
      </c>
      <c r="L81" s="4">
        <v>20989714.59</v>
      </c>
      <c r="M81" s="4">
        <v>249034.24</v>
      </c>
      <c r="N81" s="4">
        <v>212888.18</v>
      </c>
      <c r="O81" s="4">
        <v>20313796.45</v>
      </c>
      <c r="P81" s="4">
        <v>213995.72</v>
      </c>
      <c r="R81" s="4" t="s">
        <v>583</v>
      </c>
      <c r="S81" s="4">
        <f>(M86-M87)*1.06</f>
        <v>2742.8454</v>
      </c>
      <c r="T81" s="4">
        <f>(N86-N87)*1.06</f>
        <v>7634.12</v>
      </c>
      <c r="U81" s="4">
        <f>(O86-O87)*1.06</f>
        <v>1987314.2138</v>
      </c>
      <c r="V81" s="4">
        <f>(P86-P87)*1.06</f>
        <v>0</v>
      </c>
      <c r="X81" s="4" t="s">
        <v>583</v>
      </c>
      <c r="Y81" s="4">
        <f>S81/10000</f>
        <v>0.27428454</v>
      </c>
      <c r="Z81" s="4">
        <f>T81/10000</f>
        <v>0.763412</v>
      </c>
      <c r="AA81" s="4">
        <f>U81/10000</f>
        <v>198.73142138</v>
      </c>
      <c r="AB81" s="4">
        <f>V81/10000</f>
        <v>0</v>
      </c>
    </row>
    <row r="82" spans="1:28">
      <c r="A82" s="1" t="s">
        <v>2906</v>
      </c>
      <c r="B82" s="1" t="s">
        <v>154</v>
      </c>
      <c r="C82" s="1" t="s">
        <v>2892</v>
      </c>
      <c r="D82" s="2">
        <v>2084085.64</v>
      </c>
      <c r="F82" s="2">
        <v>12779.2</v>
      </c>
      <c r="H82" s="2">
        <f t="shared" si="2"/>
        <v>2096864.84</v>
      </c>
      <c r="K82" s="3" t="s">
        <v>2896</v>
      </c>
      <c r="L82" s="4">
        <v>155767864.33</v>
      </c>
      <c r="M82" s="4">
        <v>14724585.33</v>
      </c>
      <c r="N82" s="4">
        <v>3400292.47</v>
      </c>
      <c r="O82" s="4">
        <v>117209940.73</v>
      </c>
      <c r="P82" s="4">
        <v>20433045.8</v>
      </c>
      <c r="R82" s="4" t="s">
        <v>2897</v>
      </c>
      <c r="T82" s="4"/>
      <c r="U82" s="4"/>
      <c r="V82" s="4"/>
      <c r="W82" s="4">
        <f>SUM(S80:V82)</f>
        <v>29174303.957998</v>
      </c>
      <c r="X82" s="4" t="s">
        <v>2897</v>
      </c>
      <c r="Y82" s="4">
        <f>S82/10000</f>
        <v>0</v>
      </c>
      <c r="Z82" s="4">
        <f>T82/10000</f>
        <v>0</v>
      </c>
      <c r="AA82" s="4">
        <f>U82/10000</f>
        <v>0</v>
      </c>
      <c r="AB82" s="4">
        <f>V82/10000</f>
        <v>0</v>
      </c>
    </row>
    <row r="83" spans="1:16">
      <c r="A83" s="1" t="s">
        <v>2906</v>
      </c>
      <c r="B83" s="1" t="s">
        <v>155</v>
      </c>
      <c r="C83" s="1" t="s">
        <v>2892</v>
      </c>
      <c r="D83" s="2">
        <v>1949959.0304</v>
      </c>
      <c r="F83" s="2">
        <v>102644.66</v>
      </c>
      <c r="H83" s="2">
        <f t="shared" si="2"/>
        <v>2052603.6904</v>
      </c>
      <c r="K83" s="3" t="s">
        <v>2898</v>
      </c>
      <c r="L83" s="4">
        <v>20948485.28</v>
      </c>
      <c r="M83" s="4">
        <v>249034.24</v>
      </c>
      <c r="N83" s="4">
        <v>171658.87</v>
      </c>
      <c r="O83" s="4">
        <v>20313796.45</v>
      </c>
      <c r="P83" s="4">
        <v>213995.72</v>
      </c>
    </row>
    <row r="84" spans="1:16">
      <c r="A84" s="1" t="s">
        <v>2906</v>
      </c>
      <c r="B84" s="1" t="s">
        <v>156</v>
      </c>
      <c r="C84" s="1" t="s">
        <v>2892</v>
      </c>
      <c r="D84" s="2">
        <v>2191280.48</v>
      </c>
      <c r="F84" s="2">
        <v>5817774.87</v>
      </c>
      <c r="G84" s="2">
        <v>400</v>
      </c>
      <c r="H84" s="2">
        <f t="shared" si="2"/>
        <v>8009455.35</v>
      </c>
      <c r="K84" s="3" t="s">
        <v>2899</v>
      </c>
      <c r="L84" s="4">
        <v>1141658060.0664</v>
      </c>
      <c r="M84" s="4">
        <v>232347432.6052</v>
      </c>
      <c r="N84" s="4">
        <v>621667945.6162</v>
      </c>
      <c r="O84" s="4">
        <v>258663038.1602</v>
      </c>
      <c r="P84" s="4">
        <v>28979643.6848</v>
      </c>
    </row>
    <row r="85" spans="1:16">
      <c r="A85" s="1" t="s">
        <v>2906</v>
      </c>
      <c r="B85" s="1" t="s">
        <v>157</v>
      </c>
      <c r="C85" s="1" t="s">
        <v>2892</v>
      </c>
      <c r="D85" s="2">
        <v>2902718.99</v>
      </c>
      <c r="F85" s="2">
        <v>23398275.77</v>
      </c>
      <c r="G85" s="2">
        <v>1392</v>
      </c>
      <c r="H85" s="2">
        <f t="shared" si="2"/>
        <v>26302386.76</v>
      </c>
      <c r="K85" s="3" t="s">
        <v>2892</v>
      </c>
      <c r="L85" s="4">
        <v>1150992457.0204</v>
      </c>
      <c r="M85" s="4">
        <v>234561704.9804</v>
      </c>
      <c r="N85" s="4">
        <v>624961907.479998</v>
      </c>
      <c r="O85" s="4">
        <v>261914811.61</v>
      </c>
      <c r="P85" s="4">
        <v>29554032.95</v>
      </c>
    </row>
    <row r="86" spans="1:15">
      <c r="A86" s="1" t="s">
        <v>2906</v>
      </c>
      <c r="B86" s="1" t="s">
        <v>158</v>
      </c>
      <c r="C86" s="1" t="s">
        <v>2892</v>
      </c>
      <c r="D86" s="2">
        <v>4063447.82</v>
      </c>
      <c r="F86" s="2">
        <v>47403612.25</v>
      </c>
      <c r="G86" s="2">
        <v>128</v>
      </c>
      <c r="H86" s="2">
        <f t="shared" si="2"/>
        <v>51467188.07</v>
      </c>
      <c r="K86" s="3" t="s">
        <v>2900</v>
      </c>
      <c r="L86" s="4">
        <v>2610009.35</v>
      </c>
      <c r="M86" s="4">
        <v>2587.59</v>
      </c>
      <c r="N86" s="4">
        <v>7202</v>
      </c>
      <c r="O86" s="4">
        <v>2600219.76</v>
      </c>
    </row>
    <row r="87" spans="1:15">
      <c r="A87" s="1" t="s">
        <v>2906</v>
      </c>
      <c r="B87" s="1" t="s">
        <v>159</v>
      </c>
      <c r="C87" s="1" t="s">
        <v>2892</v>
      </c>
      <c r="D87" s="2">
        <v>3370008.94</v>
      </c>
      <c r="E87" s="2">
        <v>0</v>
      </c>
      <c r="F87" s="2">
        <v>46572210.77</v>
      </c>
      <c r="G87" s="2">
        <v>12590</v>
      </c>
      <c r="H87" s="2">
        <f t="shared" si="2"/>
        <v>49954809.71</v>
      </c>
      <c r="K87" s="3" t="s">
        <v>2901</v>
      </c>
      <c r="L87" s="4">
        <v>725395.03</v>
      </c>
      <c r="O87" s="4">
        <v>725395.03</v>
      </c>
    </row>
    <row r="88" spans="1:16">
      <c r="A88" s="1" t="s">
        <v>2906</v>
      </c>
      <c r="B88" s="1" t="s">
        <v>148</v>
      </c>
      <c r="C88" s="1" t="s">
        <v>2899</v>
      </c>
      <c r="D88" s="2">
        <v>8710459.83</v>
      </c>
      <c r="E88" s="2">
        <v>0</v>
      </c>
      <c r="F88" s="2">
        <v>568555.27</v>
      </c>
      <c r="G88" s="2">
        <v>38400</v>
      </c>
      <c r="H88" s="2">
        <f t="shared" si="2"/>
        <v>9317415.1</v>
      </c>
      <c r="K88" s="3" t="s">
        <v>2902</v>
      </c>
      <c r="L88" s="4">
        <v>14849542.79</v>
      </c>
      <c r="M88" s="4">
        <v>6492410.83</v>
      </c>
      <c r="N88" s="4">
        <v>358554.05</v>
      </c>
      <c r="O88" s="4">
        <v>7579527.96</v>
      </c>
      <c r="P88" s="4">
        <v>419049.95</v>
      </c>
    </row>
    <row r="89" spans="1:12">
      <c r="A89" s="1" t="s">
        <v>2906</v>
      </c>
      <c r="B89" s="1" t="s">
        <v>149</v>
      </c>
      <c r="C89" s="1" t="s">
        <v>2899</v>
      </c>
      <c r="D89" s="2">
        <v>3824332.4</v>
      </c>
      <c r="E89" s="2">
        <v>0</v>
      </c>
      <c r="F89" s="2">
        <v>10334.16</v>
      </c>
      <c r="G89" s="2">
        <v>0</v>
      </c>
      <c r="H89" s="2">
        <f t="shared" si="2"/>
        <v>3834666.56</v>
      </c>
      <c r="K89" s="3" t="s">
        <v>2903</v>
      </c>
      <c r="L89" s="4">
        <v>0</v>
      </c>
    </row>
    <row r="90" spans="1:28">
      <c r="A90" s="1" t="s">
        <v>2906</v>
      </c>
      <c r="B90" s="1" t="s">
        <v>150</v>
      </c>
      <c r="C90" s="1" t="s">
        <v>2899</v>
      </c>
      <c r="D90" s="2">
        <v>2535540.86</v>
      </c>
      <c r="E90" s="2">
        <v>0</v>
      </c>
      <c r="F90" s="2">
        <v>972.26</v>
      </c>
      <c r="G90" s="2">
        <v>0</v>
      </c>
      <c r="H90" s="2">
        <f t="shared" si="2"/>
        <v>2536513.12</v>
      </c>
      <c r="J90" s="3" t="s">
        <v>156</v>
      </c>
      <c r="L90" s="4">
        <v>2928169001.8346</v>
      </c>
      <c r="M90" s="4">
        <v>528599456.2338</v>
      </c>
      <c r="N90" s="4">
        <v>1489191843.62</v>
      </c>
      <c r="O90" s="4">
        <v>766009520.6008</v>
      </c>
      <c r="P90" s="4">
        <v>144368181.38</v>
      </c>
      <c r="Q90" s="4">
        <f>(L96-L95)+(L93-L94-L91+L92+L97-L98+L99-L100)*1.06</f>
        <v>29557655.9043999</v>
      </c>
      <c r="S90" s="4" t="s">
        <v>12</v>
      </c>
      <c r="T90" t="s">
        <v>13</v>
      </c>
      <c r="U90" t="s">
        <v>14</v>
      </c>
      <c r="V90" s="3" t="s">
        <v>20</v>
      </c>
      <c r="Y90" s="4" t="s">
        <v>12</v>
      </c>
      <c r="Z90" s="6" t="s">
        <v>13</v>
      </c>
      <c r="AA90" s="6" t="s">
        <v>14</v>
      </c>
      <c r="AB90" s="4" t="s">
        <v>20</v>
      </c>
    </row>
    <row r="91" spans="1:28">
      <c r="A91" s="1" t="s">
        <v>2906</v>
      </c>
      <c r="B91" s="1" t="s">
        <v>151</v>
      </c>
      <c r="C91" s="1" t="s">
        <v>2899</v>
      </c>
      <c r="D91" s="2">
        <v>2508128.27</v>
      </c>
      <c r="E91" s="2">
        <v>0</v>
      </c>
      <c r="F91" s="2">
        <v>516.2</v>
      </c>
      <c r="G91" s="2">
        <v>0</v>
      </c>
      <c r="H91" s="2">
        <f t="shared" si="2"/>
        <v>2508644.47</v>
      </c>
      <c r="K91" s="3" t="s">
        <v>2893</v>
      </c>
      <c r="L91" s="4">
        <v>89841076.52</v>
      </c>
      <c r="M91" s="4">
        <v>12261423.59</v>
      </c>
      <c r="N91" s="4">
        <v>3916415.98</v>
      </c>
      <c r="O91" s="4">
        <v>52639235.14</v>
      </c>
      <c r="P91" s="4">
        <v>21024001.81</v>
      </c>
      <c r="Q91" s="4">
        <f>Q90-W93</f>
        <v>-1.00582838058472e-6</v>
      </c>
      <c r="R91" s="4" t="s">
        <v>2894</v>
      </c>
      <c r="S91" s="4">
        <f>(M96-M95)+(M93-M94-M91+M92+M99-M100)*1.06</f>
        <v>10851145.418</v>
      </c>
      <c r="T91" s="4">
        <f>(N96-N95)+(N93-N94-N91+N92+N99-N100)*1.06</f>
        <v>4227224.19380093</v>
      </c>
      <c r="U91" s="4">
        <f>(O96-O95)+(O93-O94-O91+O92+O99-O100)*1.06</f>
        <v>10530636.8038</v>
      </c>
      <c r="V91" s="4">
        <f>(P96-P95)+(P93-P94-P91+P92+P99-P100)*1.06</f>
        <v>2588911.3066</v>
      </c>
      <c r="X91" s="4" t="s">
        <v>2894</v>
      </c>
      <c r="Y91" s="4">
        <f>S91/10000</f>
        <v>1085.1145418</v>
      </c>
      <c r="Z91" s="4">
        <f>T91/10000</f>
        <v>422.722419380093</v>
      </c>
      <c r="AA91" s="4">
        <f>U91/10000</f>
        <v>1053.06368038</v>
      </c>
      <c r="AB91" s="4">
        <f>V91/10000</f>
        <v>258.89113066</v>
      </c>
    </row>
    <row r="92" spans="1:28">
      <c r="A92" s="1" t="s">
        <v>2906</v>
      </c>
      <c r="B92" s="1" t="s">
        <v>152</v>
      </c>
      <c r="C92" s="1" t="s">
        <v>2899</v>
      </c>
      <c r="D92" s="2">
        <v>4557335.45</v>
      </c>
      <c r="E92" s="2">
        <v>0</v>
      </c>
      <c r="F92" s="2">
        <v>1196.6</v>
      </c>
      <c r="G92" s="2">
        <v>0</v>
      </c>
      <c r="H92" s="2">
        <f t="shared" si="2"/>
        <v>4558532.05</v>
      </c>
      <c r="K92" s="3" t="s">
        <v>2895</v>
      </c>
      <c r="L92" s="4">
        <v>12803104.58</v>
      </c>
      <c r="M92" s="4">
        <v>1240182.55</v>
      </c>
      <c r="N92" s="4">
        <v>156376.88</v>
      </c>
      <c r="O92" s="4">
        <v>9473153.16</v>
      </c>
      <c r="P92" s="4">
        <v>1933391.99</v>
      </c>
      <c r="R92" s="4" t="s">
        <v>583</v>
      </c>
      <c r="S92" s="4">
        <f>(M97-M98)*1.06</f>
        <v>4823.9752</v>
      </c>
      <c r="T92" s="4">
        <f>(N97-N98)*1.06</f>
        <v>2456.02</v>
      </c>
      <c r="U92" s="4">
        <f>(O97-O98)*1.06</f>
        <v>1349631.8136</v>
      </c>
      <c r="V92" s="4">
        <f>(P97-P98)*1.06</f>
        <v>2826.3734</v>
      </c>
      <c r="X92" s="4" t="s">
        <v>583</v>
      </c>
      <c r="Y92" s="4">
        <f>S92/10000</f>
        <v>0.48239752</v>
      </c>
      <c r="Z92" s="4">
        <f>T92/10000</f>
        <v>0.245602</v>
      </c>
      <c r="AA92" s="4">
        <f>U92/10000</f>
        <v>134.96318136</v>
      </c>
      <c r="AB92" s="4">
        <f>V92/10000</f>
        <v>0.28263734</v>
      </c>
    </row>
    <row r="93" spans="1:28">
      <c r="A93" s="1" t="s">
        <v>2906</v>
      </c>
      <c r="B93" s="1" t="s">
        <v>153</v>
      </c>
      <c r="C93" s="1" t="s">
        <v>2899</v>
      </c>
      <c r="D93" s="2">
        <v>2371151.49</v>
      </c>
      <c r="E93" s="2">
        <v>0</v>
      </c>
      <c r="F93" s="2">
        <v>4126.7</v>
      </c>
      <c r="G93" s="2">
        <v>0</v>
      </c>
      <c r="H93" s="2">
        <f t="shared" si="2"/>
        <v>2375278.19</v>
      </c>
      <c r="K93" s="3" t="s">
        <v>2896</v>
      </c>
      <c r="L93" s="4">
        <v>94751474.91</v>
      </c>
      <c r="M93" s="4">
        <v>12721094.33</v>
      </c>
      <c r="N93" s="4">
        <v>3954619.1</v>
      </c>
      <c r="O93" s="4">
        <v>55192175</v>
      </c>
      <c r="P93" s="4">
        <v>22883586.48</v>
      </c>
      <c r="R93" s="4" t="s">
        <v>2897</v>
      </c>
      <c r="T93" s="4"/>
      <c r="U93" s="4"/>
      <c r="V93" s="4"/>
      <c r="W93" s="4">
        <f>SUM(S91:V93)</f>
        <v>29557655.9044009</v>
      </c>
      <c r="X93" s="4" t="s">
        <v>2897</v>
      </c>
      <c r="Y93" s="4">
        <f>S93/10000</f>
        <v>0</v>
      </c>
      <c r="Z93" s="4">
        <f>T93/10000</f>
        <v>0</v>
      </c>
      <c r="AA93" s="4">
        <f>U93/10000</f>
        <v>0</v>
      </c>
      <c r="AB93" s="4">
        <f>V93/10000</f>
        <v>0</v>
      </c>
    </row>
    <row r="94" spans="1:16">
      <c r="A94" s="1" t="s">
        <v>2906</v>
      </c>
      <c r="B94" s="1" t="s">
        <v>154</v>
      </c>
      <c r="C94" s="1" t="s">
        <v>2899</v>
      </c>
      <c r="D94" s="2">
        <v>1941174.02</v>
      </c>
      <c r="F94" s="2">
        <v>8175.6</v>
      </c>
      <c r="H94" s="2">
        <f t="shared" si="2"/>
        <v>1949349.62</v>
      </c>
      <c r="K94" s="3" t="s">
        <v>2898</v>
      </c>
      <c r="L94" s="4">
        <v>12840851.11</v>
      </c>
      <c r="M94" s="4">
        <v>1240182.55</v>
      </c>
      <c r="N94" s="4">
        <v>194123.41</v>
      </c>
      <c r="O94" s="4">
        <v>9473153.16</v>
      </c>
      <c r="P94" s="4">
        <v>1933391.99</v>
      </c>
    </row>
    <row r="95" spans="1:16">
      <c r="A95" s="1" t="s">
        <v>2906</v>
      </c>
      <c r="B95" s="1" t="s">
        <v>155</v>
      </c>
      <c r="C95" s="1" t="s">
        <v>2899</v>
      </c>
      <c r="D95" s="2">
        <v>1851032.65</v>
      </c>
      <c r="F95" s="2">
        <v>95054.72</v>
      </c>
      <c r="H95" s="2">
        <f t="shared" si="2"/>
        <v>1946087.37</v>
      </c>
      <c r="K95" s="3" t="s">
        <v>2899</v>
      </c>
      <c r="L95" s="4">
        <v>1341430156.7346</v>
      </c>
      <c r="M95" s="4">
        <v>245719711.7838</v>
      </c>
      <c r="N95" s="4">
        <v>738381428.48</v>
      </c>
      <c r="O95" s="4">
        <v>309337542.3108</v>
      </c>
      <c r="P95" s="4">
        <v>47991474.16</v>
      </c>
    </row>
    <row r="96" spans="1:16">
      <c r="A96" s="1" t="s">
        <v>2906</v>
      </c>
      <c r="B96" s="1" t="s">
        <v>156</v>
      </c>
      <c r="C96" s="1" t="s">
        <v>2899</v>
      </c>
      <c r="D96" s="2">
        <v>1836729.2</v>
      </c>
      <c r="F96" s="2">
        <v>5745406.18</v>
      </c>
      <c r="G96" s="2">
        <v>350</v>
      </c>
      <c r="H96" s="2">
        <f t="shared" si="2"/>
        <v>7582485.38</v>
      </c>
      <c r="K96" s="3" t="s">
        <v>2892</v>
      </c>
      <c r="L96" s="4">
        <v>1345400080.81</v>
      </c>
      <c r="M96" s="4">
        <v>244224048.72</v>
      </c>
      <c r="N96" s="4">
        <v>742226464.130001</v>
      </c>
      <c r="O96" s="4">
        <v>310509185.34</v>
      </c>
      <c r="P96" s="4">
        <v>48440382.62</v>
      </c>
    </row>
    <row r="97" spans="1:16">
      <c r="A97" s="1" t="s">
        <v>2906</v>
      </c>
      <c r="B97" s="1" t="s">
        <v>157</v>
      </c>
      <c r="C97" s="1" t="s">
        <v>2899</v>
      </c>
      <c r="D97" s="2">
        <v>2440073.5876</v>
      </c>
      <c r="F97" s="2">
        <v>22968556.3564</v>
      </c>
      <c r="G97" s="2">
        <v>1218</v>
      </c>
      <c r="H97" s="2">
        <f t="shared" si="2"/>
        <v>25409847.944</v>
      </c>
      <c r="K97" s="3" t="s">
        <v>2900</v>
      </c>
      <c r="L97" s="4">
        <v>3506060.98</v>
      </c>
      <c r="M97" s="4">
        <v>4550.92</v>
      </c>
      <c r="N97" s="4">
        <v>2317</v>
      </c>
      <c r="O97" s="4">
        <v>3496526.67</v>
      </c>
      <c r="P97" s="4">
        <v>2666.39</v>
      </c>
    </row>
    <row r="98" spans="1:15">
      <c r="A98" s="1" t="s">
        <v>2906</v>
      </c>
      <c r="B98" s="1" t="s">
        <v>158</v>
      </c>
      <c r="C98" s="1" t="s">
        <v>2899</v>
      </c>
      <c r="D98" s="2">
        <v>3678907.76</v>
      </c>
      <c r="F98" s="2">
        <v>46371858.0042</v>
      </c>
      <c r="G98" s="2">
        <v>112</v>
      </c>
      <c r="H98" s="2">
        <f t="shared" si="2"/>
        <v>50050877.7642</v>
      </c>
      <c r="K98" s="3" t="s">
        <v>2901</v>
      </c>
      <c r="L98" s="4">
        <v>2223289.11</v>
      </c>
      <c r="O98" s="4">
        <v>2223289.11</v>
      </c>
    </row>
    <row r="99" spans="1:16">
      <c r="A99" s="1" t="s">
        <v>2906</v>
      </c>
      <c r="B99" s="1" t="s">
        <v>159</v>
      </c>
      <c r="C99" s="1" t="s">
        <v>2899</v>
      </c>
      <c r="D99" s="2">
        <v>3321942.46</v>
      </c>
      <c r="E99" s="2">
        <v>0</v>
      </c>
      <c r="F99" s="2">
        <v>45392921.9346</v>
      </c>
      <c r="G99" s="2">
        <v>12388.5388</v>
      </c>
      <c r="H99" s="2">
        <f t="shared" si="2"/>
        <v>48727252.9334</v>
      </c>
      <c r="K99" s="3" t="s">
        <v>2902</v>
      </c>
      <c r="L99" s="4">
        <v>21678426.5</v>
      </c>
      <c r="M99" s="4">
        <v>11188261.79</v>
      </c>
      <c r="N99" s="4">
        <v>360098.64</v>
      </c>
      <c r="O99" s="4">
        <v>9970780.13</v>
      </c>
      <c r="P99" s="4">
        <v>159285.94</v>
      </c>
    </row>
    <row r="100" spans="1:15">
      <c r="A100" s="1" t="s">
        <v>2906</v>
      </c>
      <c r="B100" s="1" t="s">
        <v>148</v>
      </c>
      <c r="C100" s="1" t="s">
        <v>2896</v>
      </c>
      <c r="F100" s="2">
        <v>375.48</v>
      </c>
      <c r="H100" s="2">
        <f t="shared" si="2"/>
        <v>375.48</v>
      </c>
      <c r="K100" s="3" t="s">
        <v>2903</v>
      </c>
      <c r="L100" s="4">
        <v>3694480.58</v>
      </c>
      <c r="O100" s="4">
        <v>3694480.58</v>
      </c>
    </row>
    <row r="101" spans="1:28">
      <c r="A101" s="1" t="s">
        <v>2906</v>
      </c>
      <c r="B101" s="1" t="s">
        <v>149</v>
      </c>
      <c r="C101" s="1" t="s">
        <v>2896</v>
      </c>
      <c r="H101" s="2">
        <f t="shared" si="2"/>
        <v>0</v>
      </c>
      <c r="J101" s="3" t="s">
        <v>157</v>
      </c>
      <c r="L101" s="4">
        <v>2995398462.3938</v>
      </c>
      <c r="M101" s="4">
        <v>310777037.0158</v>
      </c>
      <c r="N101" s="4">
        <v>1807759285.0958</v>
      </c>
      <c r="O101" s="4">
        <v>715559623.8614</v>
      </c>
      <c r="P101" s="4">
        <v>161302516.4208</v>
      </c>
      <c r="Q101" s="4">
        <f>(L107-L106)+(L104-L105-L102+L103+L108-L109+L110-L111)*1.06</f>
        <v>22909432.539</v>
      </c>
      <c r="S101" s="4" t="s">
        <v>12</v>
      </c>
      <c r="T101" t="s">
        <v>13</v>
      </c>
      <c r="U101" t="s">
        <v>14</v>
      </c>
      <c r="V101" s="3" t="s">
        <v>20</v>
      </c>
      <c r="Y101" s="4" t="s">
        <v>12</v>
      </c>
      <c r="Z101" s="6" t="s">
        <v>13</v>
      </c>
      <c r="AA101" s="6" t="s">
        <v>14</v>
      </c>
      <c r="AB101" s="4" t="s">
        <v>20</v>
      </c>
    </row>
    <row r="102" spans="1:28">
      <c r="A102" s="1" t="s">
        <v>2906</v>
      </c>
      <c r="B102" s="1" t="s">
        <v>150</v>
      </c>
      <c r="C102" s="1" t="s">
        <v>2896</v>
      </c>
      <c r="H102" s="2">
        <f t="shared" si="2"/>
        <v>0</v>
      </c>
      <c r="K102" s="3" t="s">
        <v>2893</v>
      </c>
      <c r="L102" s="4">
        <v>74038687.31</v>
      </c>
      <c r="M102" s="4">
        <v>12491257.9</v>
      </c>
      <c r="N102" s="4">
        <v>6082195.3</v>
      </c>
      <c r="O102" s="4">
        <v>43175666.79</v>
      </c>
      <c r="P102" s="4">
        <v>12289567.32</v>
      </c>
      <c r="Q102" s="4">
        <f>Q101-W104</f>
        <v>-2.00048089027405e-6</v>
      </c>
      <c r="R102" s="4" t="s">
        <v>2894</v>
      </c>
      <c r="S102" s="4">
        <f>(M107-M106)+(M104-M105-M102+M103+M110-M111)*1.06</f>
        <v>2436539.69959999</v>
      </c>
      <c r="T102" s="4">
        <f>(N107-N106)+(N104-N105-N102+N103+N110-N111)*1.06</f>
        <v>5635215.80800199</v>
      </c>
      <c r="U102" s="4">
        <f>(O107-O106)+(O104-O105-O102+O103+O110-O111)*1.06</f>
        <v>8583433.36560001</v>
      </c>
      <c r="V102" s="4">
        <f>(P107-P106)+(P104-P105-P102+P103+P110-P111)*1.06</f>
        <v>4419205.8402</v>
      </c>
      <c r="X102" s="4" t="s">
        <v>2894</v>
      </c>
      <c r="Y102" s="4">
        <f>S102/10000</f>
        <v>243.653969959999</v>
      </c>
      <c r="Z102" s="4">
        <f>T102/10000</f>
        <v>563.521580800199</v>
      </c>
      <c r="AA102" s="4">
        <f>U102/10000</f>
        <v>858.343336560001</v>
      </c>
      <c r="AB102" s="4">
        <f>V102/10000</f>
        <v>441.92058402</v>
      </c>
    </row>
    <row r="103" spans="1:28">
      <c r="A103" s="1" t="s">
        <v>2906</v>
      </c>
      <c r="B103" s="1" t="s">
        <v>151</v>
      </c>
      <c r="C103" s="1" t="s">
        <v>2896</v>
      </c>
      <c r="H103" s="2">
        <f t="shared" si="2"/>
        <v>0</v>
      </c>
      <c r="K103" s="3" t="s">
        <v>2895</v>
      </c>
      <c r="L103" s="4">
        <v>10354248.94</v>
      </c>
      <c r="M103" s="4">
        <v>890883.48</v>
      </c>
      <c r="N103" s="4">
        <v>545910.77</v>
      </c>
      <c r="O103" s="4">
        <v>8297271.32</v>
      </c>
      <c r="P103" s="4">
        <v>620183.37</v>
      </c>
      <c r="R103" s="4" t="s">
        <v>583</v>
      </c>
      <c r="S103" s="4">
        <f>(M108-M109)*1.06</f>
        <v>-80.114799999998</v>
      </c>
      <c r="T103" s="4">
        <f>(N108-N109)*1.06</f>
        <v>0</v>
      </c>
      <c r="U103" s="4">
        <f>(O108-O109)*1.06</f>
        <v>1832777.4074</v>
      </c>
      <c r="V103" s="4">
        <f>(P108-P109)*1.06</f>
        <v>2340.533</v>
      </c>
      <c r="X103" s="4" t="s">
        <v>583</v>
      </c>
      <c r="Y103" s="4">
        <f>S103/10000</f>
        <v>-0.0080114799999998</v>
      </c>
      <c r="Z103" s="4">
        <f>T103/10000</f>
        <v>0</v>
      </c>
      <c r="AA103" s="4">
        <f>U103/10000</f>
        <v>183.27774074</v>
      </c>
      <c r="AB103" s="4">
        <f>V103/10000</f>
        <v>0.2340533</v>
      </c>
    </row>
    <row r="104" spans="1:28">
      <c r="A104" s="1" t="s">
        <v>2906</v>
      </c>
      <c r="B104" s="1" t="s">
        <v>152</v>
      </c>
      <c r="C104" s="1" t="s">
        <v>2896</v>
      </c>
      <c r="H104" s="2">
        <f t="shared" si="2"/>
        <v>0</v>
      </c>
      <c r="K104" s="3" t="s">
        <v>2896</v>
      </c>
      <c r="L104" s="4">
        <v>76365126.27</v>
      </c>
      <c r="M104" s="4">
        <v>13162272.12</v>
      </c>
      <c r="N104" s="4">
        <v>6183343.5</v>
      </c>
      <c r="O104" s="4">
        <v>41898095.32</v>
      </c>
      <c r="P104" s="4">
        <v>15121415.33</v>
      </c>
      <c r="R104" s="4" t="s">
        <v>2897</v>
      </c>
      <c r="T104" s="4"/>
      <c r="U104" s="4"/>
      <c r="V104" s="4"/>
      <c r="W104" s="4">
        <f>SUM(S102:V104)</f>
        <v>22909432.539002</v>
      </c>
      <c r="X104" s="4" t="s">
        <v>2897</v>
      </c>
      <c r="Y104" s="4">
        <f>S104/10000</f>
        <v>0</v>
      </c>
      <c r="Z104" s="4">
        <f>T104/10000</f>
        <v>0</v>
      </c>
      <c r="AA104" s="4">
        <f>U104/10000</f>
        <v>0</v>
      </c>
      <c r="AB104" s="4">
        <f>V104/10000</f>
        <v>0</v>
      </c>
    </row>
    <row r="105" spans="1:16">
      <c r="A105" s="1" t="s">
        <v>2906</v>
      </c>
      <c r="B105" s="1" t="s">
        <v>153</v>
      </c>
      <c r="C105" s="1" t="s">
        <v>2896</v>
      </c>
      <c r="H105" s="2">
        <f t="shared" si="2"/>
        <v>0</v>
      </c>
      <c r="K105" s="3" t="s">
        <v>2898</v>
      </c>
      <c r="L105" s="4">
        <v>10426718.41</v>
      </c>
      <c r="M105" s="4">
        <v>890883.48</v>
      </c>
      <c r="N105" s="4">
        <v>581375.05</v>
      </c>
      <c r="O105" s="4">
        <v>8297271.32</v>
      </c>
      <c r="P105" s="4">
        <v>657188.56</v>
      </c>
    </row>
    <row r="106" spans="1:16">
      <c r="A106" s="1" t="s">
        <v>2906</v>
      </c>
      <c r="B106" s="1" t="s">
        <v>154</v>
      </c>
      <c r="C106" s="1" t="s">
        <v>2896</v>
      </c>
      <c r="H106" s="2">
        <f t="shared" si="2"/>
        <v>0</v>
      </c>
      <c r="K106" s="3" t="s">
        <v>2899</v>
      </c>
      <c r="L106" s="4">
        <v>1401663628.0638</v>
      </c>
      <c r="M106" s="4">
        <v>140781578.6158</v>
      </c>
      <c r="N106" s="4">
        <v>894413209.885798</v>
      </c>
      <c r="O106" s="4">
        <v>300886994.3614</v>
      </c>
      <c r="P106" s="4">
        <v>65581845.2008</v>
      </c>
    </row>
    <row r="107" spans="1:16">
      <c r="A107" s="1" t="s">
        <v>2906</v>
      </c>
      <c r="B107" s="1" t="s">
        <v>155</v>
      </c>
      <c r="C107" s="1" t="s">
        <v>2896</v>
      </c>
      <c r="H107" s="2">
        <f t="shared" si="2"/>
        <v>0</v>
      </c>
      <c r="K107" s="3" t="s">
        <v>2892</v>
      </c>
      <c r="L107" s="4">
        <v>1414423064.65</v>
      </c>
      <c r="M107" s="4">
        <v>142549676.39</v>
      </c>
      <c r="N107" s="4">
        <v>899527414.78</v>
      </c>
      <c r="O107" s="4">
        <v>305456015.92</v>
      </c>
      <c r="P107" s="4">
        <v>66889957.56</v>
      </c>
    </row>
    <row r="108" spans="1:16">
      <c r="A108" s="1" t="s">
        <v>2906</v>
      </c>
      <c r="B108" s="1" t="s">
        <v>156</v>
      </c>
      <c r="C108" s="1" t="s">
        <v>2896</v>
      </c>
      <c r="F108" s="2">
        <v>1926.48</v>
      </c>
      <c r="H108" s="2">
        <f t="shared" si="2"/>
        <v>1926.48</v>
      </c>
      <c r="K108" s="3" t="s">
        <v>2900</v>
      </c>
      <c r="L108" s="4">
        <v>2133912.94</v>
      </c>
      <c r="M108" s="4">
        <v>25409.04</v>
      </c>
      <c r="N108" s="4">
        <v>0</v>
      </c>
      <c r="O108" s="4">
        <v>2106295.85</v>
      </c>
      <c r="P108" s="4">
        <v>2208.05</v>
      </c>
    </row>
    <row r="109" spans="1:15">
      <c r="A109" s="1" t="s">
        <v>2906</v>
      </c>
      <c r="B109" s="1" t="s">
        <v>157</v>
      </c>
      <c r="C109" s="1" t="s">
        <v>2896</v>
      </c>
      <c r="D109" s="2">
        <v>-39.62</v>
      </c>
      <c r="E109" s="2">
        <v>0</v>
      </c>
      <c r="F109" s="2">
        <v>2750.77</v>
      </c>
      <c r="G109" s="2">
        <v>0</v>
      </c>
      <c r="H109" s="2">
        <f t="shared" si="2"/>
        <v>2711.15</v>
      </c>
      <c r="K109" s="3" t="s">
        <v>2901</v>
      </c>
      <c r="L109" s="4">
        <v>402745.18</v>
      </c>
      <c r="M109" s="4">
        <v>25484.62</v>
      </c>
      <c r="O109" s="4">
        <v>377260.56</v>
      </c>
    </row>
    <row r="110" spans="1:16">
      <c r="A110" s="1" t="s">
        <v>2906</v>
      </c>
      <c r="B110" s="1" t="s">
        <v>158</v>
      </c>
      <c r="C110" s="1" t="s">
        <v>2896</v>
      </c>
      <c r="D110" s="2">
        <v>0</v>
      </c>
      <c r="F110" s="2">
        <v>1879.43</v>
      </c>
      <c r="H110" s="2">
        <f t="shared" si="2"/>
        <v>1879.43</v>
      </c>
      <c r="K110" s="3" t="s">
        <v>2902</v>
      </c>
      <c r="L110" s="4">
        <v>5590330.63</v>
      </c>
      <c r="M110" s="4">
        <v>-40408.63</v>
      </c>
      <c r="N110" s="4">
        <v>425835.81</v>
      </c>
      <c r="O110" s="4">
        <v>5064752.42</v>
      </c>
      <c r="P110" s="4">
        <v>140151.03</v>
      </c>
    </row>
    <row r="111" spans="1:12">
      <c r="A111" s="1" t="s">
        <v>2906</v>
      </c>
      <c r="B111" s="1" t="s">
        <v>159</v>
      </c>
      <c r="C111" s="1" t="s">
        <v>2896</v>
      </c>
      <c r="D111" s="2">
        <v>0</v>
      </c>
      <c r="E111" s="2">
        <v>0</v>
      </c>
      <c r="F111" s="2">
        <v>428.27</v>
      </c>
      <c r="G111" s="2">
        <v>0</v>
      </c>
      <c r="H111" s="2">
        <f t="shared" si="2"/>
        <v>428.27</v>
      </c>
      <c r="K111" s="3" t="s">
        <v>2903</v>
      </c>
      <c r="L111" s="4">
        <v>0</v>
      </c>
    </row>
    <row r="112" spans="1:28">
      <c r="A112" s="1" t="s">
        <v>2906</v>
      </c>
      <c r="B112" s="1" t="s">
        <v>148</v>
      </c>
      <c r="C112" s="1" t="s">
        <v>2893</v>
      </c>
      <c r="H112" s="2">
        <f t="shared" si="2"/>
        <v>0</v>
      </c>
      <c r="J112" s="3" t="s">
        <v>158</v>
      </c>
      <c r="L112" s="4">
        <v>4106326756.93181</v>
      </c>
      <c r="M112" s="4">
        <v>350600844.8358</v>
      </c>
      <c r="N112" s="4">
        <v>2370551475.19181</v>
      </c>
      <c r="O112" s="4">
        <v>1115911508.383</v>
      </c>
      <c r="P112" s="4">
        <v>269262928.5212</v>
      </c>
      <c r="Q112" s="4">
        <f>(L118-L117)+(L115-L116-L113+L114+L119-L120+L121-L122)*1.06</f>
        <v>41829540.87161</v>
      </c>
      <c r="S112" s="4" t="s">
        <v>12</v>
      </c>
      <c r="T112" t="s">
        <v>13</v>
      </c>
      <c r="U112" t="s">
        <v>14</v>
      </c>
      <c r="V112" s="3" t="s">
        <v>20</v>
      </c>
      <c r="Y112" s="4" t="s">
        <v>12</v>
      </c>
      <c r="Z112" s="6" t="s">
        <v>13</v>
      </c>
      <c r="AA112" s="6" t="s">
        <v>14</v>
      </c>
      <c r="AB112" s="4" t="s">
        <v>20</v>
      </c>
    </row>
    <row r="113" spans="1:28">
      <c r="A113" s="1" t="s">
        <v>2906</v>
      </c>
      <c r="B113" s="1" t="s">
        <v>149</v>
      </c>
      <c r="C113" s="1" t="s">
        <v>2893</v>
      </c>
      <c r="H113" s="2">
        <f t="shared" si="2"/>
        <v>0</v>
      </c>
      <c r="K113" s="3" t="s">
        <v>2893</v>
      </c>
      <c r="L113" s="4">
        <v>133893467.98</v>
      </c>
      <c r="M113" s="4">
        <v>14468226.95</v>
      </c>
      <c r="N113" s="4">
        <v>7161224.62</v>
      </c>
      <c r="O113" s="4">
        <v>91518906.92</v>
      </c>
      <c r="P113" s="4">
        <v>20745109.49</v>
      </c>
      <c r="Q113" s="4">
        <f>Q112-W115</f>
        <v>0</v>
      </c>
      <c r="R113" s="4" t="s">
        <v>2894</v>
      </c>
      <c r="S113" s="4">
        <f>(M118-M117)+(M115-M116-M113+M114+M121-M122)*1.06</f>
        <v>6794655.51480001</v>
      </c>
      <c r="T113" s="4">
        <f>(N118-N117)+(N115-N116-N113+N114+N121-N122)*1.06</f>
        <v>6305289.34060997</v>
      </c>
      <c r="U113" s="4">
        <f>(O118-O117)+(O115-O116-O113+O114+O121-O122)*1.06</f>
        <v>20926452.5732</v>
      </c>
      <c r="V113" s="4">
        <f>(P118-P117)+(P115-P116-P113+P114+P121-P122)*1.06</f>
        <v>1809948.3128</v>
      </c>
      <c r="X113" s="4" t="s">
        <v>2894</v>
      </c>
      <c r="Y113" s="4">
        <f>S113/10000</f>
        <v>679.465551480001</v>
      </c>
      <c r="Z113" s="4">
        <f>T113/10000</f>
        <v>630.528934060997</v>
      </c>
      <c r="AA113" s="4">
        <f>U113/10000</f>
        <v>2092.64525732</v>
      </c>
      <c r="AB113" s="4">
        <f>V113/10000</f>
        <v>180.99483128</v>
      </c>
    </row>
    <row r="114" spans="1:28">
      <c r="A114" s="1" t="s">
        <v>2906</v>
      </c>
      <c r="B114" s="1" t="s">
        <v>150</v>
      </c>
      <c r="C114" s="1" t="s">
        <v>2893</v>
      </c>
      <c r="H114" s="2">
        <f t="shared" si="2"/>
        <v>0</v>
      </c>
      <c r="K114" s="3" t="s">
        <v>2895</v>
      </c>
      <c r="L114" s="4">
        <v>17655056.71</v>
      </c>
      <c r="M114" s="4">
        <v>231345.44</v>
      </c>
      <c r="N114" s="4">
        <v>211104.05</v>
      </c>
      <c r="O114" s="4">
        <v>16390768.1</v>
      </c>
      <c r="P114" s="4">
        <v>821839.12</v>
      </c>
      <c r="R114" s="4" t="s">
        <v>583</v>
      </c>
      <c r="S114" s="4">
        <f>(M119-M120)*1.06</f>
        <v>2508.74440000001</v>
      </c>
      <c r="T114" s="4">
        <f>(N119-N120)*1.06</f>
        <v>0</v>
      </c>
      <c r="U114" s="4">
        <f>(O119-O120)*1.06</f>
        <v>5988446.1076</v>
      </c>
      <c r="V114" s="4">
        <f>(P119-P120)*1.06</f>
        <v>2240.2782</v>
      </c>
      <c r="X114" s="4" t="s">
        <v>583</v>
      </c>
      <c r="Y114" s="4">
        <f>S114/10000</f>
        <v>0.250874440000001</v>
      </c>
      <c r="Z114" s="4">
        <f>T114/10000</f>
        <v>0</v>
      </c>
      <c r="AA114" s="4">
        <f>U114/10000</f>
        <v>598.84461076</v>
      </c>
      <c r="AB114" s="4">
        <f>V114/10000</f>
        <v>0.22402782</v>
      </c>
    </row>
    <row r="115" spans="1:28">
      <c r="A115" s="1" t="s">
        <v>2906</v>
      </c>
      <c r="B115" s="1" t="s">
        <v>151</v>
      </c>
      <c r="C115" s="1" t="s">
        <v>2893</v>
      </c>
      <c r="H115" s="2">
        <f t="shared" si="2"/>
        <v>0</v>
      </c>
      <c r="K115" s="3" t="s">
        <v>2896</v>
      </c>
      <c r="L115" s="4">
        <v>138490781.1</v>
      </c>
      <c r="M115" s="4">
        <v>15145870.31</v>
      </c>
      <c r="N115" s="4">
        <v>7063786.51</v>
      </c>
      <c r="O115" s="4">
        <v>94464241.49</v>
      </c>
      <c r="P115" s="4">
        <v>21816882.79</v>
      </c>
      <c r="R115" s="4" t="s">
        <v>2897</v>
      </c>
      <c r="T115" s="4"/>
      <c r="U115" s="4"/>
      <c r="V115" s="4"/>
      <c r="W115" s="4">
        <f>SUM(S113:V115)</f>
        <v>41829540.87161</v>
      </c>
      <c r="X115" s="4" t="s">
        <v>2897</v>
      </c>
      <c r="Y115" s="4">
        <f>S115/10000</f>
        <v>0</v>
      </c>
      <c r="Z115" s="4">
        <f>T115/10000</f>
        <v>0</v>
      </c>
      <c r="AA115" s="4">
        <f>U115/10000</f>
        <v>0</v>
      </c>
      <c r="AB115" s="4">
        <f>V115/10000</f>
        <v>0</v>
      </c>
    </row>
    <row r="116" spans="1:16">
      <c r="A116" s="1" t="s">
        <v>2906</v>
      </c>
      <c r="B116" s="1" t="s">
        <v>152</v>
      </c>
      <c r="C116" s="1" t="s">
        <v>2893</v>
      </c>
      <c r="H116" s="2">
        <f t="shared" si="2"/>
        <v>0</v>
      </c>
      <c r="K116" s="3" t="s">
        <v>2898</v>
      </c>
      <c r="L116" s="4">
        <v>17774039.76</v>
      </c>
      <c r="M116" s="4">
        <v>231345.44</v>
      </c>
      <c r="N116" s="4">
        <v>315132.3</v>
      </c>
      <c r="O116" s="4">
        <v>16405722.9</v>
      </c>
      <c r="P116" s="4">
        <v>821839.12</v>
      </c>
    </row>
    <row r="117" spans="1:16">
      <c r="A117" s="1" t="s">
        <v>2906</v>
      </c>
      <c r="B117" s="1" t="s">
        <v>153</v>
      </c>
      <c r="C117" s="1" t="s">
        <v>2893</v>
      </c>
      <c r="H117" s="2">
        <f t="shared" si="2"/>
        <v>0</v>
      </c>
      <c r="K117" s="3" t="s">
        <v>2899</v>
      </c>
      <c r="L117" s="4">
        <v>1879554537.5206</v>
      </c>
      <c r="M117" s="4">
        <v>157302684.7158</v>
      </c>
      <c r="N117" s="4">
        <v>1174653647.5418</v>
      </c>
      <c r="O117" s="4">
        <v>435395602.913</v>
      </c>
      <c r="P117" s="4">
        <v>112202602.35</v>
      </c>
    </row>
    <row r="118" spans="1:16">
      <c r="A118" s="1" t="s">
        <v>2906</v>
      </c>
      <c r="B118" s="1" t="s">
        <v>154</v>
      </c>
      <c r="C118" s="1" t="s">
        <v>2893</v>
      </c>
      <c r="H118" s="2">
        <f t="shared" si="2"/>
        <v>0</v>
      </c>
      <c r="K118" s="3" t="s">
        <v>2892</v>
      </c>
      <c r="L118" s="4">
        <v>1888008332.90121</v>
      </c>
      <c r="M118" s="4">
        <v>157733017.01</v>
      </c>
      <c r="N118" s="4">
        <v>1180714729.27001</v>
      </c>
      <c r="O118" s="4">
        <v>437106857.5</v>
      </c>
      <c r="P118" s="4">
        <v>112453729.1212</v>
      </c>
    </row>
    <row r="119" spans="1:16">
      <c r="A119" s="1" t="s">
        <v>2906</v>
      </c>
      <c r="B119" s="1" t="s">
        <v>155</v>
      </c>
      <c r="C119" s="1" t="s">
        <v>2893</v>
      </c>
      <c r="H119" s="2">
        <f t="shared" si="2"/>
        <v>0</v>
      </c>
      <c r="K119" s="3" t="s">
        <v>2900</v>
      </c>
      <c r="L119" s="4">
        <v>7625117.01</v>
      </c>
      <c r="M119" s="4">
        <v>82143.28</v>
      </c>
      <c r="N119" s="4">
        <v>0</v>
      </c>
      <c r="O119" s="4">
        <v>7540860.26</v>
      </c>
      <c r="P119" s="4">
        <v>2113.47</v>
      </c>
    </row>
    <row r="120" spans="1:15">
      <c r="A120" s="1" t="s">
        <v>2906</v>
      </c>
      <c r="B120" s="1" t="s">
        <v>156</v>
      </c>
      <c r="C120" s="1" t="s">
        <v>2893</v>
      </c>
      <c r="F120" s="2">
        <v>1712.16</v>
      </c>
      <c r="H120" s="2">
        <f t="shared" si="2"/>
        <v>1712.16</v>
      </c>
      <c r="K120" s="3" t="s">
        <v>2901</v>
      </c>
      <c r="L120" s="4">
        <v>1971159.34</v>
      </c>
      <c r="M120" s="4">
        <v>79776.54</v>
      </c>
      <c r="O120" s="4">
        <v>1891382.8</v>
      </c>
    </row>
    <row r="121" spans="1:16">
      <c r="A121" s="1" t="s">
        <v>2906</v>
      </c>
      <c r="B121" s="1" t="s">
        <v>157</v>
      </c>
      <c r="C121" s="1" t="s">
        <v>2893</v>
      </c>
      <c r="D121" s="2">
        <v>0</v>
      </c>
      <c r="E121" s="2">
        <v>0</v>
      </c>
      <c r="F121" s="2">
        <v>2435.87</v>
      </c>
      <c r="G121" s="2">
        <v>0</v>
      </c>
      <c r="H121" s="2">
        <f t="shared" si="2"/>
        <v>2435.87</v>
      </c>
      <c r="K121" s="3" t="s">
        <v>2902</v>
      </c>
      <c r="L121" s="4">
        <v>21354264.61</v>
      </c>
      <c r="M121" s="4">
        <v>5326435.15</v>
      </c>
      <c r="N121" s="4">
        <v>431850.9</v>
      </c>
      <c r="O121" s="4">
        <v>15197165.5</v>
      </c>
      <c r="P121" s="4">
        <v>398813.06</v>
      </c>
    </row>
    <row r="122" spans="1:12">
      <c r="A122" s="1" t="s">
        <v>2906</v>
      </c>
      <c r="B122" s="1" t="s">
        <v>158</v>
      </c>
      <c r="C122" s="1" t="s">
        <v>2893</v>
      </c>
      <c r="D122" s="2">
        <v>0</v>
      </c>
      <c r="F122" s="2">
        <v>1548.93</v>
      </c>
      <c r="H122" s="2">
        <f t="shared" si="2"/>
        <v>1548.93</v>
      </c>
      <c r="K122" s="3" t="s">
        <v>2903</v>
      </c>
      <c r="L122" s="4">
        <v>0</v>
      </c>
    </row>
    <row r="123" spans="1:28">
      <c r="A123" s="1" t="s">
        <v>2906</v>
      </c>
      <c r="B123" s="1" t="s">
        <v>159</v>
      </c>
      <c r="C123" s="1" t="s">
        <v>2893</v>
      </c>
      <c r="D123" s="2">
        <v>0</v>
      </c>
      <c r="E123" s="2">
        <v>0</v>
      </c>
      <c r="F123" s="2">
        <v>363.55</v>
      </c>
      <c r="G123" s="2">
        <v>0</v>
      </c>
      <c r="H123" s="2">
        <f t="shared" si="2"/>
        <v>363.55</v>
      </c>
      <c r="J123" s="3" t="s">
        <v>159</v>
      </c>
      <c r="L123" s="4">
        <v>4010441791.8392</v>
      </c>
      <c r="M123" s="4">
        <v>416244740.8176</v>
      </c>
      <c r="N123" s="4">
        <v>2242688349.2086</v>
      </c>
      <c r="O123" s="4">
        <v>1028446190.4034</v>
      </c>
      <c r="P123" s="4">
        <v>323062511.4096</v>
      </c>
      <c r="Q123" s="4">
        <f>(L129-L128)+(L126-L127-L124+L125+L130-L131+L132-L133+L134-L135+L136)*1.06</f>
        <v>46685187.7069999</v>
      </c>
      <c r="S123" s="4" t="s">
        <v>12</v>
      </c>
      <c r="T123" t="s">
        <v>13</v>
      </c>
      <c r="U123" t="s">
        <v>14</v>
      </c>
      <c r="V123" s="3" t="s">
        <v>20</v>
      </c>
      <c r="Y123" s="4" t="s">
        <v>12</v>
      </c>
      <c r="Z123" s="6" t="s">
        <v>13</v>
      </c>
      <c r="AA123" s="6" t="s">
        <v>14</v>
      </c>
      <c r="AB123" s="4" t="s">
        <v>20</v>
      </c>
    </row>
    <row r="124" spans="1:28">
      <c r="A124" s="1" t="s">
        <v>2906</v>
      </c>
      <c r="B124" s="1" t="s">
        <v>148</v>
      </c>
      <c r="C124" s="1" t="s">
        <v>2900</v>
      </c>
      <c r="H124" s="2">
        <f t="shared" si="2"/>
        <v>0</v>
      </c>
      <c r="K124" s="3" t="s">
        <v>2893</v>
      </c>
      <c r="L124" s="4">
        <v>177646876.71</v>
      </c>
      <c r="M124" s="4">
        <v>12180705.99</v>
      </c>
      <c r="N124" s="4">
        <v>4178551.37</v>
      </c>
      <c r="O124" s="4">
        <v>127090867.04</v>
      </c>
      <c r="P124" s="4">
        <v>34196752.31</v>
      </c>
      <c r="Q124" s="4">
        <f>Q123-W126</f>
        <v>-1.11758708953857e-6</v>
      </c>
      <c r="R124" s="4" t="s">
        <v>2894</v>
      </c>
      <c r="S124" s="4">
        <f>(M129-M128)+(M126-M127-M124+M125+M134-M135+M136)*1.06</f>
        <v>8993265.39980001</v>
      </c>
      <c r="T124" s="4">
        <f>(N129-N128)+(N126-N127-N124+N125+N134-N135+N136)*1.06</f>
        <v>5009760.12800008</v>
      </c>
      <c r="U124" s="4">
        <f>(O129-O128)+(O126-O127-O124+O125+O134-O135+O136)*1.06</f>
        <v>27155892.2504009</v>
      </c>
      <c r="V124" s="4">
        <f>(P129-P128)+(P126-P127-P124+P125+P134-P135+P136)*1.06</f>
        <v>4027968.87519999</v>
      </c>
      <c r="X124" s="4" t="s">
        <v>2894</v>
      </c>
      <c r="Y124" s="4">
        <f>S124/10000</f>
        <v>899.326539980001</v>
      </c>
      <c r="Z124" s="4">
        <f>T124/10000</f>
        <v>500.976012800008</v>
      </c>
      <c r="AA124" s="4">
        <f>U124/10000</f>
        <v>2715.58922504009</v>
      </c>
      <c r="AB124" s="4">
        <f>V124/10000</f>
        <v>402.796887519999</v>
      </c>
    </row>
    <row r="125" spans="1:28">
      <c r="A125" s="1" t="s">
        <v>2906</v>
      </c>
      <c r="B125" s="1" t="s">
        <v>149</v>
      </c>
      <c r="C125" s="1" t="s">
        <v>2900</v>
      </c>
      <c r="H125" s="2">
        <f t="shared" si="2"/>
        <v>0</v>
      </c>
      <c r="K125" s="3" t="s">
        <v>2895</v>
      </c>
      <c r="L125" s="4">
        <v>8041116.44</v>
      </c>
      <c r="M125" s="4">
        <v>159804.34</v>
      </c>
      <c r="N125" s="4">
        <v>932532.15</v>
      </c>
      <c r="O125" s="4">
        <v>6238316.35</v>
      </c>
      <c r="P125" s="4">
        <v>710463.6</v>
      </c>
      <c r="R125" s="4" t="s">
        <v>583</v>
      </c>
      <c r="S125" s="4">
        <f>(M130-M131)*1.06</f>
        <v>13039.537</v>
      </c>
      <c r="T125" s="4">
        <f>(N130-N131)*1.06</f>
        <v>0</v>
      </c>
      <c r="U125" s="4">
        <f>(O130-O131)*1.06</f>
        <v>1459554.0362</v>
      </c>
      <c r="V125" s="4">
        <f>(P130-P131)*1.06</f>
        <v>25722.6172</v>
      </c>
      <c r="X125" s="4" t="s">
        <v>583</v>
      </c>
      <c r="Y125" s="4">
        <f>S125/10000</f>
        <v>1.3039537</v>
      </c>
      <c r="Z125" s="4">
        <f>T125/10000</f>
        <v>0</v>
      </c>
      <c r="AA125" s="4">
        <f>U125/10000</f>
        <v>145.95540362</v>
      </c>
      <c r="AB125" s="4">
        <f>V125/10000</f>
        <v>2.57226172</v>
      </c>
    </row>
    <row r="126" spans="1:28">
      <c r="A126" s="1" t="s">
        <v>2906</v>
      </c>
      <c r="B126" s="1" t="s">
        <v>150</v>
      </c>
      <c r="C126" s="1" t="s">
        <v>2900</v>
      </c>
      <c r="H126" s="2">
        <f t="shared" si="2"/>
        <v>0</v>
      </c>
      <c r="K126" s="3" t="s">
        <v>2896</v>
      </c>
      <c r="L126" s="4">
        <v>190813038.2</v>
      </c>
      <c r="M126" s="4">
        <v>12826475.93</v>
      </c>
      <c r="N126" s="4">
        <v>3950042.44</v>
      </c>
      <c r="O126" s="4">
        <v>138089612.17</v>
      </c>
      <c r="P126" s="4">
        <v>35946907.66</v>
      </c>
      <c r="R126" s="4" t="s">
        <v>2897</v>
      </c>
      <c r="S126" s="4">
        <f>(M132-M133)*1.06</f>
        <v>-15.1367999999988</v>
      </c>
      <c r="T126" s="4">
        <f>(N132-N133)*1.06</f>
        <v>0</v>
      </c>
      <c r="U126" s="4">
        <f>(O132-O133)*1.06</f>
        <v>0</v>
      </c>
      <c r="V126" s="4">
        <f>(P132-P133)*1.06</f>
        <v>0</v>
      </c>
      <c r="W126" s="4">
        <f>SUM(S124:V126)</f>
        <v>46685187.707001</v>
      </c>
      <c r="X126" s="4" t="s">
        <v>2897</v>
      </c>
      <c r="Y126" s="4">
        <f>S126/10000</f>
        <v>-0.00151367999999988</v>
      </c>
      <c r="Z126" s="4">
        <f>T126/10000</f>
        <v>0</v>
      </c>
      <c r="AA126" s="4">
        <f>U126/10000</f>
        <v>0</v>
      </c>
      <c r="AB126" s="4">
        <f>V126/10000</f>
        <v>0</v>
      </c>
    </row>
    <row r="127" spans="1:16">
      <c r="A127" s="1" t="s">
        <v>2906</v>
      </c>
      <c r="B127" s="1" t="s">
        <v>151</v>
      </c>
      <c r="C127" s="1" t="s">
        <v>2900</v>
      </c>
      <c r="H127" s="2">
        <f t="shared" si="2"/>
        <v>0</v>
      </c>
      <c r="K127" s="3" t="s">
        <v>2898</v>
      </c>
      <c r="L127" s="4">
        <v>8063410.03</v>
      </c>
      <c r="M127" s="4">
        <v>159804.34</v>
      </c>
      <c r="N127" s="4">
        <v>942789.13</v>
      </c>
      <c r="O127" s="4">
        <v>6239094.09</v>
      </c>
      <c r="P127" s="4">
        <v>721722.47</v>
      </c>
    </row>
    <row r="128" spans="1:16">
      <c r="A128" s="1" t="s">
        <v>2906</v>
      </c>
      <c r="B128" s="1" t="s">
        <v>152</v>
      </c>
      <c r="C128" s="1" t="s">
        <v>2900</v>
      </c>
      <c r="H128" s="2">
        <f t="shared" si="2"/>
        <v>0</v>
      </c>
      <c r="K128" s="3" t="s">
        <v>2899</v>
      </c>
      <c r="L128" s="4">
        <v>1796549139.2392</v>
      </c>
      <c r="M128" s="4">
        <v>191341319.6876</v>
      </c>
      <c r="N128" s="4">
        <v>1113727827.7186</v>
      </c>
      <c r="O128" s="4">
        <v>366816249.0734</v>
      </c>
      <c r="P128" s="4">
        <v>124663742.7596</v>
      </c>
    </row>
    <row r="129" spans="1:16">
      <c r="A129" s="1" t="s">
        <v>2906</v>
      </c>
      <c r="B129" s="1" t="s">
        <v>153</v>
      </c>
      <c r="C129" s="1" t="s">
        <v>2900</v>
      </c>
      <c r="H129" s="2">
        <f t="shared" si="2"/>
        <v>0</v>
      </c>
      <c r="K129" s="3" t="s">
        <v>2892</v>
      </c>
      <c r="L129" s="4">
        <v>1804695602.97</v>
      </c>
      <c r="M129" s="4">
        <v>190832636.13</v>
      </c>
      <c r="N129" s="4">
        <v>1118388717.88</v>
      </c>
      <c r="O129" s="4">
        <v>369543202.470001</v>
      </c>
      <c r="P129" s="4">
        <v>125931046.49</v>
      </c>
    </row>
    <row r="130" spans="1:16">
      <c r="A130" s="1" t="s">
        <v>2906</v>
      </c>
      <c r="B130" s="1" t="s">
        <v>154</v>
      </c>
      <c r="C130" s="1" t="s">
        <v>2900</v>
      </c>
      <c r="H130" s="2">
        <f t="shared" ref="H130:H139" si="3">SUM(D130:G130)</f>
        <v>0</v>
      </c>
      <c r="K130" s="3" t="s">
        <v>2900</v>
      </c>
      <c r="L130" s="4">
        <v>1915360.89</v>
      </c>
      <c r="M130" s="4">
        <v>12301.45</v>
      </c>
      <c r="N130" s="4">
        <v>0</v>
      </c>
      <c r="O130" s="4">
        <v>1878792.82</v>
      </c>
      <c r="P130" s="4">
        <v>24266.62</v>
      </c>
    </row>
    <row r="131" spans="1:15">
      <c r="A131" s="1" t="s">
        <v>2906</v>
      </c>
      <c r="B131" s="1" t="s">
        <v>155</v>
      </c>
      <c r="C131" s="1" t="s">
        <v>2900</v>
      </c>
      <c r="H131" s="2">
        <f t="shared" si="3"/>
        <v>0</v>
      </c>
      <c r="K131" s="3" t="s">
        <v>2901</v>
      </c>
      <c r="L131" s="4">
        <v>501855.05</v>
      </c>
      <c r="O131" s="4">
        <v>501855.05</v>
      </c>
    </row>
    <row r="132" spans="1:16">
      <c r="A132" s="1" t="s">
        <v>2906</v>
      </c>
      <c r="B132" s="1" t="s">
        <v>156</v>
      </c>
      <c r="C132" s="1" t="s">
        <v>2900</v>
      </c>
      <c r="H132" s="2">
        <f t="shared" si="3"/>
        <v>0</v>
      </c>
      <c r="K132" s="3" t="s">
        <v>2904</v>
      </c>
      <c r="L132" s="4">
        <v>207725.36</v>
      </c>
      <c r="M132" s="4">
        <v>206672.91</v>
      </c>
      <c r="N132" s="4">
        <v>0</v>
      </c>
      <c r="O132" s="4">
        <v>0</v>
      </c>
      <c r="P132" s="4">
        <v>1052.45</v>
      </c>
    </row>
    <row r="133" spans="1:22">
      <c r="A133" s="1" t="s">
        <v>2906</v>
      </c>
      <c r="B133" s="1" t="s">
        <v>157</v>
      </c>
      <c r="C133" s="1" t="s">
        <v>2900</v>
      </c>
      <c r="H133" s="2">
        <f t="shared" si="3"/>
        <v>0</v>
      </c>
      <c r="K133" s="3" t="s">
        <v>2907</v>
      </c>
      <c r="L133" s="4">
        <v>207739.64</v>
      </c>
      <c r="M133" s="4">
        <v>206687.19</v>
      </c>
      <c r="P133" s="4">
        <v>1052.45</v>
      </c>
      <c r="S133" s="4">
        <f>S3+S14+S25+S36+S47+S58+S69+S80+S91+S102+S113+S124</f>
        <v>110161564.315</v>
      </c>
      <c r="T133" s="4">
        <f>T3+T14+T25+T36+T47+T58+T69+T80+T91+T102+T113+T124</f>
        <v>50164235.3264181</v>
      </c>
      <c r="U133" s="4">
        <f>U3+U14+U25+U36+U47+U58+U69+U80+U91+U102+U113+U124</f>
        <v>156571634.593403</v>
      </c>
      <c r="V133" s="4">
        <f>V3+V14+V25+V36+V47+V58+V69+V80+V91+V102+V113+V124</f>
        <v>25694542.3738001</v>
      </c>
    </row>
    <row r="134" spans="1:22">
      <c r="A134" s="1" t="s">
        <v>2906</v>
      </c>
      <c r="B134" s="1" t="s">
        <v>158</v>
      </c>
      <c r="C134" s="1" t="s">
        <v>2900</v>
      </c>
      <c r="H134" s="2">
        <f t="shared" si="3"/>
        <v>0</v>
      </c>
      <c r="K134" s="3" t="s">
        <v>2902</v>
      </c>
      <c r="L134" s="4">
        <v>21570387.62</v>
      </c>
      <c r="M134" s="4">
        <v>8318332.85</v>
      </c>
      <c r="N134" s="4">
        <v>567888.52</v>
      </c>
      <c r="O134" s="4">
        <v>12048201.34</v>
      </c>
      <c r="P134" s="4">
        <v>635964.91</v>
      </c>
      <c r="S134" s="4">
        <f>S133/10000</f>
        <v>11016.1564315</v>
      </c>
      <c r="T134" s="4">
        <f>T133/10000</f>
        <v>5016.42353264181</v>
      </c>
      <c r="U134" s="4">
        <f>U133/10000</f>
        <v>15657.1634593403</v>
      </c>
      <c r="V134" s="4">
        <f>V133/10000</f>
        <v>2569.45423738001</v>
      </c>
    </row>
    <row r="135" spans="1:12">
      <c r="A135" s="1" t="s">
        <v>2906</v>
      </c>
      <c r="B135" s="1" t="s">
        <v>159</v>
      </c>
      <c r="C135" s="1" t="s">
        <v>2900</v>
      </c>
      <c r="H135" s="2">
        <f t="shared" si="3"/>
        <v>0</v>
      </c>
      <c r="K135" s="3" t="s">
        <v>2903</v>
      </c>
      <c r="L135" s="4">
        <v>0</v>
      </c>
    </row>
    <row r="136" spans="1:16">
      <c r="A136" s="1" t="s">
        <v>2906</v>
      </c>
      <c r="B136" s="1" t="s">
        <v>158</v>
      </c>
      <c r="C136" s="1" t="s">
        <v>2902</v>
      </c>
      <c r="D136" s="2">
        <v>187.92</v>
      </c>
      <c r="H136" s="2">
        <f t="shared" si="3"/>
        <v>187.92</v>
      </c>
      <c r="K136" s="3" t="s">
        <v>2905</v>
      </c>
      <c r="L136" s="4">
        <v>229539.69</v>
      </c>
      <c r="M136" s="4">
        <v>0</v>
      </c>
      <c r="N136" s="4">
        <v>0</v>
      </c>
      <c r="O136" s="4">
        <v>0</v>
      </c>
      <c r="P136" s="4">
        <v>229539.69</v>
      </c>
    </row>
    <row r="137" spans="1:16">
      <c r="A137" s="1" t="s">
        <v>2906</v>
      </c>
      <c r="B137" s="1" t="s">
        <v>159</v>
      </c>
      <c r="C137" s="1" t="s">
        <v>2902</v>
      </c>
      <c r="D137" s="2">
        <v>2629.65</v>
      </c>
      <c r="E137" s="2">
        <v>0</v>
      </c>
      <c r="F137" s="2">
        <v>0</v>
      </c>
      <c r="G137" s="2">
        <v>0</v>
      </c>
      <c r="H137" s="2">
        <f t="shared" si="3"/>
        <v>2629.65</v>
      </c>
      <c r="J137" s="3" t="s">
        <v>319</v>
      </c>
      <c r="L137" s="4">
        <v>37035812843.203</v>
      </c>
      <c r="M137" s="4">
        <v>6161159985.1768</v>
      </c>
      <c r="N137" s="4">
        <v>21391754827.6418</v>
      </c>
      <c r="O137" s="4">
        <v>8460564870.7656</v>
      </c>
      <c r="P137" s="4">
        <v>1639844906.7488</v>
      </c>
    </row>
    <row r="138" spans="1:12">
      <c r="A138" s="1" t="s">
        <v>2908</v>
      </c>
      <c r="B138" s="1" t="s">
        <v>148</v>
      </c>
      <c r="C138" s="1" t="s">
        <v>2892</v>
      </c>
      <c r="D138" s="15">
        <v>0</v>
      </c>
      <c r="E138" s="15">
        <v>132666181.47</v>
      </c>
      <c r="F138" s="15">
        <v>0</v>
      </c>
      <c r="G138" s="15">
        <v>0</v>
      </c>
      <c r="H138" s="2">
        <f t="shared" si="3"/>
        <v>132666181.47</v>
      </c>
      <c r="L138" s="4">
        <f>L137-GETPIVOTDATA("合计",$K$673)</f>
        <v>0</v>
      </c>
    </row>
    <row r="139" spans="1:8">
      <c r="A139" s="1" t="s">
        <v>2908</v>
      </c>
      <c r="B139" s="1" t="s">
        <v>149</v>
      </c>
      <c r="C139" s="1" t="s">
        <v>2892</v>
      </c>
      <c r="D139" s="15">
        <v>0</v>
      </c>
      <c r="E139" s="15">
        <v>210241183.65</v>
      </c>
      <c r="F139" s="15">
        <v>0</v>
      </c>
      <c r="G139" s="15">
        <v>0</v>
      </c>
      <c r="H139" s="2">
        <f t="shared" si="3"/>
        <v>210241183.65</v>
      </c>
    </row>
    <row r="140" spans="1:7">
      <c r="A140" s="1" t="s">
        <v>2908</v>
      </c>
      <c r="B140" s="1" t="s">
        <v>150</v>
      </c>
      <c r="C140" s="1" t="s">
        <v>2892</v>
      </c>
      <c r="D140" s="15">
        <v>0</v>
      </c>
      <c r="E140" s="15">
        <v>308809050.05</v>
      </c>
      <c r="F140" s="15">
        <v>0</v>
      </c>
      <c r="G140" s="15">
        <v>0</v>
      </c>
    </row>
    <row r="141" spans="1:8">
      <c r="A141" s="1" t="s">
        <v>2908</v>
      </c>
      <c r="B141" s="1" t="s">
        <v>151</v>
      </c>
      <c r="C141" s="1" t="s">
        <v>2892</v>
      </c>
      <c r="D141" s="15">
        <v>0</v>
      </c>
      <c r="E141" s="15">
        <v>303537937.45</v>
      </c>
      <c r="F141" s="15">
        <v>0</v>
      </c>
      <c r="G141" s="15">
        <v>0</v>
      </c>
      <c r="H141" s="2">
        <f t="shared" ref="H141:H151" si="4">SUM(D141:G141)</f>
        <v>303537937.45</v>
      </c>
    </row>
    <row r="142" spans="1:8">
      <c r="A142" s="1" t="s">
        <v>2908</v>
      </c>
      <c r="B142" s="1" t="s">
        <v>152</v>
      </c>
      <c r="C142" s="1" t="s">
        <v>2892</v>
      </c>
      <c r="D142" s="15">
        <v>0</v>
      </c>
      <c r="E142" s="15">
        <v>163415596.95</v>
      </c>
      <c r="F142" s="15">
        <v>0</v>
      </c>
      <c r="G142" s="15">
        <v>0</v>
      </c>
      <c r="H142" s="2">
        <f t="shared" si="4"/>
        <v>163415596.95</v>
      </c>
    </row>
    <row r="143" spans="1:8">
      <c r="A143" s="1" t="s">
        <v>2908</v>
      </c>
      <c r="B143" s="1" t="s">
        <v>153</v>
      </c>
      <c r="C143" s="1" t="s">
        <v>2892</v>
      </c>
      <c r="D143" s="15">
        <v>0</v>
      </c>
      <c r="E143" s="15">
        <v>94236766.79</v>
      </c>
      <c r="F143" s="15">
        <v>0</v>
      </c>
      <c r="G143" s="15">
        <v>0</v>
      </c>
      <c r="H143" s="2">
        <f t="shared" si="4"/>
        <v>94236766.79</v>
      </c>
    </row>
    <row r="144" spans="1:8">
      <c r="A144" s="1" t="s">
        <v>2908</v>
      </c>
      <c r="B144" s="1" t="s">
        <v>154</v>
      </c>
      <c r="C144" s="1" t="s">
        <v>2892</v>
      </c>
      <c r="D144" s="15">
        <v>-0.399999999994179</v>
      </c>
      <c r="E144" s="15">
        <v>38610871.39</v>
      </c>
      <c r="F144" s="15">
        <v>3.52000000048429</v>
      </c>
      <c r="G144" s="15"/>
      <c r="H144" s="2">
        <f t="shared" si="4"/>
        <v>38610874.51</v>
      </c>
    </row>
    <row r="145" spans="1:8">
      <c r="A145" s="1" t="s">
        <v>2908</v>
      </c>
      <c r="B145" s="1" t="s">
        <v>155</v>
      </c>
      <c r="C145" s="1" t="s">
        <v>2892</v>
      </c>
      <c r="D145" s="15">
        <v>0.0499999999883585</v>
      </c>
      <c r="E145" s="15">
        <v>15796429.55</v>
      </c>
      <c r="F145" s="15"/>
      <c r="G145" s="15">
        <v>2700.72</v>
      </c>
      <c r="H145" s="2">
        <f t="shared" si="4"/>
        <v>15799130.32</v>
      </c>
    </row>
    <row r="146" spans="1:8">
      <c r="A146" s="1" t="s">
        <v>2908</v>
      </c>
      <c r="B146" s="1" t="s">
        <v>156</v>
      </c>
      <c r="C146" s="1" t="s">
        <v>2892</v>
      </c>
      <c r="D146" s="15">
        <v>6317965.55</v>
      </c>
      <c r="E146" s="15">
        <v>29884691.9</v>
      </c>
      <c r="F146" s="15">
        <v>2288217.09</v>
      </c>
      <c r="G146" s="15">
        <v>464562.1</v>
      </c>
      <c r="H146" s="2">
        <f t="shared" si="4"/>
        <v>38955436.64</v>
      </c>
    </row>
    <row r="147" spans="1:8">
      <c r="A147" s="1" t="s">
        <v>2908</v>
      </c>
      <c r="B147" s="1" t="s">
        <v>157</v>
      </c>
      <c r="C147" s="1" t="s">
        <v>2892</v>
      </c>
      <c r="D147" s="15">
        <v>-50051.0099999998</v>
      </c>
      <c r="E147" s="15">
        <v>32958738.33</v>
      </c>
      <c r="F147" s="15">
        <v>43652.8799999999</v>
      </c>
      <c r="G147" s="15">
        <v>808005.97</v>
      </c>
      <c r="H147" s="2">
        <f t="shared" si="4"/>
        <v>33760346.17</v>
      </c>
    </row>
    <row r="148" spans="1:8">
      <c r="A148" s="1" t="s">
        <v>2908</v>
      </c>
      <c r="B148" s="1" t="s">
        <v>158</v>
      </c>
      <c r="C148" s="1" t="s">
        <v>2892</v>
      </c>
      <c r="D148" s="15">
        <v>-3754269.33</v>
      </c>
      <c r="E148" s="15">
        <v>38933178.56</v>
      </c>
      <c r="F148" s="15">
        <v>235019.07</v>
      </c>
      <c r="G148" s="15">
        <v>688053.57</v>
      </c>
      <c r="H148" s="2">
        <f t="shared" si="4"/>
        <v>36101981.87</v>
      </c>
    </row>
    <row r="149" spans="1:8">
      <c r="A149" s="1" t="s">
        <v>2908</v>
      </c>
      <c r="B149" s="1" t="s">
        <v>159</v>
      </c>
      <c r="C149" s="1" t="s">
        <v>2892</v>
      </c>
      <c r="D149" s="15">
        <v>7065.87</v>
      </c>
      <c r="E149" s="15">
        <v>10005565.56</v>
      </c>
      <c r="F149" s="15">
        <v>551503.67</v>
      </c>
      <c r="G149" s="15">
        <v>226953.88</v>
      </c>
      <c r="H149" s="2">
        <f t="shared" si="4"/>
        <v>10791088.98</v>
      </c>
    </row>
    <row r="150" spans="1:8">
      <c r="A150" s="1" t="s">
        <v>2908</v>
      </c>
      <c r="B150" s="1" t="s">
        <v>148</v>
      </c>
      <c r="C150" s="1" t="s">
        <v>2899</v>
      </c>
      <c r="D150" s="2">
        <v>0</v>
      </c>
      <c r="E150" s="2">
        <v>132327125.34</v>
      </c>
      <c r="F150" s="2">
        <v>0</v>
      </c>
      <c r="G150" s="2">
        <v>0</v>
      </c>
      <c r="H150" s="2">
        <f t="shared" si="4"/>
        <v>132327125.34</v>
      </c>
    </row>
    <row r="151" spans="1:8">
      <c r="A151" s="1" t="s">
        <v>2908</v>
      </c>
      <c r="B151" s="1" t="s">
        <v>149</v>
      </c>
      <c r="C151" s="1" t="s">
        <v>2899</v>
      </c>
      <c r="D151" s="2">
        <v>0</v>
      </c>
      <c r="E151" s="2">
        <v>210155704.88</v>
      </c>
      <c r="F151" s="2">
        <v>0</v>
      </c>
      <c r="G151" s="2">
        <v>0</v>
      </c>
      <c r="H151" s="2">
        <f t="shared" si="4"/>
        <v>210155704.88</v>
      </c>
    </row>
    <row r="152" spans="1:7">
      <c r="A152" s="1" t="s">
        <v>2908</v>
      </c>
      <c r="B152" s="1" t="s">
        <v>150</v>
      </c>
      <c r="C152" s="1" t="s">
        <v>2899</v>
      </c>
      <c r="D152" s="2">
        <v>0</v>
      </c>
      <c r="E152" s="2">
        <v>308702697.08</v>
      </c>
      <c r="F152" s="2">
        <v>0</v>
      </c>
      <c r="G152" s="2">
        <v>0</v>
      </c>
    </row>
    <row r="153" spans="1:8">
      <c r="A153" s="1" t="s">
        <v>2908</v>
      </c>
      <c r="B153" s="1" t="s">
        <v>151</v>
      </c>
      <c r="C153" s="1" t="s">
        <v>2899</v>
      </c>
      <c r="D153" s="2">
        <v>0</v>
      </c>
      <c r="E153" s="2">
        <v>303392358.41</v>
      </c>
      <c r="F153" s="2">
        <v>0</v>
      </c>
      <c r="G153" s="2">
        <v>0</v>
      </c>
      <c r="H153" s="2">
        <f t="shared" ref="H153:H216" si="5">SUM(D153:G153)</f>
        <v>303392358.41</v>
      </c>
    </row>
    <row r="154" spans="1:8">
      <c r="A154" s="1" t="s">
        <v>2908</v>
      </c>
      <c r="B154" s="1" t="s">
        <v>152</v>
      </c>
      <c r="C154" s="1" t="s">
        <v>2899</v>
      </c>
      <c r="D154" s="2">
        <v>0</v>
      </c>
      <c r="E154" s="2">
        <v>163341160.61</v>
      </c>
      <c r="F154" s="2">
        <v>0</v>
      </c>
      <c r="G154" s="2">
        <v>0</v>
      </c>
      <c r="H154" s="2">
        <f t="shared" si="5"/>
        <v>163341160.61</v>
      </c>
    </row>
    <row r="155" spans="1:8">
      <c r="A155" s="1" t="s">
        <v>2908</v>
      </c>
      <c r="B155" s="1" t="s">
        <v>153</v>
      </c>
      <c r="C155" s="1" t="s">
        <v>2899</v>
      </c>
      <c r="D155" s="2">
        <v>0</v>
      </c>
      <c r="E155" s="2">
        <v>94122092.16</v>
      </c>
      <c r="F155" s="2">
        <v>0</v>
      </c>
      <c r="G155" s="2">
        <v>0</v>
      </c>
      <c r="H155" s="2">
        <f t="shared" si="5"/>
        <v>94122092.16</v>
      </c>
    </row>
    <row r="156" spans="1:8">
      <c r="A156" s="1" t="s">
        <v>2908</v>
      </c>
      <c r="B156" s="1" t="s">
        <v>154</v>
      </c>
      <c r="C156" s="1" t="s">
        <v>2899</v>
      </c>
      <c r="D156" s="2">
        <v>-0.399999999994179</v>
      </c>
      <c r="E156" s="2">
        <v>38415901.91</v>
      </c>
      <c r="F156" s="2">
        <v>3.46999999924446</v>
      </c>
      <c r="H156" s="2">
        <f t="shared" si="5"/>
        <v>38415904.98</v>
      </c>
    </row>
    <row r="157" spans="1:8">
      <c r="A157" s="1" t="s">
        <v>2908</v>
      </c>
      <c r="B157" s="1" t="s">
        <v>155</v>
      </c>
      <c r="C157" s="1" t="s">
        <v>2899</v>
      </c>
      <c r="E157" s="2">
        <v>15605181.34</v>
      </c>
      <c r="G157" s="2">
        <v>2265.79999999999</v>
      </c>
      <c r="H157" s="2">
        <f t="shared" si="5"/>
        <v>15607447.14</v>
      </c>
    </row>
    <row r="158" spans="1:8">
      <c r="A158" s="1" t="s">
        <v>2908</v>
      </c>
      <c r="B158" s="1" t="s">
        <v>156</v>
      </c>
      <c r="C158" s="1" t="s">
        <v>2899</v>
      </c>
      <c r="D158" s="2">
        <v>6317724.5</v>
      </c>
      <c r="E158" s="2">
        <v>29394988.57</v>
      </c>
      <c r="F158" s="2">
        <v>2287495.47</v>
      </c>
      <c r="G158" s="2">
        <v>463519.2</v>
      </c>
      <c r="H158" s="2">
        <f t="shared" si="5"/>
        <v>38463727.74</v>
      </c>
    </row>
    <row r="159" spans="1:8">
      <c r="A159" s="1" t="s">
        <v>2908</v>
      </c>
      <c r="B159" s="1" t="s">
        <v>157</v>
      </c>
      <c r="C159" s="1" t="s">
        <v>2899</v>
      </c>
      <c r="D159" s="2">
        <v>-50058.0099999998</v>
      </c>
      <c r="E159" s="2">
        <v>32311401.7042</v>
      </c>
      <c r="F159" s="2">
        <v>35164.54</v>
      </c>
      <c r="G159" s="2">
        <v>799837.37</v>
      </c>
      <c r="H159" s="2">
        <f t="shared" si="5"/>
        <v>33096345.6042</v>
      </c>
    </row>
    <row r="160" spans="1:8">
      <c r="A160" s="1" t="s">
        <v>2908</v>
      </c>
      <c r="B160" s="1" t="s">
        <v>158</v>
      </c>
      <c r="C160" s="1" t="s">
        <v>2899</v>
      </c>
      <c r="D160" s="2">
        <v>-3754278.93</v>
      </c>
      <c r="E160" s="2">
        <v>38451634.1636</v>
      </c>
      <c r="F160" s="2">
        <v>218516.560000001</v>
      </c>
      <c r="G160" s="2">
        <v>738020.16</v>
      </c>
      <c r="H160" s="2">
        <f t="shared" si="5"/>
        <v>35653891.9536</v>
      </c>
    </row>
    <row r="161" spans="1:8">
      <c r="A161" s="1" t="s">
        <v>2908</v>
      </c>
      <c r="B161" s="1" t="s">
        <v>159</v>
      </c>
      <c r="C161" s="1" t="s">
        <v>2899</v>
      </c>
      <c r="D161" s="2">
        <v>7029.09</v>
      </c>
      <c r="E161" s="2">
        <v>10096007.99</v>
      </c>
      <c r="F161" s="2">
        <v>520715.06</v>
      </c>
      <c r="G161" s="2">
        <v>270095.43</v>
      </c>
      <c r="H161" s="2">
        <f t="shared" si="5"/>
        <v>10893847.57</v>
      </c>
    </row>
    <row r="162" spans="1:8">
      <c r="A162" s="1" t="s">
        <v>2908</v>
      </c>
      <c r="B162" s="1" t="s">
        <v>148</v>
      </c>
      <c r="C162" s="1" t="s">
        <v>2896</v>
      </c>
      <c r="D162" s="2">
        <v>0</v>
      </c>
      <c r="E162" s="2">
        <v>6159769.05</v>
      </c>
      <c r="F162" s="2">
        <v>8300832.97</v>
      </c>
      <c r="G162" s="2">
        <v>0</v>
      </c>
      <c r="H162" s="2">
        <f t="shared" si="5"/>
        <v>14460602.02</v>
      </c>
    </row>
    <row r="163" spans="1:8">
      <c r="A163" s="1" t="s">
        <v>2908</v>
      </c>
      <c r="B163" s="1" t="s">
        <v>149</v>
      </c>
      <c r="C163" s="1" t="s">
        <v>2896</v>
      </c>
      <c r="D163" s="2">
        <v>0</v>
      </c>
      <c r="E163" s="2">
        <v>3961561.13</v>
      </c>
      <c r="F163" s="2">
        <v>4203051.26</v>
      </c>
      <c r="G163" s="2">
        <v>0</v>
      </c>
      <c r="H163" s="2">
        <f t="shared" si="5"/>
        <v>8164612.39</v>
      </c>
    </row>
    <row r="164" spans="1:8">
      <c r="A164" s="1" t="s">
        <v>2908</v>
      </c>
      <c r="B164" s="1" t="s">
        <v>150</v>
      </c>
      <c r="C164" s="1" t="s">
        <v>2896</v>
      </c>
      <c r="D164" s="2">
        <v>0</v>
      </c>
      <c r="E164" s="2">
        <v>6395987.34</v>
      </c>
      <c r="F164" s="2">
        <v>2411740.42</v>
      </c>
      <c r="G164" s="2">
        <v>0</v>
      </c>
      <c r="H164" s="2">
        <f t="shared" si="5"/>
        <v>8807727.76</v>
      </c>
    </row>
    <row r="165" spans="1:8">
      <c r="A165" s="1" t="s">
        <v>2908</v>
      </c>
      <c r="B165" s="1" t="s">
        <v>151</v>
      </c>
      <c r="C165" s="1" t="s">
        <v>2896</v>
      </c>
      <c r="D165" s="2">
        <v>1008731.34</v>
      </c>
      <c r="E165" s="2">
        <v>3918116.78</v>
      </c>
      <c r="F165" s="2">
        <v>2338498.87</v>
      </c>
      <c r="G165" s="2">
        <v>0</v>
      </c>
      <c r="H165" s="2">
        <f t="shared" si="5"/>
        <v>7265346.99</v>
      </c>
    </row>
    <row r="166" spans="1:8">
      <c r="A166" s="1" t="s">
        <v>2908</v>
      </c>
      <c r="B166" s="1" t="s">
        <v>152</v>
      </c>
      <c r="C166" s="1" t="s">
        <v>2896</v>
      </c>
      <c r="D166" s="2">
        <v>1129796.75</v>
      </c>
      <c r="E166" s="2">
        <v>1460657.48</v>
      </c>
      <c r="F166" s="2">
        <v>3638229.13</v>
      </c>
      <c r="G166" s="2">
        <v>0</v>
      </c>
      <c r="H166" s="2">
        <f t="shared" si="5"/>
        <v>6228683.36</v>
      </c>
    </row>
    <row r="167" spans="1:8">
      <c r="A167" s="1" t="s">
        <v>2908</v>
      </c>
      <c r="B167" s="1" t="s">
        <v>153</v>
      </c>
      <c r="C167" s="1" t="s">
        <v>2896</v>
      </c>
      <c r="D167" s="2">
        <v>2797346.14</v>
      </c>
      <c r="E167" s="2">
        <v>2048764.83</v>
      </c>
      <c r="F167" s="2">
        <v>5945569.7</v>
      </c>
      <c r="H167" s="2">
        <f t="shared" si="5"/>
        <v>10791680.67</v>
      </c>
    </row>
    <row r="168" spans="1:8">
      <c r="A168" s="1" t="s">
        <v>2908</v>
      </c>
      <c r="B168" s="1" t="s">
        <v>154</v>
      </c>
      <c r="C168" s="1" t="s">
        <v>2896</v>
      </c>
      <c r="D168" s="2">
        <v>1890565.91</v>
      </c>
      <c r="E168" s="2">
        <v>2150508.1</v>
      </c>
      <c r="F168" s="2">
        <v>5800502.58</v>
      </c>
      <c r="H168" s="2">
        <f t="shared" si="5"/>
        <v>9841576.59</v>
      </c>
    </row>
    <row r="169" spans="1:8">
      <c r="A169" s="1" t="s">
        <v>2908</v>
      </c>
      <c r="B169" s="1" t="s">
        <v>155</v>
      </c>
      <c r="C169" s="1" t="s">
        <v>2896</v>
      </c>
      <c r="D169" s="2">
        <v>2293795.12</v>
      </c>
      <c r="E169" s="2">
        <v>1871502.24</v>
      </c>
      <c r="F169" s="2">
        <v>6679262.44</v>
      </c>
      <c r="G169" s="2">
        <v>213152.98</v>
      </c>
      <c r="H169" s="2">
        <f t="shared" si="5"/>
        <v>11057712.78</v>
      </c>
    </row>
    <row r="170" spans="1:8">
      <c r="A170" s="1" t="s">
        <v>2908</v>
      </c>
      <c r="B170" s="1" t="s">
        <v>156</v>
      </c>
      <c r="C170" s="1" t="s">
        <v>2896</v>
      </c>
      <c r="D170" s="2">
        <v>2871828.76</v>
      </c>
      <c r="E170" s="2">
        <v>2003978.73</v>
      </c>
      <c r="F170" s="2">
        <v>2151059.91</v>
      </c>
      <c r="G170" s="2">
        <v>433746.28</v>
      </c>
      <c r="H170" s="2">
        <f t="shared" si="5"/>
        <v>7460613.68</v>
      </c>
    </row>
    <row r="171" spans="1:8">
      <c r="A171" s="1" t="s">
        <v>2908</v>
      </c>
      <c r="B171" s="1" t="s">
        <v>157</v>
      </c>
      <c r="C171" s="1" t="s">
        <v>2896</v>
      </c>
      <c r="D171" s="2">
        <v>1481856.47</v>
      </c>
      <c r="E171" s="2">
        <v>3692634.32</v>
      </c>
      <c r="F171" s="2">
        <v>3769341.1</v>
      </c>
      <c r="G171" s="2">
        <v>623144.42</v>
      </c>
      <c r="H171" s="2">
        <f t="shared" si="5"/>
        <v>9566976.31</v>
      </c>
    </row>
    <row r="172" spans="1:8">
      <c r="A172" s="1" t="s">
        <v>2908</v>
      </c>
      <c r="B172" s="1" t="s">
        <v>158</v>
      </c>
      <c r="C172" s="1" t="s">
        <v>2896</v>
      </c>
      <c r="D172" s="2">
        <v>1318778.67</v>
      </c>
      <c r="E172" s="2">
        <v>2831833.58</v>
      </c>
      <c r="F172" s="2">
        <v>9671494.61</v>
      </c>
      <c r="G172" s="2">
        <v>259898.69</v>
      </c>
      <c r="H172" s="2">
        <f t="shared" si="5"/>
        <v>14082005.55</v>
      </c>
    </row>
    <row r="173" spans="1:8">
      <c r="A173" s="1" t="s">
        <v>2908</v>
      </c>
      <c r="B173" s="1" t="s">
        <v>159</v>
      </c>
      <c r="C173" s="1" t="s">
        <v>2896</v>
      </c>
      <c r="D173" s="2">
        <v>1752812.02</v>
      </c>
      <c r="E173" s="2">
        <v>2458842.71</v>
      </c>
      <c r="F173" s="2">
        <v>1208.98</v>
      </c>
      <c r="G173" s="2">
        <v>312949.65</v>
      </c>
      <c r="H173" s="2">
        <f t="shared" si="5"/>
        <v>4525813.36</v>
      </c>
    </row>
    <row r="174" spans="1:8">
      <c r="A174" s="1" t="s">
        <v>2908</v>
      </c>
      <c r="B174" s="1" t="s">
        <v>148</v>
      </c>
      <c r="C174" s="1" t="s">
        <v>2893</v>
      </c>
      <c r="D174" s="2">
        <v>0</v>
      </c>
      <c r="E174" s="2">
        <v>6227300.78</v>
      </c>
      <c r="F174" s="2">
        <v>8267613.79</v>
      </c>
      <c r="G174" s="2">
        <v>0</v>
      </c>
      <c r="H174" s="2">
        <f t="shared" si="5"/>
        <v>14494914.57</v>
      </c>
    </row>
    <row r="175" spans="1:8">
      <c r="A175" s="1" t="s">
        <v>2908</v>
      </c>
      <c r="B175" s="1" t="s">
        <v>149</v>
      </c>
      <c r="C175" s="1" t="s">
        <v>2893</v>
      </c>
      <c r="D175" s="2">
        <v>0</v>
      </c>
      <c r="E175" s="2">
        <v>3994372.55</v>
      </c>
      <c r="F175" s="2">
        <v>4203044.72</v>
      </c>
      <c r="G175" s="2">
        <v>0</v>
      </c>
      <c r="H175" s="2">
        <f t="shared" si="5"/>
        <v>8197417.27</v>
      </c>
    </row>
    <row r="176" spans="1:8">
      <c r="A176" s="1" t="s">
        <v>2908</v>
      </c>
      <c r="B176" s="1" t="s">
        <v>150</v>
      </c>
      <c r="C176" s="1" t="s">
        <v>2893</v>
      </c>
      <c r="D176" s="2">
        <v>0</v>
      </c>
      <c r="E176" s="2">
        <v>6472367.76</v>
      </c>
      <c r="F176" s="2">
        <v>2411740.42</v>
      </c>
      <c r="G176" s="2">
        <v>0</v>
      </c>
      <c r="H176" s="2">
        <f t="shared" si="5"/>
        <v>8884108.18</v>
      </c>
    </row>
    <row r="177" spans="1:8">
      <c r="A177" s="1" t="s">
        <v>2908</v>
      </c>
      <c r="B177" s="1" t="s">
        <v>151</v>
      </c>
      <c r="C177" s="1" t="s">
        <v>2893</v>
      </c>
      <c r="D177" s="2">
        <v>1008731.34</v>
      </c>
      <c r="E177" s="2">
        <v>3820725.95</v>
      </c>
      <c r="F177" s="2">
        <v>2338479.96</v>
      </c>
      <c r="G177" s="2">
        <v>0</v>
      </c>
      <c r="H177" s="2">
        <f t="shared" si="5"/>
        <v>7167937.25</v>
      </c>
    </row>
    <row r="178" spans="1:8">
      <c r="A178" s="1" t="s">
        <v>2908</v>
      </c>
      <c r="B178" s="1" t="s">
        <v>152</v>
      </c>
      <c r="C178" s="1" t="s">
        <v>2893</v>
      </c>
      <c r="D178" s="2">
        <v>1129796.75</v>
      </c>
      <c r="E178" s="2">
        <v>691687.15</v>
      </c>
      <c r="F178" s="2">
        <v>3638229</v>
      </c>
      <c r="G178" s="2">
        <v>0</v>
      </c>
      <c r="H178" s="2">
        <f t="shared" si="5"/>
        <v>5459712.9</v>
      </c>
    </row>
    <row r="179" spans="1:8">
      <c r="A179" s="1" t="s">
        <v>2908</v>
      </c>
      <c r="B179" s="1" t="s">
        <v>153</v>
      </c>
      <c r="C179" s="1" t="s">
        <v>2893</v>
      </c>
      <c r="D179" s="2">
        <v>2801002.58</v>
      </c>
      <c r="E179" s="2">
        <v>2691229.2</v>
      </c>
      <c r="F179" s="2">
        <v>5953298.45</v>
      </c>
      <c r="H179" s="2">
        <f t="shared" si="5"/>
        <v>11445530.23</v>
      </c>
    </row>
    <row r="180" spans="1:8">
      <c r="A180" s="1" t="s">
        <v>2908</v>
      </c>
      <c r="B180" s="1" t="s">
        <v>154</v>
      </c>
      <c r="C180" s="1" t="s">
        <v>2893</v>
      </c>
      <c r="D180" s="2">
        <v>1889087.93</v>
      </c>
      <c r="E180" s="2">
        <v>2105133.95</v>
      </c>
      <c r="F180" s="2">
        <v>5800501.95</v>
      </c>
      <c r="H180" s="2">
        <f t="shared" si="5"/>
        <v>9794723.83</v>
      </c>
    </row>
    <row r="181" spans="1:8">
      <c r="A181" s="1" t="s">
        <v>2908</v>
      </c>
      <c r="B181" s="1" t="s">
        <v>155</v>
      </c>
      <c r="C181" s="1" t="s">
        <v>2893</v>
      </c>
      <c r="D181" s="2">
        <v>2291609.35</v>
      </c>
      <c r="E181" s="2">
        <v>1860856.77</v>
      </c>
      <c r="F181" s="2">
        <v>6679193.61</v>
      </c>
      <c r="G181" s="2">
        <v>213152.98</v>
      </c>
      <c r="H181" s="2">
        <f t="shared" si="5"/>
        <v>11044812.71</v>
      </c>
    </row>
    <row r="182" spans="1:8">
      <c r="A182" s="1" t="s">
        <v>2908</v>
      </c>
      <c r="B182" s="1" t="s">
        <v>156</v>
      </c>
      <c r="C182" s="1" t="s">
        <v>2893</v>
      </c>
      <c r="D182" s="2">
        <v>2855097.64</v>
      </c>
      <c r="E182" s="2">
        <v>1967423.06</v>
      </c>
      <c r="F182" s="2">
        <v>2149648.2</v>
      </c>
      <c r="G182" s="2">
        <v>433746.28</v>
      </c>
      <c r="H182" s="2">
        <f t="shared" si="5"/>
        <v>7405915.18</v>
      </c>
    </row>
    <row r="183" spans="1:8">
      <c r="A183" s="1" t="s">
        <v>2908</v>
      </c>
      <c r="B183" s="1" t="s">
        <v>157</v>
      </c>
      <c r="C183" s="1" t="s">
        <v>2893</v>
      </c>
      <c r="D183" s="2">
        <v>1503994.82</v>
      </c>
      <c r="E183" s="2">
        <v>3620755.44</v>
      </c>
      <c r="F183" s="2">
        <v>3735266.39</v>
      </c>
      <c r="G183" s="2">
        <v>622230.53</v>
      </c>
      <c r="H183" s="2">
        <f t="shared" si="5"/>
        <v>9482247.18</v>
      </c>
    </row>
    <row r="184" spans="1:8">
      <c r="A184" s="1" t="s">
        <v>2908</v>
      </c>
      <c r="B184" s="1" t="s">
        <v>158</v>
      </c>
      <c r="C184" s="1" t="s">
        <v>2893</v>
      </c>
      <c r="D184" s="2">
        <v>1287960.53</v>
      </c>
      <c r="E184" s="2">
        <v>2819800.2</v>
      </c>
      <c r="F184" s="2">
        <v>9671491.91</v>
      </c>
      <c r="G184" s="2">
        <v>259391.81</v>
      </c>
      <c r="H184" s="2">
        <f t="shared" si="5"/>
        <v>14038644.45</v>
      </c>
    </row>
    <row r="185" spans="1:8">
      <c r="A185" s="1" t="s">
        <v>2908</v>
      </c>
      <c r="B185" s="1" t="s">
        <v>159</v>
      </c>
      <c r="C185" s="1" t="s">
        <v>2893</v>
      </c>
      <c r="D185" s="2">
        <v>1775162.81</v>
      </c>
      <c r="E185" s="2">
        <v>2479573.16</v>
      </c>
      <c r="F185" s="2">
        <v>2323.72</v>
      </c>
      <c r="G185" s="2">
        <v>384554.69</v>
      </c>
      <c r="H185" s="2">
        <f t="shared" si="5"/>
        <v>4641614.38</v>
      </c>
    </row>
    <row r="186" spans="1:8">
      <c r="A186" s="1" t="s">
        <v>2908</v>
      </c>
      <c r="B186" s="1" t="s">
        <v>148</v>
      </c>
      <c r="C186" s="1" t="s">
        <v>2902</v>
      </c>
      <c r="H186" s="2">
        <f t="shared" si="5"/>
        <v>0</v>
      </c>
    </row>
    <row r="187" spans="1:8">
      <c r="A187" s="1" t="s">
        <v>2908</v>
      </c>
      <c r="B187" s="1" t="s">
        <v>149</v>
      </c>
      <c r="C187" s="1" t="s">
        <v>2902</v>
      </c>
      <c r="H187" s="2">
        <f t="shared" si="5"/>
        <v>0</v>
      </c>
    </row>
    <row r="188" spans="1:8">
      <c r="A188" s="1" t="s">
        <v>2908</v>
      </c>
      <c r="B188" s="1" t="s">
        <v>150</v>
      </c>
      <c r="C188" s="1" t="s">
        <v>2902</v>
      </c>
      <c r="H188" s="2">
        <f t="shared" si="5"/>
        <v>0</v>
      </c>
    </row>
    <row r="189" spans="1:8">
      <c r="A189" s="1" t="s">
        <v>2908</v>
      </c>
      <c r="B189" s="1" t="s">
        <v>151</v>
      </c>
      <c r="C189" s="1" t="s">
        <v>2902</v>
      </c>
      <c r="H189" s="2">
        <f t="shared" si="5"/>
        <v>0</v>
      </c>
    </row>
    <row r="190" spans="1:8">
      <c r="A190" s="1" t="s">
        <v>2908</v>
      </c>
      <c r="B190" s="1" t="s">
        <v>152</v>
      </c>
      <c r="C190" s="1" t="s">
        <v>2902</v>
      </c>
      <c r="H190" s="2">
        <f t="shared" si="5"/>
        <v>0</v>
      </c>
    </row>
    <row r="191" spans="1:8">
      <c r="A191" s="1" t="s">
        <v>2908</v>
      </c>
      <c r="B191" s="1" t="s">
        <v>153</v>
      </c>
      <c r="C191" s="1" t="s">
        <v>2902</v>
      </c>
      <c r="H191" s="2">
        <f t="shared" si="5"/>
        <v>0</v>
      </c>
    </row>
    <row r="192" spans="1:8">
      <c r="A192" s="1" t="s">
        <v>2908</v>
      </c>
      <c r="B192" s="1" t="s">
        <v>154</v>
      </c>
      <c r="C192" s="1" t="s">
        <v>2902</v>
      </c>
      <c r="H192" s="2">
        <f t="shared" si="5"/>
        <v>0</v>
      </c>
    </row>
    <row r="193" spans="1:8">
      <c r="A193" s="1" t="s">
        <v>2908</v>
      </c>
      <c r="B193" s="1" t="s">
        <v>155</v>
      </c>
      <c r="C193" s="1" t="s">
        <v>2902</v>
      </c>
      <c r="H193" s="2">
        <f t="shared" si="5"/>
        <v>0</v>
      </c>
    </row>
    <row r="194" spans="1:8">
      <c r="A194" s="1" t="s">
        <v>2908</v>
      </c>
      <c r="B194" s="1" t="s">
        <v>156</v>
      </c>
      <c r="C194" s="1" t="s">
        <v>2902</v>
      </c>
      <c r="F194" s="2">
        <v>300337.73</v>
      </c>
      <c r="H194" s="2">
        <f t="shared" si="5"/>
        <v>300337.73</v>
      </c>
    </row>
    <row r="195" spans="1:8">
      <c r="A195" s="1" t="s">
        <v>2908</v>
      </c>
      <c r="B195" s="1" t="s">
        <v>157</v>
      </c>
      <c r="C195" s="1" t="s">
        <v>2902</v>
      </c>
      <c r="H195" s="2">
        <f t="shared" si="5"/>
        <v>0</v>
      </c>
    </row>
    <row r="196" spans="1:8">
      <c r="A196" s="1" t="s">
        <v>2908</v>
      </c>
      <c r="B196" s="1" t="s">
        <v>158</v>
      </c>
      <c r="C196" s="1" t="s">
        <v>2902</v>
      </c>
      <c r="H196" s="2">
        <f t="shared" si="5"/>
        <v>0</v>
      </c>
    </row>
    <row r="197" spans="1:8">
      <c r="A197" s="1" t="s">
        <v>2908</v>
      </c>
      <c r="B197" s="1" t="s">
        <v>159</v>
      </c>
      <c r="C197" s="1" t="s">
        <v>2902</v>
      </c>
      <c r="H197" s="2">
        <f t="shared" si="5"/>
        <v>0</v>
      </c>
    </row>
    <row r="198" spans="1:8">
      <c r="A198" s="1" t="s">
        <v>2909</v>
      </c>
      <c r="B198" s="1" t="s">
        <v>148</v>
      </c>
      <c r="C198" s="1" t="s">
        <v>2892</v>
      </c>
      <c r="D198" s="2">
        <v>13224813.02</v>
      </c>
      <c r="E198" s="2">
        <v>598.12</v>
      </c>
      <c r="F198" s="2">
        <v>1564903.73</v>
      </c>
      <c r="G198" s="2">
        <v>116.22</v>
      </c>
      <c r="H198" s="2">
        <f t="shared" si="5"/>
        <v>14790431.09</v>
      </c>
    </row>
    <row r="199" spans="1:8">
      <c r="A199" s="1" t="s">
        <v>2909</v>
      </c>
      <c r="B199" s="1" t="s">
        <v>149</v>
      </c>
      <c r="C199" s="1" t="s">
        <v>2892</v>
      </c>
      <c r="D199" s="2">
        <v>10407995.49</v>
      </c>
      <c r="E199" s="2">
        <v>1174.4694</v>
      </c>
      <c r="F199" s="2">
        <v>1482335.724</v>
      </c>
      <c r="G199" s="2">
        <v>50.3562</v>
      </c>
      <c r="H199" s="2">
        <f t="shared" si="5"/>
        <v>11891556.0396</v>
      </c>
    </row>
    <row r="200" spans="1:8">
      <c r="A200" s="1" t="s">
        <v>2909</v>
      </c>
      <c r="B200" s="1" t="s">
        <v>150</v>
      </c>
      <c r="C200" s="1" t="s">
        <v>2892</v>
      </c>
      <c r="D200" s="2">
        <v>22257146.88</v>
      </c>
      <c r="E200" s="2">
        <v>886.4</v>
      </c>
      <c r="F200" s="2">
        <v>1423464.61</v>
      </c>
      <c r="G200" s="2">
        <v>1252.18</v>
      </c>
      <c r="H200" s="2">
        <f t="shared" si="5"/>
        <v>23682750.07</v>
      </c>
    </row>
    <row r="201" spans="1:8">
      <c r="A201" s="1" t="s">
        <v>2909</v>
      </c>
      <c r="B201" s="1" t="s">
        <v>151</v>
      </c>
      <c r="C201" s="1" t="s">
        <v>2892</v>
      </c>
      <c r="D201" s="2">
        <v>20861933.49</v>
      </c>
      <c r="E201" s="2">
        <v>47.33</v>
      </c>
      <c r="F201" s="2">
        <v>948523.58</v>
      </c>
      <c r="G201" s="2">
        <v>342.02</v>
      </c>
      <c r="H201" s="2">
        <f t="shared" si="5"/>
        <v>21810846.42</v>
      </c>
    </row>
    <row r="202" spans="1:8">
      <c r="A202" s="1" t="s">
        <v>2909</v>
      </c>
      <c r="B202" s="1" t="s">
        <v>152</v>
      </c>
      <c r="C202" s="1" t="s">
        <v>2892</v>
      </c>
      <c r="D202" s="2">
        <v>21786925.13</v>
      </c>
      <c r="E202" s="2">
        <v>45.74</v>
      </c>
      <c r="F202" s="2">
        <v>941433.76</v>
      </c>
      <c r="G202" s="2">
        <v>648.71</v>
      </c>
      <c r="H202" s="2">
        <f t="shared" si="5"/>
        <v>22729053.34</v>
      </c>
    </row>
    <row r="203" spans="1:8">
      <c r="A203" s="1" t="s">
        <v>2909</v>
      </c>
      <c r="B203" s="1" t="s">
        <v>153</v>
      </c>
      <c r="C203" s="1" t="s">
        <v>2892</v>
      </c>
      <c r="D203" s="2">
        <v>16737973.36</v>
      </c>
      <c r="E203" s="2">
        <v>220.18</v>
      </c>
      <c r="F203" s="2">
        <v>629018.169999999</v>
      </c>
      <c r="G203" s="2">
        <v>286.61</v>
      </c>
      <c r="H203" s="2">
        <f t="shared" si="5"/>
        <v>17367498.32</v>
      </c>
    </row>
    <row r="204" spans="1:8">
      <c r="A204" s="1" t="s">
        <v>2909</v>
      </c>
      <c r="B204" s="1" t="s">
        <v>154</v>
      </c>
      <c r="C204" s="1" t="s">
        <v>2892</v>
      </c>
      <c r="D204" s="2">
        <v>25691813.1</v>
      </c>
      <c r="E204" s="2">
        <v>680.36</v>
      </c>
      <c r="F204" s="2">
        <v>673456.49</v>
      </c>
      <c r="G204" s="2">
        <v>699.99</v>
      </c>
      <c r="H204" s="2">
        <f t="shared" si="5"/>
        <v>26366649.94</v>
      </c>
    </row>
    <row r="205" spans="1:8">
      <c r="A205" s="1" t="s">
        <v>2909</v>
      </c>
      <c r="B205" s="1" t="s">
        <v>155</v>
      </c>
      <c r="C205" s="1" t="s">
        <v>2892</v>
      </c>
      <c r="D205" s="2">
        <v>29726634.31</v>
      </c>
      <c r="E205" s="2">
        <v>491.64</v>
      </c>
      <c r="F205" s="2">
        <v>5758830.53</v>
      </c>
      <c r="G205" s="2">
        <v>1024.72</v>
      </c>
      <c r="H205" s="2">
        <f t="shared" si="5"/>
        <v>35486981.2</v>
      </c>
    </row>
    <row r="206" spans="1:8">
      <c r="A206" s="1" t="s">
        <v>2909</v>
      </c>
      <c r="B206" s="1" t="s">
        <v>156</v>
      </c>
      <c r="C206" s="1" t="s">
        <v>2892</v>
      </c>
      <c r="D206" s="2">
        <v>17855028.85</v>
      </c>
      <c r="E206" s="2">
        <v>30</v>
      </c>
      <c r="F206" s="2">
        <v>2768489.81</v>
      </c>
      <c r="G206" s="2">
        <v>48448.42</v>
      </c>
      <c r="H206" s="2">
        <f t="shared" si="5"/>
        <v>20671997.08</v>
      </c>
    </row>
    <row r="207" spans="1:8">
      <c r="A207" s="1" t="s">
        <v>2909</v>
      </c>
      <c r="B207" s="1" t="s">
        <v>157</v>
      </c>
      <c r="C207" s="1" t="s">
        <v>2892</v>
      </c>
      <c r="D207" s="2">
        <v>22835274.5</v>
      </c>
      <c r="F207" s="2">
        <v>3202531.16</v>
      </c>
      <c r="G207" s="2">
        <v>848.69</v>
      </c>
      <c r="H207" s="2">
        <f t="shared" si="5"/>
        <v>26038654.35</v>
      </c>
    </row>
    <row r="208" spans="1:8">
      <c r="A208" s="1" t="s">
        <v>2909</v>
      </c>
      <c r="B208" s="1" t="s">
        <v>158</v>
      </c>
      <c r="C208" s="1" t="s">
        <v>2892</v>
      </c>
      <c r="D208" s="2">
        <v>15410640.88</v>
      </c>
      <c r="F208" s="2">
        <v>2040211.56</v>
      </c>
      <c r="G208" s="2">
        <v>15337.36</v>
      </c>
      <c r="H208" s="2">
        <f t="shared" si="5"/>
        <v>17466189.8</v>
      </c>
    </row>
    <row r="209" spans="1:8">
      <c r="A209" s="1" t="s">
        <v>2909</v>
      </c>
      <c r="B209" s="1" t="s">
        <v>159</v>
      </c>
      <c r="C209" s="1" t="s">
        <v>2892</v>
      </c>
      <c r="D209" s="2">
        <v>14218202.83</v>
      </c>
      <c r="E209" s="2">
        <v>0</v>
      </c>
      <c r="F209" s="2">
        <v>2755851.54</v>
      </c>
      <c r="G209" s="2">
        <v>13362.16</v>
      </c>
      <c r="H209" s="2">
        <f t="shared" si="5"/>
        <v>16987416.53</v>
      </c>
    </row>
    <row r="210" spans="1:8">
      <c r="A210" s="1" t="s">
        <v>2909</v>
      </c>
      <c r="B210" s="1" t="s">
        <v>148</v>
      </c>
      <c r="C210" s="1" t="s">
        <v>2899</v>
      </c>
      <c r="D210" s="2">
        <v>13046817.2</v>
      </c>
      <c r="E210" s="2">
        <v>805.14</v>
      </c>
      <c r="F210" s="2">
        <v>1479769.89</v>
      </c>
      <c r="G210" s="2">
        <v>90</v>
      </c>
      <c r="H210" s="2">
        <f t="shared" si="5"/>
        <v>14527482.23</v>
      </c>
    </row>
    <row r="211" spans="1:8">
      <c r="A211" s="1" t="s">
        <v>2909</v>
      </c>
      <c r="B211" s="1" t="s">
        <v>149</v>
      </c>
      <c r="C211" s="1" t="s">
        <v>2899</v>
      </c>
      <c r="D211" s="2">
        <v>10260995.75</v>
      </c>
      <c r="E211" s="2">
        <v>1580.46</v>
      </c>
      <c r="F211" s="2">
        <v>1452622.44</v>
      </c>
      <c r="G211" s="2">
        <v>40</v>
      </c>
      <c r="H211" s="2">
        <f t="shared" si="5"/>
        <v>11715238.65</v>
      </c>
    </row>
    <row r="212" spans="1:8">
      <c r="A212" s="1" t="s">
        <v>2909</v>
      </c>
      <c r="B212" s="1" t="s">
        <v>150</v>
      </c>
      <c r="C212" s="1" t="s">
        <v>2899</v>
      </c>
      <c r="D212" s="2">
        <v>21939656.86</v>
      </c>
      <c r="E212" s="2">
        <v>1192.81</v>
      </c>
      <c r="F212" s="2">
        <v>1298433.12</v>
      </c>
      <c r="G212" s="2">
        <v>1228.65</v>
      </c>
      <c r="H212" s="2">
        <f t="shared" si="5"/>
        <v>23240511.44</v>
      </c>
    </row>
    <row r="213" spans="1:8">
      <c r="A213" s="1" t="s">
        <v>2909</v>
      </c>
      <c r="B213" s="1" t="s">
        <v>151</v>
      </c>
      <c r="C213" s="1" t="s">
        <v>2899</v>
      </c>
      <c r="D213" s="2">
        <v>20522726.4</v>
      </c>
      <c r="E213" s="2">
        <v>1182.87</v>
      </c>
      <c r="F213" s="2">
        <v>911612.33</v>
      </c>
      <c r="G213" s="2">
        <v>4361.34</v>
      </c>
      <c r="H213" s="2">
        <f t="shared" si="5"/>
        <v>21439882.94</v>
      </c>
    </row>
    <row r="214" spans="1:8">
      <c r="A214" s="1" t="s">
        <v>2909</v>
      </c>
      <c r="B214" s="1" t="s">
        <v>152</v>
      </c>
      <c r="C214" s="1" t="s">
        <v>2899</v>
      </c>
      <c r="D214" s="2">
        <v>21449050.4</v>
      </c>
      <c r="E214" s="2">
        <v>223.01</v>
      </c>
      <c r="F214" s="2">
        <v>925238.53</v>
      </c>
      <c r="G214" s="2">
        <v>8992.35</v>
      </c>
      <c r="H214" s="2">
        <f t="shared" si="5"/>
        <v>22383504.29</v>
      </c>
    </row>
    <row r="215" spans="1:8">
      <c r="A215" s="1" t="s">
        <v>2909</v>
      </c>
      <c r="B215" s="1" t="s">
        <v>153</v>
      </c>
      <c r="C215" s="1" t="s">
        <v>2899</v>
      </c>
      <c r="D215" s="2">
        <v>16433390.06</v>
      </c>
      <c r="E215" s="2">
        <v>213.04</v>
      </c>
      <c r="F215" s="2">
        <v>619544.366</v>
      </c>
      <c r="G215" s="2">
        <v>42470.8</v>
      </c>
      <c r="H215" s="2">
        <f t="shared" si="5"/>
        <v>17095618.266</v>
      </c>
    </row>
    <row r="216" spans="1:8">
      <c r="A216" s="1" t="s">
        <v>2909</v>
      </c>
      <c r="B216" s="1" t="s">
        <v>154</v>
      </c>
      <c r="C216" s="1" t="s">
        <v>2899</v>
      </c>
      <c r="D216" s="2">
        <v>25147088.85</v>
      </c>
      <c r="E216" s="2">
        <v>659.83</v>
      </c>
      <c r="F216" s="2">
        <v>663378.59</v>
      </c>
      <c r="G216" s="2">
        <v>17289.9</v>
      </c>
      <c r="H216" s="2">
        <f t="shared" si="5"/>
        <v>25828417.17</v>
      </c>
    </row>
    <row r="217" spans="1:8">
      <c r="A217" s="1" t="s">
        <v>2909</v>
      </c>
      <c r="B217" s="1" t="s">
        <v>155</v>
      </c>
      <c r="C217" s="1" t="s">
        <v>2899</v>
      </c>
      <c r="D217" s="2">
        <v>29091046.44</v>
      </c>
      <c r="E217" s="2">
        <v>458.86</v>
      </c>
      <c r="F217" s="2">
        <v>5618188.2644</v>
      </c>
      <c r="G217" s="2">
        <v>914.85</v>
      </c>
      <c r="H217" s="2">
        <f t="shared" ref="H217:H280" si="6">SUM(D217:G217)</f>
        <v>34710608.4144</v>
      </c>
    </row>
    <row r="218" spans="1:8">
      <c r="A218" s="1" t="s">
        <v>2909</v>
      </c>
      <c r="B218" s="1" t="s">
        <v>156</v>
      </c>
      <c r="C218" s="1" t="s">
        <v>2899</v>
      </c>
      <c r="D218" s="2">
        <v>17440681.33</v>
      </c>
      <c r="E218" s="2">
        <v>27</v>
      </c>
      <c r="F218" s="2">
        <v>2702456.8014</v>
      </c>
      <c r="G218" s="2">
        <v>48427.8</v>
      </c>
      <c r="H218" s="2">
        <f t="shared" si="6"/>
        <v>20191592.9314</v>
      </c>
    </row>
    <row r="219" spans="1:8">
      <c r="A219" s="1" t="s">
        <v>2909</v>
      </c>
      <c r="B219" s="1" t="s">
        <v>157</v>
      </c>
      <c r="C219" s="1" t="s">
        <v>2899</v>
      </c>
      <c r="D219" s="2">
        <v>22320980.9</v>
      </c>
      <c r="F219" s="2">
        <v>3134894.9344</v>
      </c>
      <c r="G219" s="2">
        <v>3672.718</v>
      </c>
      <c r="H219" s="2">
        <f t="shared" si="6"/>
        <v>25459548.5524</v>
      </c>
    </row>
    <row r="220" spans="1:8">
      <c r="A220" s="1" t="s">
        <v>2909</v>
      </c>
      <c r="B220" s="1" t="s">
        <v>158</v>
      </c>
      <c r="C220" s="1" t="s">
        <v>2899</v>
      </c>
      <c r="D220" s="2">
        <v>15064641.2</v>
      </c>
      <c r="F220" s="2">
        <v>2011272.33</v>
      </c>
      <c r="G220" s="2">
        <v>15220.8</v>
      </c>
      <c r="H220" s="2">
        <f t="shared" si="6"/>
        <v>17091134.33</v>
      </c>
    </row>
    <row r="221" spans="1:8">
      <c r="A221" s="1" t="s">
        <v>2909</v>
      </c>
      <c r="B221" s="1" t="s">
        <v>159</v>
      </c>
      <c r="C221" s="1" t="s">
        <v>2899</v>
      </c>
      <c r="D221" s="2">
        <v>13875994.1514</v>
      </c>
      <c r="E221" s="2">
        <v>0</v>
      </c>
      <c r="F221" s="2">
        <v>2784291.279</v>
      </c>
      <c r="G221" s="2">
        <v>13334.58</v>
      </c>
      <c r="H221" s="2">
        <f t="shared" si="6"/>
        <v>16673620.0104</v>
      </c>
    </row>
    <row r="222" spans="1:8">
      <c r="A222" s="1" t="s">
        <v>2909</v>
      </c>
      <c r="B222" s="1" t="s">
        <v>148</v>
      </c>
      <c r="C222" s="1" t="s">
        <v>2896</v>
      </c>
      <c r="D222" s="2">
        <v>0</v>
      </c>
      <c r="E222" s="2">
        <v>0</v>
      </c>
      <c r="F222" s="2">
        <v>14359332.22</v>
      </c>
      <c r="G222" s="2">
        <v>396.13</v>
      </c>
      <c r="H222" s="2">
        <f t="shared" si="6"/>
        <v>14359728.35</v>
      </c>
    </row>
    <row r="223" spans="1:8">
      <c r="A223" s="1" t="s">
        <v>2909</v>
      </c>
      <c r="B223" s="1" t="s">
        <v>149</v>
      </c>
      <c r="C223" s="1" t="s">
        <v>2896</v>
      </c>
      <c r="D223" s="2">
        <v>0</v>
      </c>
      <c r="E223" s="2">
        <v>0</v>
      </c>
      <c r="F223" s="2">
        <v>10946616.08</v>
      </c>
      <c r="G223" s="2">
        <v>78.58</v>
      </c>
      <c r="H223" s="2">
        <f t="shared" si="6"/>
        <v>10946694.66</v>
      </c>
    </row>
    <row r="224" spans="1:8">
      <c r="A224" s="1" t="s">
        <v>2909</v>
      </c>
      <c r="B224" s="1" t="s">
        <v>150</v>
      </c>
      <c r="C224" s="1" t="s">
        <v>2896</v>
      </c>
      <c r="D224" s="2">
        <v>0</v>
      </c>
      <c r="E224" s="2">
        <v>0</v>
      </c>
      <c r="F224" s="2">
        <v>13740125.29</v>
      </c>
      <c r="G224" s="2">
        <v>1108.19</v>
      </c>
      <c r="H224" s="2">
        <f t="shared" si="6"/>
        <v>13741233.48</v>
      </c>
    </row>
    <row r="225" spans="1:8">
      <c r="A225" s="1" t="s">
        <v>2909</v>
      </c>
      <c r="B225" s="1" t="s">
        <v>151</v>
      </c>
      <c r="C225" s="1" t="s">
        <v>2896</v>
      </c>
      <c r="D225" s="2">
        <v>0</v>
      </c>
      <c r="E225" s="2">
        <v>0</v>
      </c>
      <c r="F225" s="2">
        <v>17608330.25</v>
      </c>
      <c r="G225" s="2">
        <v>4465.75</v>
      </c>
      <c r="H225" s="2">
        <f t="shared" si="6"/>
        <v>17612796</v>
      </c>
    </row>
    <row r="226" spans="1:8">
      <c r="A226" s="1" t="s">
        <v>2909</v>
      </c>
      <c r="B226" s="1" t="s">
        <v>152</v>
      </c>
      <c r="C226" s="1" t="s">
        <v>2896</v>
      </c>
      <c r="D226" s="2">
        <v>0</v>
      </c>
      <c r="E226" s="2">
        <v>0</v>
      </c>
      <c r="F226" s="2">
        <v>13299182.66</v>
      </c>
      <c r="G226" s="2">
        <v>4705.5</v>
      </c>
      <c r="H226" s="2">
        <f t="shared" si="6"/>
        <v>13303888.16</v>
      </c>
    </row>
    <row r="227" spans="1:8">
      <c r="A227" s="1" t="s">
        <v>2909</v>
      </c>
      <c r="B227" s="1" t="s">
        <v>153</v>
      </c>
      <c r="C227" s="1" t="s">
        <v>2896</v>
      </c>
      <c r="D227" s="2">
        <v>0</v>
      </c>
      <c r="E227" s="2">
        <v>760032.06</v>
      </c>
      <c r="F227" s="2">
        <v>15077545.01</v>
      </c>
      <c r="G227" s="2">
        <v>2631.84</v>
      </c>
      <c r="H227" s="2">
        <f t="shared" si="6"/>
        <v>15840208.91</v>
      </c>
    </row>
    <row r="228" spans="1:8">
      <c r="A228" s="1" t="s">
        <v>2909</v>
      </c>
      <c r="B228" s="1" t="s">
        <v>154</v>
      </c>
      <c r="C228" s="1" t="s">
        <v>2896</v>
      </c>
      <c r="F228" s="2">
        <v>11567351.9</v>
      </c>
      <c r="G228" s="2">
        <v>2949.34</v>
      </c>
      <c r="H228" s="2">
        <f t="shared" si="6"/>
        <v>11570301.24</v>
      </c>
    </row>
    <row r="229" spans="1:8">
      <c r="A229" s="1" t="s">
        <v>2909</v>
      </c>
      <c r="B229" s="1" t="s">
        <v>155</v>
      </c>
      <c r="C229" s="1" t="s">
        <v>2896</v>
      </c>
      <c r="F229" s="2">
        <v>20409136.16</v>
      </c>
      <c r="G229" s="2">
        <v>764.16</v>
      </c>
      <c r="H229" s="2">
        <f t="shared" si="6"/>
        <v>20409900.32</v>
      </c>
    </row>
    <row r="230" spans="1:8">
      <c r="A230" s="1" t="s">
        <v>2909</v>
      </c>
      <c r="B230" s="1" t="s">
        <v>156</v>
      </c>
      <c r="C230" s="1" t="s">
        <v>2896</v>
      </c>
      <c r="D230" s="2">
        <v>0</v>
      </c>
      <c r="E230" s="2">
        <v>0</v>
      </c>
      <c r="F230" s="2">
        <v>7811499.59</v>
      </c>
      <c r="G230" s="2">
        <v>1499247.14</v>
      </c>
      <c r="H230" s="2">
        <f t="shared" si="6"/>
        <v>9310746.73</v>
      </c>
    </row>
    <row r="231" spans="1:8">
      <c r="A231" s="1" t="s">
        <v>2909</v>
      </c>
      <c r="B231" s="1" t="s">
        <v>157</v>
      </c>
      <c r="C231" s="1" t="s">
        <v>2896</v>
      </c>
      <c r="D231" s="2">
        <v>0</v>
      </c>
      <c r="E231" s="2">
        <v>0</v>
      </c>
      <c r="F231" s="2">
        <v>8718027.12</v>
      </c>
      <c r="G231" s="2">
        <v>68789.07</v>
      </c>
      <c r="H231" s="2">
        <f t="shared" si="6"/>
        <v>8786816.19</v>
      </c>
    </row>
    <row r="232" spans="1:8">
      <c r="A232" s="1" t="s">
        <v>2909</v>
      </c>
      <c r="B232" s="1" t="s">
        <v>158</v>
      </c>
      <c r="C232" s="1" t="s">
        <v>2896</v>
      </c>
      <c r="D232" s="2">
        <v>0</v>
      </c>
      <c r="F232" s="2">
        <v>11990965.34</v>
      </c>
      <c r="G232" s="2">
        <v>21084.94</v>
      </c>
      <c r="H232" s="2">
        <f t="shared" si="6"/>
        <v>12012050.28</v>
      </c>
    </row>
    <row r="233" spans="1:8">
      <c r="A233" s="1" t="s">
        <v>2909</v>
      </c>
      <c r="B233" s="1" t="s">
        <v>159</v>
      </c>
      <c r="C233" s="1" t="s">
        <v>2896</v>
      </c>
      <c r="D233" s="2">
        <v>0</v>
      </c>
      <c r="E233" s="2">
        <v>0</v>
      </c>
      <c r="F233" s="2">
        <v>19889309.79</v>
      </c>
      <c r="G233" s="2">
        <v>13780.64</v>
      </c>
      <c r="H233" s="2">
        <f t="shared" si="6"/>
        <v>19903090.43</v>
      </c>
    </row>
    <row r="234" spans="1:8">
      <c r="A234" s="1" t="s">
        <v>2909</v>
      </c>
      <c r="B234" s="1" t="s">
        <v>148</v>
      </c>
      <c r="C234" s="1" t="s">
        <v>2893</v>
      </c>
      <c r="D234" s="2">
        <v>0</v>
      </c>
      <c r="E234" s="2">
        <v>0</v>
      </c>
      <c r="F234" s="2">
        <v>14805312.9</v>
      </c>
      <c r="G234" s="2">
        <v>396.13</v>
      </c>
      <c r="H234" s="2">
        <f t="shared" si="6"/>
        <v>14805709.03</v>
      </c>
    </row>
    <row r="235" spans="1:8">
      <c r="A235" s="1" t="s">
        <v>2909</v>
      </c>
      <c r="B235" s="1" t="s">
        <v>149</v>
      </c>
      <c r="C235" s="1" t="s">
        <v>2893</v>
      </c>
      <c r="D235" s="2">
        <v>0</v>
      </c>
      <c r="E235" s="2">
        <v>0</v>
      </c>
      <c r="F235" s="2">
        <v>10876162.27</v>
      </c>
      <c r="G235" s="2">
        <v>78.58</v>
      </c>
      <c r="H235" s="2">
        <f t="shared" si="6"/>
        <v>10876240.85</v>
      </c>
    </row>
    <row r="236" spans="1:8">
      <c r="A236" s="1" t="s">
        <v>2909</v>
      </c>
      <c r="B236" s="1" t="s">
        <v>150</v>
      </c>
      <c r="C236" s="1" t="s">
        <v>2893</v>
      </c>
      <c r="D236" s="2">
        <v>0</v>
      </c>
      <c r="E236" s="2">
        <v>0</v>
      </c>
      <c r="F236" s="2">
        <v>13770487.98</v>
      </c>
      <c r="G236" s="2">
        <v>1108.19</v>
      </c>
      <c r="H236" s="2">
        <f t="shared" si="6"/>
        <v>13771596.17</v>
      </c>
    </row>
    <row r="237" spans="1:8">
      <c r="A237" s="1" t="s">
        <v>2909</v>
      </c>
      <c r="B237" s="1" t="s">
        <v>151</v>
      </c>
      <c r="C237" s="1" t="s">
        <v>2893</v>
      </c>
      <c r="D237" s="2">
        <v>0</v>
      </c>
      <c r="E237" s="2">
        <v>0</v>
      </c>
      <c r="F237" s="2">
        <v>17854084.99</v>
      </c>
      <c r="G237" s="2">
        <v>4465.75</v>
      </c>
      <c r="H237" s="2">
        <f t="shared" si="6"/>
        <v>17858550.74</v>
      </c>
    </row>
    <row r="238" spans="1:8">
      <c r="A238" s="1" t="s">
        <v>2909</v>
      </c>
      <c r="B238" s="1" t="s">
        <v>152</v>
      </c>
      <c r="C238" s="1" t="s">
        <v>2893</v>
      </c>
      <c r="D238" s="2">
        <v>0</v>
      </c>
      <c r="E238" s="2">
        <v>0</v>
      </c>
      <c r="F238" s="2">
        <v>13888318.76</v>
      </c>
      <c r="G238" s="2">
        <v>4705.5</v>
      </c>
      <c r="H238" s="2">
        <f t="shared" si="6"/>
        <v>13893024.26</v>
      </c>
    </row>
    <row r="239" spans="1:8">
      <c r="A239" s="1" t="s">
        <v>2909</v>
      </c>
      <c r="B239" s="1" t="s">
        <v>153</v>
      </c>
      <c r="C239" s="1" t="s">
        <v>2893</v>
      </c>
      <c r="D239" s="2">
        <v>0</v>
      </c>
      <c r="E239" s="2">
        <v>760032.05</v>
      </c>
      <c r="F239" s="2">
        <v>15741036.83</v>
      </c>
      <c r="G239" s="2">
        <v>2631.84</v>
      </c>
      <c r="H239" s="2">
        <f t="shared" si="6"/>
        <v>16503700.72</v>
      </c>
    </row>
    <row r="240" spans="1:8">
      <c r="A240" s="1" t="s">
        <v>2909</v>
      </c>
      <c r="B240" s="1" t="s">
        <v>154</v>
      </c>
      <c r="C240" s="1" t="s">
        <v>2893</v>
      </c>
      <c r="F240" s="2">
        <v>11965551.4</v>
      </c>
      <c r="G240" s="2">
        <v>2949.34</v>
      </c>
      <c r="H240" s="2">
        <f t="shared" si="6"/>
        <v>11968500.74</v>
      </c>
    </row>
    <row r="241" spans="1:8">
      <c r="A241" s="1" t="s">
        <v>2909</v>
      </c>
      <c r="B241" s="1" t="s">
        <v>155</v>
      </c>
      <c r="C241" s="1" t="s">
        <v>2893</v>
      </c>
      <c r="F241" s="2">
        <v>20287416.69</v>
      </c>
      <c r="G241" s="2">
        <v>764.16</v>
      </c>
      <c r="H241" s="2">
        <f t="shared" si="6"/>
        <v>20288180.85</v>
      </c>
    </row>
    <row r="242" spans="1:8">
      <c r="A242" s="1" t="s">
        <v>2909</v>
      </c>
      <c r="B242" s="1" t="s">
        <v>156</v>
      </c>
      <c r="C242" s="1" t="s">
        <v>2893</v>
      </c>
      <c r="D242" s="2">
        <v>0</v>
      </c>
      <c r="E242" s="2">
        <v>0</v>
      </c>
      <c r="F242" s="2">
        <v>8491148.16</v>
      </c>
      <c r="G242" s="2">
        <v>1470518.83</v>
      </c>
      <c r="H242" s="2">
        <f t="shared" si="6"/>
        <v>9961666.99</v>
      </c>
    </row>
    <row r="243" spans="1:8">
      <c r="A243" s="1" t="s">
        <v>2909</v>
      </c>
      <c r="B243" s="1" t="s">
        <v>157</v>
      </c>
      <c r="C243" s="1" t="s">
        <v>2893</v>
      </c>
      <c r="D243" s="2">
        <v>0</v>
      </c>
      <c r="E243" s="2">
        <v>0</v>
      </c>
      <c r="F243" s="2">
        <v>8791178.18</v>
      </c>
      <c r="G243" s="2">
        <v>68775.78</v>
      </c>
      <c r="H243" s="2">
        <f t="shared" si="6"/>
        <v>8859953.96</v>
      </c>
    </row>
    <row r="244" spans="1:8">
      <c r="A244" s="1" t="s">
        <v>2909</v>
      </c>
      <c r="B244" s="1" t="s">
        <v>158</v>
      </c>
      <c r="C244" s="1" t="s">
        <v>2893</v>
      </c>
      <c r="D244" s="2">
        <v>0</v>
      </c>
      <c r="F244" s="2">
        <v>12468648.54</v>
      </c>
      <c r="G244" s="2">
        <v>21084.54</v>
      </c>
      <c r="H244" s="2">
        <f t="shared" si="6"/>
        <v>12489733.08</v>
      </c>
    </row>
    <row r="245" spans="1:8">
      <c r="A245" s="1" t="s">
        <v>2909</v>
      </c>
      <c r="B245" s="1" t="s">
        <v>159</v>
      </c>
      <c r="C245" s="1" t="s">
        <v>2893</v>
      </c>
      <c r="D245" s="2">
        <v>0</v>
      </c>
      <c r="E245" s="2">
        <v>0</v>
      </c>
      <c r="F245" s="2">
        <v>19983148.4</v>
      </c>
      <c r="G245" s="2">
        <v>13790.07</v>
      </c>
      <c r="H245" s="2">
        <f t="shared" si="6"/>
        <v>19996938.47</v>
      </c>
    </row>
    <row r="246" spans="1:8">
      <c r="A246" s="1" t="s">
        <v>2909</v>
      </c>
      <c r="B246" s="1" t="s">
        <v>148</v>
      </c>
      <c r="C246" s="1" t="s">
        <v>2902</v>
      </c>
      <c r="D246" s="2">
        <v>0</v>
      </c>
      <c r="E246" s="2">
        <v>0</v>
      </c>
      <c r="F246" s="2">
        <v>33929.94</v>
      </c>
      <c r="G246" s="2">
        <v>0</v>
      </c>
      <c r="H246" s="2">
        <f t="shared" si="6"/>
        <v>33929.94</v>
      </c>
    </row>
    <row r="247" spans="1:8">
      <c r="A247" s="1" t="s">
        <v>2909</v>
      </c>
      <c r="B247" s="1" t="s">
        <v>149</v>
      </c>
      <c r="C247" s="1" t="s">
        <v>2902</v>
      </c>
      <c r="D247" s="2">
        <v>0</v>
      </c>
      <c r="E247" s="2">
        <v>0</v>
      </c>
      <c r="F247" s="2">
        <v>22425.76</v>
      </c>
      <c r="G247" s="2">
        <v>0</v>
      </c>
      <c r="H247" s="2">
        <f t="shared" si="6"/>
        <v>22425.76</v>
      </c>
    </row>
    <row r="248" spans="1:8">
      <c r="A248" s="1" t="s">
        <v>2909</v>
      </c>
      <c r="B248" s="1" t="s">
        <v>150</v>
      </c>
      <c r="C248" s="1" t="s">
        <v>2902</v>
      </c>
      <c r="D248" s="2">
        <v>0</v>
      </c>
      <c r="E248" s="2">
        <v>0</v>
      </c>
      <c r="F248" s="2">
        <v>916785.55</v>
      </c>
      <c r="G248" s="2">
        <v>0</v>
      </c>
      <c r="H248" s="2">
        <f t="shared" si="6"/>
        <v>916785.55</v>
      </c>
    </row>
    <row r="249" spans="1:8">
      <c r="A249" s="1" t="s">
        <v>2909</v>
      </c>
      <c r="B249" s="1" t="s">
        <v>151</v>
      </c>
      <c r="C249" s="1" t="s">
        <v>2902</v>
      </c>
      <c r="D249" s="2">
        <v>0</v>
      </c>
      <c r="E249" s="2">
        <v>0</v>
      </c>
      <c r="F249" s="2">
        <v>671427.11</v>
      </c>
      <c r="G249" s="2">
        <v>0</v>
      </c>
      <c r="H249" s="2">
        <f t="shared" si="6"/>
        <v>671427.11</v>
      </c>
    </row>
    <row r="250" spans="1:8">
      <c r="A250" s="1" t="s">
        <v>2909</v>
      </c>
      <c r="B250" s="1" t="s">
        <v>152</v>
      </c>
      <c r="C250" s="1" t="s">
        <v>2902</v>
      </c>
      <c r="D250" s="2">
        <v>0</v>
      </c>
      <c r="E250" s="2">
        <v>0</v>
      </c>
      <c r="F250" s="2">
        <v>602801.61</v>
      </c>
      <c r="G250" s="2">
        <v>0</v>
      </c>
      <c r="H250" s="2">
        <f t="shared" si="6"/>
        <v>602801.61</v>
      </c>
    </row>
    <row r="251" spans="1:8">
      <c r="A251" s="1" t="s">
        <v>2909</v>
      </c>
      <c r="B251" s="1" t="s">
        <v>153</v>
      </c>
      <c r="C251" s="1" t="s">
        <v>2902</v>
      </c>
      <c r="F251" s="2">
        <v>827735.83</v>
      </c>
      <c r="H251" s="2">
        <f t="shared" si="6"/>
        <v>827735.83</v>
      </c>
    </row>
    <row r="252" spans="1:8">
      <c r="A252" s="1" t="s">
        <v>2909</v>
      </c>
      <c r="B252" s="1" t="s">
        <v>154</v>
      </c>
      <c r="C252" s="1" t="s">
        <v>2902</v>
      </c>
      <c r="F252" s="2">
        <v>864429.55</v>
      </c>
      <c r="H252" s="2">
        <f t="shared" si="6"/>
        <v>864429.55</v>
      </c>
    </row>
    <row r="253" spans="1:8">
      <c r="A253" s="1" t="s">
        <v>2909</v>
      </c>
      <c r="B253" s="1" t="s">
        <v>155</v>
      </c>
      <c r="C253" s="1" t="s">
        <v>2902</v>
      </c>
      <c r="F253" s="2">
        <v>119281.53</v>
      </c>
      <c r="H253" s="2">
        <f t="shared" si="6"/>
        <v>119281.53</v>
      </c>
    </row>
    <row r="254" spans="1:8">
      <c r="A254" s="1" t="s">
        <v>2909</v>
      </c>
      <c r="B254" s="1" t="s">
        <v>156</v>
      </c>
      <c r="C254" s="1" t="s">
        <v>2902</v>
      </c>
      <c r="F254" s="2">
        <v>761295.93</v>
      </c>
      <c r="H254" s="2">
        <f t="shared" si="6"/>
        <v>761295.93</v>
      </c>
    </row>
    <row r="255" spans="1:8">
      <c r="A255" s="1" t="s">
        <v>2909</v>
      </c>
      <c r="B255" s="1" t="s">
        <v>157</v>
      </c>
      <c r="C255" s="1" t="s">
        <v>2902</v>
      </c>
      <c r="D255" s="2">
        <v>0</v>
      </c>
      <c r="E255" s="2">
        <v>0</v>
      </c>
      <c r="F255" s="2">
        <v>492799.21</v>
      </c>
      <c r="G255" s="2">
        <v>0</v>
      </c>
      <c r="H255" s="2">
        <f t="shared" si="6"/>
        <v>492799.21</v>
      </c>
    </row>
    <row r="256" spans="1:8">
      <c r="A256" s="1" t="s">
        <v>2909</v>
      </c>
      <c r="B256" s="1" t="s">
        <v>158</v>
      </c>
      <c r="C256" s="1" t="s">
        <v>2902</v>
      </c>
      <c r="D256" s="2">
        <v>0</v>
      </c>
      <c r="F256" s="2">
        <v>665980.25</v>
      </c>
      <c r="H256" s="2">
        <f t="shared" si="6"/>
        <v>665980.25</v>
      </c>
    </row>
    <row r="257" spans="1:8">
      <c r="A257" s="1" t="s">
        <v>2909</v>
      </c>
      <c r="B257" s="1" t="s">
        <v>159</v>
      </c>
      <c r="C257" s="1" t="s">
        <v>2902</v>
      </c>
      <c r="D257" s="2">
        <v>0</v>
      </c>
      <c r="E257" s="2">
        <v>0</v>
      </c>
      <c r="F257" s="2">
        <v>541430.7</v>
      </c>
      <c r="G257" s="2">
        <v>0</v>
      </c>
      <c r="H257" s="2">
        <f t="shared" si="6"/>
        <v>541430.7</v>
      </c>
    </row>
    <row r="258" spans="1:8">
      <c r="A258" s="1" t="s">
        <v>2909</v>
      </c>
      <c r="B258" s="1" t="s">
        <v>151</v>
      </c>
      <c r="C258" s="1" t="s">
        <v>2900</v>
      </c>
      <c r="D258" s="2">
        <v>0</v>
      </c>
      <c r="E258" s="2">
        <v>0</v>
      </c>
      <c r="F258" s="2">
        <v>38898.33</v>
      </c>
      <c r="G258" s="2">
        <v>0</v>
      </c>
      <c r="H258" s="2">
        <f t="shared" si="6"/>
        <v>38898.33</v>
      </c>
    </row>
    <row r="259" spans="1:8">
      <c r="A259" s="1" t="s">
        <v>2909</v>
      </c>
      <c r="B259" s="1" t="s">
        <v>152</v>
      </c>
      <c r="C259" s="1" t="s">
        <v>2900</v>
      </c>
      <c r="D259" s="2">
        <v>0</v>
      </c>
      <c r="E259" s="2">
        <v>0</v>
      </c>
      <c r="F259" s="2">
        <v>18973.14</v>
      </c>
      <c r="G259" s="2">
        <v>0</v>
      </c>
      <c r="H259" s="2">
        <f t="shared" si="6"/>
        <v>18973.14</v>
      </c>
    </row>
    <row r="260" spans="1:8">
      <c r="A260" s="1" t="s">
        <v>2909</v>
      </c>
      <c r="B260" s="1" t="s">
        <v>153</v>
      </c>
      <c r="C260" s="1" t="s">
        <v>2900</v>
      </c>
      <c r="F260" s="2">
        <v>66503.2</v>
      </c>
      <c r="H260" s="2">
        <f t="shared" si="6"/>
        <v>66503.2</v>
      </c>
    </row>
    <row r="261" spans="1:8">
      <c r="A261" s="1" t="s">
        <v>2909</v>
      </c>
      <c r="B261" s="1" t="s">
        <v>154</v>
      </c>
      <c r="C261" s="1" t="s">
        <v>2900</v>
      </c>
      <c r="F261" s="2">
        <v>51234.16</v>
      </c>
      <c r="H261" s="2">
        <f t="shared" si="6"/>
        <v>51234.16</v>
      </c>
    </row>
    <row r="262" spans="1:8">
      <c r="A262" s="1" t="s">
        <v>2909</v>
      </c>
      <c r="B262" s="1" t="s">
        <v>155</v>
      </c>
      <c r="C262" s="1" t="s">
        <v>2900</v>
      </c>
      <c r="F262" s="2">
        <v>91353.76</v>
      </c>
      <c r="H262" s="2">
        <f t="shared" si="6"/>
        <v>91353.76</v>
      </c>
    </row>
    <row r="263" spans="1:8">
      <c r="A263" s="1" t="s">
        <v>2909</v>
      </c>
      <c r="B263" s="1" t="s">
        <v>156</v>
      </c>
      <c r="C263" s="1" t="s">
        <v>2900</v>
      </c>
      <c r="F263" s="2">
        <v>34104.74</v>
      </c>
      <c r="H263" s="2">
        <f t="shared" si="6"/>
        <v>34104.74</v>
      </c>
    </row>
    <row r="264" spans="1:8">
      <c r="A264" s="1" t="s">
        <v>2909</v>
      </c>
      <c r="B264" s="1" t="s">
        <v>157</v>
      </c>
      <c r="C264" s="1" t="s">
        <v>2900</v>
      </c>
      <c r="D264" s="2">
        <v>0</v>
      </c>
      <c r="E264" s="2">
        <v>0</v>
      </c>
      <c r="F264" s="2">
        <v>34902.46</v>
      </c>
      <c r="G264" s="2">
        <v>0</v>
      </c>
      <c r="H264" s="2">
        <f t="shared" si="6"/>
        <v>34902.46</v>
      </c>
    </row>
    <row r="265" spans="1:8">
      <c r="A265" s="1" t="s">
        <v>2909</v>
      </c>
      <c r="B265" s="1" t="s">
        <v>158</v>
      </c>
      <c r="C265" s="1" t="s">
        <v>2900</v>
      </c>
      <c r="D265" s="2">
        <v>0</v>
      </c>
      <c r="F265" s="2">
        <v>95920.46</v>
      </c>
      <c r="H265" s="2">
        <f t="shared" si="6"/>
        <v>95920.46</v>
      </c>
    </row>
    <row r="266" spans="1:8">
      <c r="A266" s="1" t="s">
        <v>2909</v>
      </c>
      <c r="B266" s="1" t="s">
        <v>159</v>
      </c>
      <c r="C266" s="1" t="s">
        <v>2900</v>
      </c>
      <c r="D266" s="2">
        <v>0</v>
      </c>
      <c r="E266" s="2">
        <v>0</v>
      </c>
      <c r="F266" s="2">
        <v>284960.2</v>
      </c>
      <c r="G266" s="2">
        <v>0</v>
      </c>
      <c r="H266" s="2">
        <f t="shared" si="6"/>
        <v>284960.2</v>
      </c>
    </row>
    <row r="267" spans="1:8">
      <c r="A267" s="1" t="s">
        <v>2909</v>
      </c>
      <c r="B267" s="1" t="s">
        <v>159</v>
      </c>
      <c r="C267" s="1" t="s">
        <v>2904</v>
      </c>
      <c r="D267" s="2">
        <v>0</v>
      </c>
      <c r="E267" s="2">
        <v>0</v>
      </c>
      <c r="F267" s="2">
        <v>0</v>
      </c>
      <c r="G267" s="2">
        <v>1052.45</v>
      </c>
      <c r="H267" s="2">
        <f t="shared" si="6"/>
        <v>1052.45</v>
      </c>
    </row>
    <row r="268" spans="1:8">
      <c r="A268" s="1" t="s">
        <v>2910</v>
      </c>
      <c r="B268" s="1" t="s">
        <v>148</v>
      </c>
      <c r="C268" s="1" t="s">
        <v>2892</v>
      </c>
      <c r="D268" s="2">
        <v>48225392.8</v>
      </c>
      <c r="E268" s="2">
        <v>42806494.7200001</v>
      </c>
      <c r="F268" s="2">
        <v>3432521.07</v>
      </c>
      <c r="G268" s="2">
        <v>17823047.91</v>
      </c>
      <c r="H268" s="2">
        <f t="shared" si="6"/>
        <v>112287456.5</v>
      </c>
    </row>
    <row r="269" spans="1:8">
      <c r="A269" s="1" t="s">
        <v>2910</v>
      </c>
      <c r="B269" s="1" t="s">
        <v>149</v>
      </c>
      <c r="C269" s="1" t="s">
        <v>2892</v>
      </c>
      <c r="D269" s="2">
        <v>-2835115.44</v>
      </c>
      <c r="E269" s="2">
        <v>51735372.41</v>
      </c>
      <c r="F269" s="2">
        <v>38664216.61</v>
      </c>
      <c r="G269" s="2">
        <v>6997361.11</v>
      </c>
      <c r="H269" s="2">
        <f t="shared" si="6"/>
        <v>94561834.69</v>
      </c>
    </row>
    <row r="270" spans="1:8">
      <c r="A270" s="1" t="s">
        <v>2910</v>
      </c>
      <c r="B270" s="1" t="s">
        <v>150</v>
      </c>
      <c r="C270" s="1" t="s">
        <v>2892</v>
      </c>
      <c r="D270" s="2">
        <v>17697756.865</v>
      </c>
      <c r="E270" s="2">
        <v>54472249.0400001</v>
      </c>
      <c r="F270" s="2">
        <v>65551421.665</v>
      </c>
      <c r="G270" s="2">
        <v>38768240.4146</v>
      </c>
      <c r="H270" s="2">
        <f t="shared" si="6"/>
        <v>176489667.9846</v>
      </c>
    </row>
    <row r="271" spans="1:8">
      <c r="A271" s="1" t="s">
        <v>2910</v>
      </c>
      <c r="B271" s="1" t="s">
        <v>151</v>
      </c>
      <c r="C271" s="1" t="s">
        <v>2892</v>
      </c>
      <c r="D271" s="2">
        <v>32680171.0102</v>
      </c>
      <c r="E271" s="2">
        <v>51398289.5500001</v>
      </c>
      <c r="F271" s="2">
        <v>65922619.7876001</v>
      </c>
      <c r="G271" s="2">
        <v>14600083.1398</v>
      </c>
      <c r="H271" s="2">
        <f t="shared" si="6"/>
        <v>164601163.4876</v>
      </c>
    </row>
    <row r="272" spans="1:8">
      <c r="A272" s="1" t="s">
        <v>2910</v>
      </c>
      <c r="B272" s="1" t="s">
        <v>152</v>
      </c>
      <c r="C272" s="1" t="s">
        <v>2892</v>
      </c>
      <c r="D272" s="2">
        <v>15518343.4776</v>
      </c>
      <c r="E272" s="2">
        <v>54309972.1500001</v>
      </c>
      <c r="F272" s="2">
        <v>67628001.265</v>
      </c>
      <c r="G272" s="2">
        <v>16401706.0752</v>
      </c>
      <c r="H272" s="2">
        <f t="shared" si="6"/>
        <v>153858022.9678</v>
      </c>
    </row>
    <row r="273" spans="1:8">
      <c r="A273" s="1" t="s">
        <v>2910</v>
      </c>
      <c r="B273" s="1" t="s">
        <v>153</v>
      </c>
      <c r="C273" s="1" t="s">
        <v>2892</v>
      </c>
      <c r="D273" s="2">
        <v>9160023.06</v>
      </c>
      <c r="E273" s="2">
        <v>55031015.47</v>
      </c>
      <c r="F273" s="2">
        <v>99801639.0999999</v>
      </c>
      <c r="G273" s="2">
        <v>29796036</v>
      </c>
      <c r="H273" s="2">
        <f t="shared" si="6"/>
        <v>193788713.63</v>
      </c>
    </row>
    <row r="274" spans="1:8">
      <c r="A274" s="1" t="s">
        <v>2910</v>
      </c>
      <c r="B274" s="1" t="s">
        <v>154</v>
      </c>
      <c r="C274" s="1" t="s">
        <v>2892</v>
      </c>
      <c r="D274" s="2">
        <v>6091003.28</v>
      </c>
      <c r="E274" s="2">
        <v>43999253.09</v>
      </c>
      <c r="F274" s="2">
        <v>88842395.6699999</v>
      </c>
      <c r="G274" s="2">
        <v>18286290.5</v>
      </c>
      <c r="H274" s="2">
        <f t="shared" si="6"/>
        <v>157218942.54</v>
      </c>
    </row>
    <row r="275" spans="1:8">
      <c r="A275" s="1" t="s">
        <v>2910</v>
      </c>
      <c r="B275" s="1" t="s">
        <v>155</v>
      </c>
      <c r="C275" s="1" t="s">
        <v>2892</v>
      </c>
      <c r="D275" s="2">
        <v>-14988727.99</v>
      </c>
      <c r="E275" s="2">
        <v>39212153.9</v>
      </c>
      <c r="F275" s="2">
        <v>64740364.12</v>
      </c>
      <c r="G275" s="2">
        <v>13621918.59</v>
      </c>
      <c r="H275" s="2">
        <f t="shared" si="6"/>
        <v>102585708.62</v>
      </c>
    </row>
    <row r="276" spans="1:8">
      <c r="A276" s="1" t="s">
        <v>2910</v>
      </c>
      <c r="B276" s="1" t="s">
        <v>156</v>
      </c>
      <c r="C276" s="1" t="s">
        <v>2892</v>
      </c>
      <c r="D276" s="2">
        <v>25472635.01</v>
      </c>
      <c r="E276" s="2">
        <v>41597425.65</v>
      </c>
      <c r="F276" s="2">
        <v>113960767.5</v>
      </c>
      <c r="G276" s="2">
        <v>23406865.56</v>
      </c>
      <c r="H276" s="2">
        <f t="shared" si="6"/>
        <v>204437693.72</v>
      </c>
    </row>
    <row r="277" spans="1:8">
      <c r="A277" s="1" t="s">
        <v>2910</v>
      </c>
      <c r="B277" s="1" t="s">
        <v>157</v>
      </c>
      <c r="C277" s="1" t="s">
        <v>2892</v>
      </c>
      <c r="D277" s="2">
        <v>21699253.83</v>
      </c>
      <c r="E277" s="2">
        <v>30569298.05</v>
      </c>
      <c r="F277" s="2">
        <v>93186836.11</v>
      </c>
      <c r="G277" s="2">
        <v>44642505.13</v>
      </c>
      <c r="H277" s="2">
        <f t="shared" si="6"/>
        <v>190097893.12</v>
      </c>
    </row>
    <row r="278" spans="1:8">
      <c r="A278" s="1" t="s">
        <v>2910</v>
      </c>
      <c r="B278" s="1" t="s">
        <v>158</v>
      </c>
      <c r="C278" s="1" t="s">
        <v>2892</v>
      </c>
      <c r="D278" s="2">
        <v>-13749241.94</v>
      </c>
      <c r="E278" s="2">
        <v>22786840.65</v>
      </c>
      <c r="F278" s="2">
        <v>103174000.27</v>
      </c>
      <c r="G278" s="2">
        <v>61878927.7800001</v>
      </c>
      <c r="H278" s="2">
        <f t="shared" si="6"/>
        <v>174090526.76</v>
      </c>
    </row>
    <row r="279" spans="1:8">
      <c r="A279" s="1" t="s">
        <v>2910</v>
      </c>
      <c r="B279" s="1" t="s">
        <v>159</v>
      </c>
      <c r="C279" s="1" t="s">
        <v>2892</v>
      </c>
      <c r="D279" s="2">
        <v>8588434.18999999</v>
      </c>
      <c r="E279" s="2">
        <v>21225946.9700001</v>
      </c>
      <c r="F279" s="2">
        <v>82804262.7800001</v>
      </c>
      <c r="G279" s="2">
        <v>62501535.27</v>
      </c>
      <c r="H279" s="2">
        <f t="shared" si="6"/>
        <v>175120179.21</v>
      </c>
    </row>
    <row r="280" spans="1:8">
      <c r="A280" s="1" t="s">
        <v>2910</v>
      </c>
      <c r="B280" s="1" t="s">
        <v>148</v>
      </c>
      <c r="C280" s="1" t="s">
        <v>2899</v>
      </c>
      <c r="D280" s="2">
        <v>48097059.8399999</v>
      </c>
      <c r="E280" s="2">
        <v>42929181.62</v>
      </c>
      <c r="F280" s="2">
        <v>3217271.825</v>
      </c>
      <c r="G280" s="2">
        <v>17906922.9242</v>
      </c>
      <c r="H280" s="2">
        <f t="shared" si="6"/>
        <v>112150436.2092</v>
      </c>
    </row>
    <row r="281" spans="1:8">
      <c r="A281" s="1" t="s">
        <v>2910</v>
      </c>
      <c r="B281" s="1" t="s">
        <v>149</v>
      </c>
      <c r="C281" s="1" t="s">
        <v>2899</v>
      </c>
      <c r="D281" s="2">
        <v>-2934766.12999999</v>
      </c>
      <c r="E281" s="2">
        <v>51822994.36</v>
      </c>
      <c r="F281" s="2">
        <v>38716355.45</v>
      </c>
      <c r="G281" s="2">
        <v>7003160.55</v>
      </c>
      <c r="H281" s="2">
        <f t="shared" ref="H281:H344" si="7">SUM(D281:G281)</f>
        <v>94607744.23</v>
      </c>
    </row>
    <row r="282" spans="1:8">
      <c r="A282" s="1" t="s">
        <v>2910</v>
      </c>
      <c r="B282" s="1" t="s">
        <v>150</v>
      </c>
      <c r="C282" s="1" t="s">
        <v>2899</v>
      </c>
      <c r="D282" s="2">
        <v>17565850.12</v>
      </c>
      <c r="E282" s="2">
        <v>54521290.15</v>
      </c>
      <c r="F282" s="2">
        <v>65626594.9349999</v>
      </c>
      <c r="G282" s="2">
        <v>38626186.7178</v>
      </c>
      <c r="H282" s="2">
        <f t="shared" si="7"/>
        <v>176339921.9228</v>
      </c>
    </row>
    <row r="283" spans="1:8">
      <c r="A283" s="1" t="s">
        <v>2910</v>
      </c>
      <c r="B283" s="1" t="s">
        <v>151</v>
      </c>
      <c r="C283" s="1" t="s">
        <v>2899</v>
      </c>
      <c r="D283" s="2">
        <v>32581036.89</v>
      </c>
      <c r="E283" s="2">
        <v>51472365.17</v>
      </c>
      <c r="F283" s="2">
        <v>65983121.8331999</v>
      </c>
      <c r="G283" s="2">
        <v>14658515.1146</v>
      </c>
      <c r="H283" s="2">
        <f t="shared" si="7"/>
        <v>164695039.0078</v>
      </c>
    </row>
    <row r="284" spans="1:8">
      <c r="A284" s="1" t="s">
        <v>2910</v>
      </c>
      <c r="B284" s="1" t="s">
        <v>152</v>
      </c>
      <c r="C284" s="1" t="s">
        <v>2899</v>
      </c>
      <c r="D284" s="2">
        <v>15312384.4</v>
      </c>
      <c r="E284" s="2">
        <v>54528054.2600001</v>
      </c>
      <c r="F284" s="2">
        <v>67861463.48</v>
      </c>
      <c r="G284" s="2">
        <v>16344370.73</v>
      </c>
      <c r="H284" s="2">
        <f t="shared" si="7"/>
        <v>154046272.87</v>
      </c>
    </row>
    <row r="285" spans="1:8">
      <c r="A285" s="1" t="s">
        <v>2910</v>
      </c>
      <c r="B285" s="1" t="s">
        <v>153</v>
      </c>
      <c r="C285" s="1" t="s">
        <v>2899</v>
      </c>
      <c r="D285" s="2">
        <v>9003786.772</v>
      </c>
      <c r="E285" s="2">
        <v>55282183.8399999</v>
      </c>
      <c r="F285" s="2">
        <v>100019156.86</v>
      </c>
      <c r="G285" s="2">
        <v>29678750.24</v>
      </c>
      <c r="H285" s="2">
        <f t="shared" si="7"/>
        <v>193983877.712</v>
      </c>
    </row>
    <row r="286" spans="1:8">
      <c r="A286" s="1" t="s">
        <v>2910</v>
      </c>
      <c r="B286" s="1" t="s">
        <v>154</v>
      </c>
      <c r="C286" s="1" t="s">
        <v>2899</v>
      </c>
      <c r="D286" s="2">
        <v>5909964.13</v>
      </c>
      <c r="E286" s="2">
        <v>44173629.53</v>
      </c>
      <c r="F286" s="2">
        <v>88874576.8200002</v>
      </c>
      <c r="G286" s="2">
        <v>18238720.04</v>
      </c>
      <c r="H286" s="2">
        <f t="shared" si="7"/>
        <v>157196890.52</v>
      </c>
    </row>
    <row r="287" spans="1:8">
      <c r="A287" s="1" t="s">
        <v>2910</v>
      </c>
      <c r="B287" s="1" t="s">
        <v>155</v>
      </c>
      <c r="C287" s="1" t="s">
        <v>2899</v>
      </c>
      <c r="D287" s="2">
        <v>-15113624.0002</v>
      </c>
      <c r="E287" s="2">
        <v>39350298.73</v>
      </c>
      <c r="F287" s="2">
        <v>65150808.81</v>
      </c>
      <c r="G287" s="2">
        <v>13508338.65</v>
      </c>
      <c r="H287" s="2">
        <f t="shared" si="7"/>
        <v>102895822.1898</v>
      </c>
    </row>
    <row r="288" spans="1:8">
      <c r="A288" s="1" t="s">
        <v>2910</v>
      </c>
      <c r="B288" s="1" t="s">
        <v>156</v>
      </c>
      <c r="C288" s="1" t="s">
        <v>2899</v>
      </c>
      <c r="D288" s="2">
        <v>25203165.35</v>
      </c>
      <c r="E288" s="2">
        <v>41771356.22</v>
      </c>
      <c r="F288" s="2">
        <v>114769227.89</v>
      </c>
      <c r="G288" s="2">
        <v>23243940.99</v>
      </c>
      <c r="H288" s="2">
        <f t="shared" si="7"/>
        <v>204987690.45</v>
      </c>
    </row>
    <row r="289" spans="1:8">
      <c r="A289" s="1" t="s">
        <v>2910</v>
      </c>
      <c r="B289" s="1" t="s">
        <v>157</v>
      </c>
      <c r="C289" s="1" t="s">
        <v>2899</v>
      </c>
      <c r="D289" s="2">
        <v>21563803.9</v>
      </c>
      <c r="E289" s="2">
        <v>30685711.31</v>
      </c>
      <c r="F289" s="2">
        <v>92976331.2746</v>
      </c>
      <c r="G289" s="2">
        <v>44308949</v>
      </c>
      <c r="H289" s="2">
        <f t="shared" si="7"/>
        <v>189534795.4846</v>
      </c>
    </row>
    <row r="290" spans="1:8">
      <c r="A290" s="1" t="s">
        <v>2910</v>
      </c>
      <c r="B290" s="1" t="s">
        <v>158</v>
      </c>
      <c r="C290" s="1" t="s">
        <v>2899</v>
      </c>
      <c r="D290" s="2">
        <v>-14005538.9</v>
      </c>
      <c r="E290" s="2">
        <v>22805554.94</v>
      </c>
      <c r="F290" s="2">
        <v>101423385.675</v>
      </c>
      <c r="G290" s="2">
        <v>61561012.4799999</v>
      </c>
      <c r="H290" s="2">
        <f t="shared" si="7"/>
        <v>171784414.195</v>
      </c>
    </row>
    <row r="291" spans="1:8">
      <c r="A291" s="1" t="s">
        <v>2910</v>
      </c>
      <c r="B291" s="1" t="s">
        <v>159</v>
      </c>
      <c r="C291" s="1" t="s">
        <v>2899</v>
      </c>
      <c r="D291" s="2">
        <v>8283964.04</v>
      </c>
      <c r="E291" s="2">
        <v>21226883.112</v>
      </c>
      <c r="F291" s="2">
        <v>82864385.6582</v>
      </c>
      <c r="G291" s="2">
        <v>61909209.4384</v>
      </c>
      <c r="H291" s="2">
        <f t="shared" si="7"/>
        <v>174284442.2486</v>
      </c>
    </row>
    <row r="292" spans="1:8">
      <c r="A292" s="1" t="s">
        <v>2910</v>
      </c>
      <c r="B292" s="1" t="s">
        <v>148</v>
      </c>
      <c r="C292" s="1" t="s">
        <v>2896</v>
      </c>
      <c r="D292" s="2">
        <v>13466111.85</v>
      </c>
      <c r="E292" s="2">
        <v>461162.83</v>
      </c>
      <c r="F292" s="2">
        <v>42380479.74</v>
      </c>
      <c r="G292" s="2">
        <v>10332766.49</v>
      </c>
      <c r="H292" s="2">
        <f t="shared" si="7"/>
        <v>66640520.91</v>
      </c>
    </row>
    <row r="293" spans="1:8">
      <c r="A293" s="1" t="s">
        <v>2910</v>
      </c>
      <c r="B293" s="1" t="s">
        <v>149</v>
      </c>
      <c r="C293" s="1" t="s">
        <v>2896</v>
      </c>
      <c r="D293" s="2">
        <v>21611259.41</v>
      </c>
      <c r="E293" s="2">
        <v>351168.55</v>
      </c>
      <c r="F293" s="2">
        <v>43331976.27</v>
      </c>
      <c r="G293" s="2">
        <v>5487602.23</v>
      </c>
      <c r="H293" s="2">
        <f t="shared" si="7"/>
        <v>70782006.46</v>
      </c>
    </row>
    <row r="294" spans="1:8">
      <c r="A294" s="1" t="s">
        <v>2910</v>
      </c>
      <c r="B294" s="1" t="s">
        <v>150</v>
      </c>
      <c r="C294" s="1" t="s">
        <v>2896</v>
      </c>
      <c r="D294" s="2">
        <v>16725732.77</v>
      </c>
      <c r="E294" s="2">
        <v>618188.44</v>
      </c>
      <c r="F294" s="2">
        <v>38432054.77</v>
      </c>
      <c r="G294" s="2">
        <v>16228955.01</v>
      </c>
      <c r="H294" s="2">
        <f t="shared" si="7"/>
        <v>72004930.99</v>
      </c>
    </row>
    <row r="295" spans="1:8">
      <c r="A295" s="1" t="s">
        <v>2910</v>
      </c>
      <c r="B295" s="1" t="s">
        <v>151</v>
      </c>
      <c r="C295" s="1" t="s">
        <v>2896</v>
      </c>
      <c r="D295" s="2">
        <v>15150108.2</v>
      </c>
      <c r="E295" s="2">
        <v>523954.14</v>
      </c>
      <c r="F295" s="2">
        <v>34054480.44</v>
      </c>
      <c r="G295" s="2">
        <v>12633953.95</v>
      </c>
      <c r="H295" s="2">
        <f t="shared" si="7"/>
        <v>62362496.73</v>
      </c>
    </row>
    <row r="296" spans="1:8">
      <c r="A296" s="1" t="s">
        <v>2910</v>
      </c>
      <c r="B296" s="1" t="s">
        <v>152</v>
      </c>
      <c r="C296" s="1" t="s">
        <v>2896</v>
      </c>
      <c r="D296" s="2">
        <v>11012453.93</v>
      </c>
      <c r="E296" s="2">
        <v>1005328.69</v>
      </c>
      <c r="F296" s="2">
        <v>48325523.6</v>
      </c>
      <c r="G296" s="2">
        <v>12777313.6</v>
      </c>
      <c r="H296" s="2">
        <f t="shared" si="7"/>
        <v>73120619.82</v>
      </c>
    </row>
    <row r="297" spans="1:8">
      <c r="A297" s="1" t="s">
        <v>2910</v>
      </c>
      <c r="B297" s="1" t="s">
        <v>153</v>
      </c>
      <c r="C297" s="1" t="s">
        <v>2896</v>
      </c>
      <c r="D297" s="2">
        <v>8670720.41</v>
      </c>
      <c r="E297" s="2">
        <v>2645616.73</v>
      </c>
      <c r="F297" s="2">
        <v>77956095.32</v>
      </c>
      <c r="G297" s="2">
        <v>6668209.28</v>
      </c>
      <c r="H297" s="2">
        <f t="shared" si="7"/>
        <v>95940641.74</v>
      </c>
    </row>
    <row r="298" spans="1:8">
      <c r="A298" s="1" t="s">
        <v>2910</v>
      </c>
      <c r="B298" s="1" t="s">
        <v>154</v>
      </c>
      <c r="C298" s="1" t="s">
        <v>2896</v>
      </c>
      <c r="D298" s="2">
        <v>14965471.36</v>
      </c>
      <c r="E298" s="2">
        <v>3032947.92</v>
      </c>
      <c r="F298" s="2">
        <v>58986323.46</v>
      </c>
      <c r="G298" s="2">
        <v>13721282.57</v>
      </c>
      <c r="H298" s="2">
        <f t="shared" si="7"/>
        <v>90706025.31</v>
      </c>
    </row>
    <row r="299" spans="1:8">
      <c r="A299" s="1" t="s">
        <v>2910</v>
      </c>
      <c r="B299" s="1" t="s">
        <v>155</v>
      </c>
      <c r="C299" s="1" t="s">
        <v>2896</v>
      </c>
      <c r="D299" s="2">
        <v>10986640.22</v>
      </c>
      <c r="E299" s="2">
        <v>1358491.84</v>
      </c>
      <c r="F299" s="2">
        <v>86724431.29</v>
      </c>
      <c r="G299" s="2">
        <v>19686549.12</v>
      </c>
      <c r="H299" s="2">
        <f t="shared" si="7"/>
        <v>118756112.47</v>
      </c>
    </row>
    <row r="300" spans="1:8">
      <c r="A300" s="1" t="s">
        <v>2910</v>
      </c>
      <c r="B300" s="1" t="s">
        <v>156</v>
      </c>
      <c r="C300" s="1" t="s">
        <v>2896</v>
      </c>
      <c r="D300" s="2">
        <v>8604992.07</v>
      </c>
      <c r="E300" s="2">
        <v>1790975.94</v>
      </c>
      <c r="F300" s="2">
        <v>40515138.59</v>
      </c>
      <c r="G300" s="2">
        <v>21809452.62</v>
      </c>
      <c r="H300" s="2">
        <f t="shared" si="7"/>
        <v>72720559.22</v>
      </c>
    </row>
    <row r="301" spans="1:8">
      <c r="A301" s="1" t="s">
        <v>2910</v>
      </c>
      <c r="B301" s="1" t="s">
        <v>157</v>
      </c>
      <c r="C301" s="1" t="s">
        <v>2896</v>
      </c>
      <c r="D301" s="2">
        <v>10606202.94</v>
      </c>
      <c r="E301" s="2">
        <v>1944927.4</v>
      </c>
      <c r="F301" s="2">
        <v>28145616.34</v>
      </c>
      <c r="G301" s="2">
        <v>14091091.98</v>
      </c>
      <c r="H301" s="2">
        <f t="shared" si="7"/>
        <v>54787838.66</v>
      </c>
    </row>
    <row r="302" spans="1:8">
      <c r="A302" s="1" t="s">
        <v>2910</v>
      </c>
      <c r="B302" s="1" t="s">
        <v>158</v>
      </c>
      <c r="C302" s="1" t="s">
        <v>2896</v>
      </c>
      <c r="D302" s="2">
        <v>11907596.62</v>
      </c>
      <c r="E302" s="2">
        <v>2320915.02</v>
      </c>
      <c r="F302" s="2">
        <v>65140713.1</v>
      </c>
      <c r="G302" s="2">
        <v>18908187.71</v>
      </c>
      <c r="H302" s="2">
        <f t="shared" si="7"/>
        <v>98277412.45</v>
      </c>
    </row>
    <row r="303" spans="1:8">
      <c r="A303" s="1" t="s">
        <v>2910</v>
      </c>
      <c r="B303" s="1" t="s">
        <v>159</v>
      </c>
      <c r="C303" s="1" t="s">
        <v>2896</v>
      </c>
      <c r="D303" s="2">
        <v>9411164.56</v>
      </c>
      <c r="E303" s="2">
        <v>2018689.85</v>
      </c>
      <c r="F303" s="2">
        <v>106715254.31</v>
      </c>
      <c r="G303" s="2">
        <v>32978818.11</v>
      </c>
      <c r="H303" s="2">
        <f t="shared" si="7"/>
        <v>151123926.83</v>
      </c>
    </row>
    <row r="304" spans="1:8">
      <c r="A304" s="1" t="s">
        <v>2910</v>
      </c>
      <c r="B304" s="1" t="s">
        <v>148</v>
      </c>
      <c r="C304" s="1" t="s">
        <v>2893</v>
      </c>
      <c r="D304" s="2">
        <v>12987453.54</v>
      </c>
      <c r="E304" s="2">
        <v>453981.74</v>
      </c>
      <c r="F304" s="2">
        <v>40060406.64</v>
      </c>
      <c r="G304" s="2">
        <v>10252103.1</v>
      </c>
      <c r="H304" s="2">
        <f t="shared" si="7"/>
        <v>63753945.02</v>
      </c>
    </row>
    <row r="305" spans="1:8">
      <c r="A305" s="1" t="s">
        <v>2910</v>
      </c>
      <c r="B305" s="1" t="s">
        <v>149</v>
      </c>
      <c r="C305" s="1" t="s">
        <v>2893</v>
      </c>
      <c r="D305" s="2">
        <v>20994266.95</v>
      </c>
      <c r="E305" s="2">
        <v>344861.05</v>
      </c>
      <c r="F305" s="2">
        <v>42179245.53</v>
      </c>
      <c r="G305" s="2">
        <v>5309451.81</v>
      </c>
      <c r="H305" s="2">
        <f t="shared" si="7"/>
        <v>68827825.34</v>
      </c>
    </row>
    <row r="306" spans="1:8">
      <c r="A306" s="1" t="s">
        <v>2910</v>
      </c>
      <c r="B306" s="1" t="s">
        <v>150</v>
      </c>
      <c r="C306" s="1" t="s">
        <v>2893</v>
      </c>
      <c r="D306" s="2">
        <v>16042927.33</v>
      </c>
      <c r="E306" s="2">
        <v>609971.51</v>
      </c>
      <c r="F306" s="2">
        <v>36727993.2</v>
      </c>
      <c r="G306" s="2">
        <v>16040107.52</v>
      </c>
      <c r="H306" s="2">
        <f t="shared" si="7"/>
        <v>69420999.56</v>
      </c>
    </row>
    <row r="307" spans="1:8">
      <c r="A307" s="1" t="s">
        <v>2910</v>
      </c>
      <c r="B307" s="1" t="s">
        <v>151</v>
      </c>
      <c r="C307" s="1" t="s">
        <v>2893</v>
      </c>
      <c r="D307" s="2">
        <v>14852661.09</v>
      </c>
      <c r="E307" s="2">
        <v>516838.17</v>
      </c>
      <c r="F307" s="2">
        <v>32195930.02</v>
      </c>
      <c r="G307" s="2">
        <v>12047388.53</v>
      </c>
      <c r="H307" s="2">
        <f t="shared" si="7"/>
        <v>59612817.81</v>
      </c>
    </row>
    <row r="308" spans="1:8">
      <c r="A308" s="1" t="s">
        <v>2910</v>
      </c>
      <c r="B308" s="1" t="s">
        <v>152</v>
      </c>
      <c r="C308" s="1" t="s">
        <v>2893</v>
      </c>
      <c r="D308" s="2">
        <v>10844943.75</v>
      </c>
      <c r="E308" s="2">
        <v>975180.79</v>
      </c>
      <c r="F308" s="2">
        <v>45045651.39</v>
      </c>
      <c r="G308" s="2">
        <v>12818915.6</v>
      </c>
      <c r="H308" s="2">
        <f t="shared" si="7"/>
        <v>69684691.53</v>
      </c>
    </row>
    <row r="309" spans="1:8">
      <c r="A309" s="1" t="s">
        <v>2910</v>
      </c>
      <c r="B309" s="1" t="s">
        <v>153</v>
      </c>
      <c r="C309" s="1" t="s">
        <v>2893</v>
      </c>
      <c r="D309" s="2">
        <v>8495923.84</v>
      </c>
      <c r="E309" s="2">
        <v>2613585.92</v>
      </c>
      <c r="F309" s="2">
        <v>73802426.37</v>
      </c>
      <c r="G309" s="2">
        <v>6418896.27</v>
      </c>
      <c r="H309" s="2">
        <f t="shared" si="7"/>
        <v>91330832.4</v>
      </c>
    </row>
    <row r="310" spans="1:8">
      <c r="A310" s="1" t="s">
        <v>2910</v>
      </c>
      <c r="B310" s="1" t="s">
        <v>154</v>
      </c>
      <c r="C310" s="1" t="s">
        <v>2893</v>
      </c>
      <c r="D310" s="2">
        <v>14643004.52</v>
      </c>
      <c r="E310" s="2">
        <v>2993477.47</v>
      </c>
      <c r="F310" s="2">
        <v>60509296.63</v>
      </c>
      <c r="G310" s="2">
        <v>13599836.98</v>
      </c>
      <c r="H310" s="2">
        <f t="shared" si="7"/>
        <v>91745615.6</v>
      </c>
    </row>
    <row r="311" spans="1:8">
      <c r="A311" s="1" t="s">
        <v>2910</v>
      </c>
      <c r="B311" s="1" t="s">
        <v>155</v>
      </c>
      <c r="C311" s="1" t="s">
        <v>2893</v>
      </c>
      <c r="D311" s="2">
        <v>10587869.91</v>
      </c>
      <c r="E311" s="2">
        <v>1337839</v>
      </c>
      <c r="F311" s="2">
        <v>87829862.65</v>
      </c>
      <c r="G311" s="2">
        <v>16610748.49</v>
      </c>
      <c r="H311" s="2">
        <f t="shared" si="7"/>
        <v>116366320.05</v>
      </c>
    </row>
    <row r="312" spans="1:8">
      <c r="A312" s="1" t="s">
        <v>2910</v>
      </c>
      <c r="B312" s="1" t="s">
        <v>156</v>
      </c>
      <c r="C312" s="1" t="s">
        <v>2893</v>
      </c>
      <c r="D312" s="2">
        <v>8412935.48</v>
      </c>
      <c r="E312" s="2">
        <v>1765304.96</v>
      </c>
      <c r="F312" s="2">
        <v>36052588.5</v>
      </c>
      <c r="G312" s="2">
        <v>20129673.05</v>
      </c>
      <c r="H312" s="2">
        <f t="shared" si="7"/>
        <v>66360501.99</v>
      </c>
    </row>
    <row r="313" spans="1:8">
      <c r="A313" s="1" t="s">
        <v>2910</v>
      </c>
      <c r="B313" s="1" t="s">
        <v>157</v>
      </c>
      <c r="C313" s="1" t="s">
        <v>2893</v>
      </c>
      <c r="D313" s="2">
        <v>10211525.94</v>
      </c>
      <c r="E313" s="2">
        <v>1915529.09</v>
      </c>
      <c r="F313" s="2">
        <v>29308005.01</v>
      </c>
      <c r="G313" s="2">
        <v>11304336.93</v>
      </c>
      <c r="H313" s="2">
        <f t="shared" si="7"/>
        <v>52739396.97</v>
      </c>
    </row>
    <row r="314" spans="1:8">
      <c r="A314" s="1" t="s">
        <v>2910</v>
      </c>
      <c r="B314" s="1" t="s">
        <v>158</v>
      </c>
      <c r="C314" s="1" t="s">
        <v>2893</v>
      </c>
      <c r="D314" s="2">
        <v>11533223.17</v>
      </c>
      <c r="E314" s="2">
        <v>2292652.82</v>
      </c>
      <c r="F314" s="2">
        <v>60454476.45</v>
      </c>
      <c r="G314" s="2">
        <v>17849826.25</v>
      </c>
      <c r="H314" s="2">
        <f t="shared" si="7"/>
        <v>92130178.69</v>
      </c>
    </row>
    <row r="315" spans="1:8">
      <c r="A315" s="1" t="s">
        <v>2910</v>
      </c>
      <c r="B315" s="1" t="s">
        <v>159</v>
      </c>
      <c r="C315" s="1" t="s">
        <v>2893</v>
      </c>
      <c r="D315" s="2">
        <v>8986776.05</v>
      </c>
      <c r="E315" s="2">
        <v>2154858.15</v>
      </c>
      <c r="F315" s="2">
        <v>95489358.23</v>
      </c>
      <c r="G315" s="2">
        <v>31200662.94</v>
      </c>
      <c r="H315" s="2">
        <f t="shared" si="7"/>
        <v>137831655.37</v>
      </c>
    </row>
    <row r="316" spans="1:8">
      <c r="A316" s="1" t="s">
        <v>2910</v>
      </c>
      <c r="B316" s="1" t="s">
        <v>148</v>
      </c>
      <c r="C316" s="1" t="s">
        <v>2902</v>
      </c>
      <c r="D316" s="2">
        <v>0</v>
      </c>
      <c r="E316" s="2">
        <v>0</v>
      </c>
      <c r="F316" s="2">
        <v>1241654.22</v>
      </c>
      <c r="G316" s="2">
        <v>410377.37</v>
      </c>
      <c r="H316" s="2">
        <f t="shared" si="7"/>
        <v>1652031.59</v>
      </c>
    </row>
    <row r="317" spans="1:8">
      <c r="A317" s="1" t="s">
        <v>2910</v>
      </c>
      <c r="B317" s="1" t="s">
        <v>149</v>
      </c>
      <c r="C317" s="1" t="s">
        <v>2902</v>
      </c>
      <c r="D317" s="2">
        <v>0</v>
      </c>
      <c r="E317" s="2">
        <v>0</v>
      </c>
      <c r="F317" s="2">
        <v>2165646.4</v>
      </c>
      <c r="G317" s="2">
        <v>40881.13</v>
      </c>
      <c r="H317" s="2">
        <f t="shared" si="7"/>
        <v>2206527.53</v>
      </c>
    </row>
    <row r="318" spans="1:8">
      <c r="A318" s="1" t="s">
        <v>2910</v>
      </c>
      <c r="B318" s="1" t="s">
        <v>150</v>
      </c>
      <c r="C318" s="1" t="s">
        <v>2902</v>
      </c>
      <c r="D318" s="2">
        <v>0</v>
      </c>
      <c r="E318" s="2">
        <v>0</v>
      </c>
      <c r="F318" s="2">
        <v>1433933.19</v>
      </c>
      <c r="G318" s="2">
        <v>-34229.24</v>
      </c>
      <c r="H318" s="2">
        <f t="shared" si="7"/>
        <v>1399703.95</v>
      </c>
    </row>
    <row r="319" spans="1:8">
      <c r="A319" s="1" t="s">
        <v>2910</v>
      </c>
      <c r="B319" s="1" t="s">
        <v>151</v>
      </c>
      <c r="C319" s="1" t="s">
        <v>2902</v>
      </c>
      <c r="D319" s="2">
        <v>0</v>
      </c>
      <c r="E319" s="2">
        <v>0</v>
      </c>
      <c r="F319" s="2">
        <v>1324819.91</v>
      </c>
      <c r="G319" s="2">
        <v>9669.81</v>
      </c>
      <c r="H319" s="2">
        <f t="shared" si="7"/>
        <v>1334489.72</v>
      </c>
    </row>
    <row r="320" spans="1:8">
      <c r="A320" s="1" t="s">
        <v>2910</v>
      </c>
      <c r="B320" s="1" t="s">
        <v>152</v>
      </c>
      <c r="C320" s="1" t="s">
        <v>2902</v>
      </c>
      <c r="D320" s="2">
        <v>0</v>
      </c>
      <c r="E320" s="2">
        <v>0</v>
      </c>
      <c r="F320" s="2">
        <v>1228832.96</v>
      </c>
      <c r="G320" s="2">
        <v>1307143.88</v>
      </c>
      <c r="H320" s="2">
        <f t="shared" si="7"/>
        <v>2535976.84</v>
      </c>
    </row>
    <row r="321" spans="1:8">
      <c r="A321" s="1" t="s">
        <v>2910</v>
      </c>
      <c r="B321" s="1" t="s">
        <v>153</v>
      </c>
      <c r="C321" s="1" t="s">
        <v>2902</v>
      </c>
      <c r="D321" s="2">
        <v>0</v>
      </c>
      <c r="E321" s="2">
        <v>0</v>
      </c>
      <c r="F321" s="2">
        <v>3369282.76</v>
      </c>
      <c r="G321" s="2">
        <v>-39437.75</v>
      </c>
      <c r="H321" s="2">
        <f t="shared" si="7"/>
        <v>3329845.01</v>
      </c>
    </row>
    <row r="322" spans="1:8">
      <c r="A322" s="1" t="s">
        <v>2910</v>
      </c>
      <c r="B322" s="1" t="s">
        <v>154</v>
      </c>
      <c r="C322" s="1" t="s">
        <v>2902</v>
      </c>
      <c r="F322" s="2">
        <v>2703555.91</v>
      </c>
      <c r="G322" s="2">
        <v>518.87</v>
      </c>
      <c r="H322" s="2">
        <f t="shared" si="7"/>
        <v>2704074.78</v>
      </c>
    </row>
    <row r="323" spans="1:8">
      <c r="A323" s="1" t="s">
        <v>2910</v>
      </c>
      <c r="B323" s="1" t="s">
        <v>155</v>
      </c>
      <c r="C323" s="1" t="s">
        <v>2902</v>
      </c>
      <c r="F323" s="2">
        <v>2401542.62</v>
      </c>
      <c r="G323" s="2">
        <v>415041.03</v>
      </c>
      <c r="H323" s="2">
        <f t="shared" si="7"/>
        <v>2816583.65</v>
      </c>
    </row>
    <row r="324" spans="1:8">
      <c r="A324" s="1" t="s">
        <v>2910</v>
      </c>
      <c r="B324" s="1" t="s">
        <v>156</v>
      </c>
      <c r="C324" s="1" t="s">
        <v>2902</v>
      </c>
      <c r="F324" s="2">
        <v>3937643.05</v>
      </c>
      <c r="G324" s="2">
        <v>23629.25</v>
      </c>
      <c r="H324" s="2">
        <f t="shared" si="7"/>
        <v>3961272.3</v>
      </c>
    </row>
    <row r="325" spans="1:8">
      <c r="A325" s="1" t="s">
        <v>2910</v>
      </c>
      <c r="B325" s="1" t="s">
        <v>157</v>
      </c>
      <c r="C325" s="1" t="s">
        <v>2902</v>
      </c>
      <c r="D325" s="2">
        <v>0</v>
      </c>
      <c r="E325" s="2">
        <v>0</v>
      </c>
      <c r="F325" s="2">
        <v>2745251.83</v>
      </c>
      <c r="G325" s="2">
        <v>4349.87</v>
      </c>
      <c r="H325" s="2">
        <f t="shared" si="7"/>
        <v>2749601.7</v>
      </c>
    </row>
    <row r="326" spans="1:8">
      <c r="A326" s="1" t="s">
        <v>2910</v>
      </c>
      <c r="B326" s="1" t="s">
        <v>158</v>
      </c>
      <c r="C326" s="1" t="s">
        <v>2902</v>
      </c>
      <c r="D326" s="2">
        <v>0</v>
      </c>
      <c r="F326" s="2">
        <v>2763163.39</v>
      </c>
      <c r="G326" s="2">
        <v>24350.92</v>
      </c>
      <c r="H326" s="2">
        <f t="shared" si="7"/>
        <v>2787514.31</v>
      </c>
    </row>
    <row r="327" spans="1:8">
      <c r="A327" s="1" t="s">
        <v>2910</v>
      </c>
      <c r="B327" s="1" t="s">
        <v>159</v>
      </c>
      <c r="C327" s="1" t="s">
        <v>2902</v>
      </c>
      <c r="D327" s="2">
        <v>0</v>
      </c>
      <c r="E327" s="2">
        <v>0</v>
      </c>
      <c r="F327" s="2">
        <v>2243197.91</v>
      </c>
      <c r="G327" s="2">
        <v>42794.15</v>
      </c>
      <c r="H327" s="2">
        <f t="shared" si="7"/>
        <v>2285992.06</v>
      </c>
    </row>
    <row r="328" spans="1:8">
      <c r="A328" s="1" t="s">
        <v>2910</v>
      </c>
      <c r="B328" s="1" t="s">
        <v>148</v>
      </c>
      <c r="C328" s="1" t="s">
        <v>2900</v>
      </c>
      <c r="D328" s="2">
        <v>0</v>
      </c>
      <c r="E328" s="2">
        <v>0</v>
      </c>
      <c r="F328" s="2">
        <v>77555.92</v>
      </c>
      <c r="G328" s="2">
        <v>0</v>
      </c>
      <c r="H328" s="2">
        <f t="shared" si="7"/>
        <v>77555.92</v>
      </c>
    </row>
    <row r="329" spans="1:8">
      <c r="A329" s="1" t="s">
        <v>2910</v>
      </c>
      <c r="B329" s="1" t="s">
        <v>149</v>
      </c>
      <c r="C329" s="1" t="s">
        <v>2900</v>
      </c>
      <c r="D329" s="2">
        <v>0</v>
      </c>
      <c r="E329" s="2">
        <v>0</v>
      </c>
      <c r="F329" s="2">
        <v>87558.2</v>
      </c>
      <c r="G329" s="2">
        <v>0</v>
      </c>
      <c r="H329" s="2">
        <f t="shared" si="7"/>
        <v>87558.2</v>
      </c>
    </row>
    <row r="330" spans="1:8">
      <c r="A330" s="1" t="s">
        <v>2910</v>
      </c>
      <c r="B330" s="1" t="s">
        <v>150</v>
      </c>
      <c r="C330" s="1" t="s">
        <v>2900</v>
      </c>
      <c r="D330" s="2">
        <v>0</v>
      </c>
      <c r="E330" s="2">
        <v>0</v>
      </c>
      <c r="F330" s="2">
        <v>64557.17</v>
      </c>
      <c r="G330" s="2">
        <v>0</v>
      </c>
      <c r="H330" s="2">
        <f t="shared" si="7"/>
        <v>64557.17</v>
      </c>
    </row>
    <row r="331" spans="1:8">
      <c r="A331" s="1" t="s">
        <v>2910</v>
      </c>
      <c r="B331" s="1" t="s">
        <v>151</v>
      </c>
      <c r="C331" s="1" t="s">
        <v>2900</v>
      </c>
      <c r="D331" s="2">
        <v>0</v>
      </c>
      <c r="E331" s="2">
        <v>0</v>
      </c>
      <c r="F331" s="2">
        <v>33835.65</v>
      </c>
      <c r="G331" s="2">
        <v>0</v>
      </c>
      <c r="H331" s="2">
        <f t="shared" si="7"/>
        <v>33835.65</v>
      </c>
    </row>
    <row r="332" spans="1:8">
      <c r="A332" s="1" t="s">
        <v>2910</v>
      </c>
      <c r="B332" s="1" t="s">
        <v>152</v>
      </c>
      <c r="C332" s="1" t="s">
        <v>2900</v>
      </c>
      <c r="D332" s="2">
        <v>0</v>
      </c>
      <c r="E332" s="2">
        <v>0</v>
      </c>
      <c r="F332" s="2">
        <v>28453.11</v>
      </c>
      <c r="G332" s="2">
        <v>0</v>
      </c>
      <c r="H332" s="2">
        <f t="shared" si="7"/>
        <v>28453.11</v>
      </c>
    </row>
    <row r="333" spans="1:8">
      <c r="A333" s="1" t="s">
        <v>2910</v>
      </c>
      <c r="B333" s="1" t="s">
        <v>153</v>
      </c>
      <c r="C333" s="1" t="s">
        <v>2900</v>
      </c>
      <c r="D333" s="2">
        <v>0</v>
      </c>
      <c r="E333" s="2">
        <v>0</v>
      </c>
      <c r="F333" s="2">
        <v>387249.53</v>
      </c>
      <c r="G333" s="2">
        <v>0</v>
      </c>
      <c r="H333" s="2">
        <f t="shared" si="7"/>
        <v>387249.53</v>
      </c>
    </row>
    <row r="334" spans="1:8">
      <c r="A334" s="1" t="s">
        <v>2910</v>
      </c>
      <c r="B334" s="1" t="s">
        <v>154</v>
      </c>
      <c r="C334" s="1" t="s">
        <v>2900</v>
      </c>
      <c r="F334" s="2">
        <v>30387.99</v>
      </c>
      <c r="H334" s="2">
        <f t="shared" si="7"/>
        <v>30387.99</v>
      </c>
    </row>
    <row r="335" spans="1:8">
      <c r="A335" s="1" t="s">
        <v>2910</v>
      </c>
      <c r="B335" s="1" t="s">
        <v>155</v>
      </c>
      <c r="C335" s="1" t="s">
        <v>2900</v>
      </c>
      <c r="F335" s="2">
        <v>114812.83</v>
      </c>
      <c r="H335" s="2">
        <f t="shared" si="7"/>
        <v>114812.83</v>
      </c>
    </row>
    <row r="336" spans="1:8">
      <c r="A336" s="1" t="s">
        <v>2910</v>
      </c>
      <c r="B336" s="1" t="s">
        <v>156</v>
      </c>
      <c r="C336" s="1" t="s">
        <v>2900</v>
      </c>
      <c r="F336" s="2">
        <v>355018.76</v>
      </c>
      <c r="H336" s="2">
        <f t="shared" si="7"/>
        <v>355018.76</v>
      </c>
    </row>
    <row r="337" spans="1:8">
      <c r="A337" s="1" t="s">
        <v>2910</v>
      </c>
      <c r="B337" s="1" t="s">
        <v>157</v>
      </c>
      <c r="C337" s="1" t="s">
        <v>2900</v>
      </c>
      <c r="D337" s="2">
        <v>0</v>
      </c>
      <c r="E337" s="2">
        <v>0</v>
      </c>
      <c r="F337" s="2">
        <v>50854.1</v>
      </c>
      <c r="G337" s="2">
        <v>0</v>
      </c>
      <c r="H337" s="2">
        <f t="shared" si="7"/>
        <v>50854.1</v>
      </c>
    </row>
    <row r="338" spans="1:8">
      <c r="A338" s="1" t="s">
        <v>2910</v>
      </c>
      <c r="B338" s="1" t="s">
        <v>158</v>
      </c>
      <c r="C338" s="1" t="s">
        <v>2900</v>
      </c>
      <c r="D338" s="2">
        <v>0</v>
      </c>
      <c r="F338" s="2">
        <v>469282.05</v>
      </c>
      <c r="H338" s="2">
        <f t="shared" si="7"/>
        <v>469282.05</v>
      </c>
    </row>
    <row r="339" spans="1:8">
      <c r="A339" s="1" t="s">
        <v>2910</v>
      </c>
      <c r="B339" s="1" t="s">
        <v>159</v>
      </c>
      <c r="C339" s="1" t="s">
        <v>2900</v>
      </c>
      <c r="D339" s="2">
        <v>0</v>
      </c>
      <c r="E339" s="2">
        <v>0</v>
      </c>
      <c r="F339" s="2">
        <v>469459.88</v>
      </c>
      <c r="G339" s="2">
        <v>0</v>
      </c>
      <c r="H339" s="2">
        <f t="shared" si="7"/>
        <v>469459.88</v>
      </c>
    </row>
    <row r="340" spans="1:8">
      <c r="A340" s="1" t="s">
        <v>2910</v>
      </c>
      <c r="B340" s="1" t="s">
        <v>159</v>
      </c>
      <c r="C340" s="1" t="s">
        <v>2905</v>
      </c>
      <c r="D340" s="2">
        <v>0</v>
      </c>
      <c r="E340" s="2">
        <v>0</v>
      </c>
      <c r="F340" s="2">
        <v>0</v>
      </c>
      <c r="G340" s="2">
        <v>33531.45</v>
      </c>
      <c r="H340" s="2">
        <f t="shared" si="7"/>
        <v>33531.45</v>
      </c>
    </row>
    <row r="341" spans="1:8">
      <c r="A341" s="1" t="s">
        <v>2911</v>
      </c>
      <c r="B341" s="1" t="s">
        <v>148</v>
      </c>
      <c r="C341" s="1" t="s">
        <v>2892</v>
      </c>
      <c r="D341" s="2">
        <v>1046.5</v>
      </c>
      <c r="E341" s="2">
        <v>0</v>
      </c>
      <c r="F341" s="2">
        <v>1262006.26</v>
      </c>
      <c r="G341" s="2">
        <v>13.5</v>
      </c>
      <c r="H341" s="2">
        <f t="shared" si="7"/>
        <v>1263066.26</v>
      </c>
    </row>
    <row r="342" spans="1:8">
      <c r="A342" s="1" t="s">
        <v>2911</v>
      </c>
      <c r="B342" s="1" t="s">
        <v>149</v>
      </c>
      <c r="C342" s="1" t="s">
        <v>2892</v>
      </c>
      <c r="D342" s="2">
        <v>61.8</v>
      </c>
      <c r="E342" s="2">
        <v>0</v>
      </c>
      <c r="F342" s="2">
        <v>693601.489999999</v>
      </c>
      <c r="G342" s="2">
        <v>0</v>
      </c>
      <c r="H342" s="2">
        <f t="shared" si="7"/>
        <v>693663.289999999</v>
      </c>
    </row>
    <row r="343" spans="1:8">
      <c r="A343" s="1" t="s">
        <v>2911</v>
      </c>
      <c r="B343" s="1" t="s">
        <v>150</v>
      </c>
      <c r="C343" s="1" t="s">
        <v>2892</v>
      </c>
      <c r="D343" s="2">
        <v>324.7</v>
      </c>
      <c r="E343" s="2">
        <v>0</v>
      </c>
      <c r="F343" s="2">
        <v>421448.61</v>
      </c>
      <c r="G343" s="2">
        <v>0</v>
      </c>
      <c r="H343" s="2">
        <f t="shared" si="7"/>
        <v>421773.31</v>
      </c>
    </row>
    <row r="344" spans="1:8">
      <c r="A344" s="1" t="s">
        <v>2911</v>
      </c>
      <c r="B344" s="1" t="s">
        <v>151</v>
      </c>
      <c r="C344" s="1" t="s">
        <v>2892</v>
      </c>
      <c r="D344" s="2">
        <v>296.9</v>
      </c>
      <c r="E344" s="2">
        <v>0</v>
      </c>
      <c r="F344" s="2">
        <v>543092.78</v>
      </c>
      <c r="G344" s="2">
        <v>0</v>
      </c>
      <c r="H344" s="2">
        <f t="shared" si="7"/>
        <v>543389.68</v>
      </c>
    </row>
    <row r="345" spans="1:8">
      <c r="A345" s="1" t="s">
        <v>2911</v>
      </c>
      <c r="B345" s="1" t="s">
        <v>152</v>
      </c>
      <c r="C345" s="1" t="s">
        <v>2892</v>
      </c>
      <c r="D345" s="2">
        <v>680</v>
      </c>
      <c r="E345" s="2">
        <v>0</v>
      </c>
      <c r="F345" s="2">
        <v>752624.12</v>
      </c>
      <c r="G345" s="2">
        <v>0</v>
      </c>
      <c r="H345" s="2">
        <f t="shared" ref="H345:H408" si="8">SUM(D345:G345)</f>
        <v>753304.12</v>
      </c>
    </row>
    <row r="346" spans="1:8">
      <c r="A346" s="1" t="s">
        <v>2911</v>
      </c>
      <c r="B346" s="1" t="s">
        <v>153</v>
      </c>
      <c r="C346" s="1" t="s">
        <v>2892</v>
      </c>
      <c r="D346" s="2">
        <v>120</v>
      </c>
      <c r="E346" s="2">
        <v>0</v>
      </c>
      <c r="F346" s="2">
        <v>2087584.45</v>
      </c>
      <c r="G346" s="2">
        <v>1236.67</v>
      </c>
      <c r="H346" s="2">
        <f t="shared" si="8"/>
        <v>2088941.12</v>
      </c>
    </row>
    <row r="347" spans="1:8">
      <c r="A347" s="1" t="s">
        <v>2911</v>
      </c>
      <c r="B347" s="1" t="s">
        <v>154</v>
      </c>
      <c r="C347" s="1" t="s">
        <v>2892</v>
      </c>
      <c r="D347" s="2">
        <v>98.5</v>
      </c>
      <c r="F347" s="2">
        <v>1833413.99</v>
      </c>
      <c r="G347" s="2">
        <v>1787.35</v>
      </c>
      <c r="H347" s="2">
        <f t="shared" si="8"/>
        <v>1835299.84</v>
      </c>
    </row>
    <row r="348" spans="1:8">
      <c r="A348" s="1" t="s">
        <v>2911</v>
      </c>
      <c r="B348" s="1" t="s">
        <v>155</v>
      </c>
      <c r="C348" s="1" t="s">
        <v>2892</v>
      </c>
      <c r="D348" s="2">
        <v>15</v>
      </c>
      <c r="F348" s="2">
        <v>3972843.61</v>
      </c>
      <c r="G348" s="2">
        <v>2095.7</v>
      </c>
      <c r="H348" s="2">
        <f t="shared" si="8"/>
        <v>3974954.31</v>
      </c>
    </row>
    <row r="349" spans="1:8">
      <c r="A349" s="1" t="s">
        <v>2911</v>
      </c>
      <c r="B349" s="1" t="s">
        <v>156</v>
      </c>
      <c r="C349" s="1" t="s">
        <v>2892</v>
      </c>
      <c r="D349" s="2">
        <v>78.9</v>
      </c>
      <c r="F349" s="2">
        <v>5768584.93</v>
      </c>
      <c r="G349" s="2">
        <v>1798.15</v>
      </c>
      <c r="H349" s="2">
        <f t="shared" si="8"/>
        <v>5770461.98</v>
      </c>
    </row>
    <row r="350" spans="1:8">
      <c r="A350" s="1" t="s">
        <v>2911</v>
      </c>
      <c r="B350" s="1" t="s">
        <v>157</v>
      </c>
      <c r="C350" s="1" t="s">
        <v>2892</v>
      </c>
      <c r="D350" s="2">
        <v>128.8</v>
      </c>
      <c r="F350" s="2">
        <v>4708581.40000001</v>
      </c>
      <c r="G350" s="2">
        <v>947.17</v>
      </c>
      <c r="H350" s="2">
        <f t="shared" si="8"/>
        <v>4709657.37000001</v>
      </c>
    </row>
    <row r="351" spans="1:8">
      <c r="A351" s="1" t="s">
        <v>2911</v>
      </c>
      <c r="B351" s="1" t="s">
        <v>158</v>
      </c>
      <c r="C351" s="1" t="s">
        <v>2892</v>
      </c>
      <c r="D351" s="2">
        <v>56.8</v>
      </c>
      <c r="E351" s="2">
        <v>365</v>
      </c>
      <c r="F351" s="2">
        <v>4831479.38</v>
      </c>
      <c r="G351" s="2">
        <v>67.6</v>
      </c>
      <c r="H351" s="2">
        <f t="shared" si="8"/>
        <v>4831968.78</v>
      </c>
    </row>
    <row r="352" spans="1:8">
      <c r="A352" s="1" t="s">
        <v>2911</v>
      </c>
      <c r="B352" s="1" t="s">
        <v>159</v>
      </c>
      <c r="C352" s="1" t="s">
        <v>2892</v>
      </c>
      <c r="D352" s="2">
        <v>135.8</v>
      </c>
      <c r="E352" s="2">
        <v>-36990</v>
      </c>
      <c r="F352" s="2">
        <v>6672564.95</v>
      </c>
      <c r="G352" s="2">
        <v>135.2</v>
      </c>
      <c r="H352" s="2">
        <f t="shared" si="8"/>
        <v>6635845.95</v>
      </c>
    </row>
    <row r="353" spans="1:8">
      <c r="A353" s="1" t="s">
        <v>2911</v>
      </c>
      <c r="B353" s="1" t="s">
        <v>148</v>
      </c>
      <c r="C353" s="1" t="s">
        <v>2899</v>
      </c>
      <c r="D353" s="2">
        <v>128.64</v>
      </c>
      <c r="E353" s="2">
        <v>0</v>
      </c>
      <c r="F353" s="2">
        <v>1085393.92</v>
      </c>
      <c r="G353" s="2">
        <v>2575.19</v>
      </c>
      <c r="H353" s="2">
        <f t="shared" si="8"/>
        <v>1088097.75</v>
      </c>
    </row>
    <row r="354" spans="1:8">
      <c r="A354" s="1" t="s">
        <v>2911</v>
      </c>
      <c r="B354" s="1" t="s">
        <v>149</v>
      </c>
      <c r="C354" s="1" t="s">
        <v>2899</v>
      </c>
      <c r="D354" s="2">
        <v>42.51</v>
      </c>
      <c r="E354" s="2">
        <v>0</v>
      </c>
      <c r="F354" s="2">
        <v>535833.2</v>
      </c>
      <c r="G354" s="2">
        <v>0</v>
      </c>
      <c r="H354" s="2">
        <f t="shared" si="8"/>
        <v>535875.71</v>
      </c>
    </row>
    <row r="355" spans="1:8">
      <c r="A355" s="1" t="s">
        <v>2911</v>
      </c>
      <c r="B355" s="1" t="s">
        <v>150</v>
      </c>
      <c r="C355" s="1" t="s">
        <v>2899</v>
      </c>
      <c r="D355" s="2">
        <v>235.27</v>
      </c>
      <c r="E355" s="2">
        <v>0</v>
      </c>
      <c r="F355" s="2">
        <v>379232.73</v>
      </c>
      <c r="G355" s="2">
        <v>0</v>
      </c>
      <c r="H355" s="2">
        <f t="shared" si="8"/>
        <v>379468</v>
      </c>
    </row>
    <row r="356" spans="1:8">
      <c r="A356" s="1" t="s">
        <v>2911</v>
      </c>
      <c r="B356" s="1" t="s">
        <v>151</v>
      </c>
      <c r="C356" s="1" t="s">
        <v>2899</v>
      </c>
      <c r="D356" s="2">
        <v>217.01</v>
      </c>
      <c r="E356" s="2">
        <v>0</v>
      </c>
      <c r="F356" s="2">
        <v>469307.21</v>
      </c>
      <c r="G356" s="2">
        <v>0</v>
      </c>
      <c r="H356" s="2">
        <f t="shared" si="8"/>
        <v>469524.22</v>
      </c>
    </row>
    <row r="357" spans="1:8">
      <c r="A357" s="1" t="s">
        <v>2911</v>
      </c>
      <c r="B357" s="1" t="s">
        <v>152</v>
      </c>
      <c r="C357" s="1" t="s">
        <v>2899</v>
      </c>
      <c r="D357" s="2">
        <v>497.5</v>
      </c>
      <c r="E357" s="2">
        <v>0</v>
      </c>
      <c r="F357" s="2">
        <v>711272.3</v>
      </c>
      <c r="G357" s="2">
        <v>0</v>
      </c>
      <c r="H357" s="2">
        <f t="shared" si="8"/>
        <v>711769.8</v>
      </c>
    </row>
    <row r="358" spans="1:8">
      <c r="A358" s="1" t="s">
        <v>2911</v>
      </c>
      <c r="B358" s="1" t="s">
        <v>153</v>
      </c>
      <c r="C358" s="1" t="s">
        <v>2899</v>
      </c>
      <c r="D358" s="2">
        <v>82.5</v>
      </c>
      <c r="E358" s="2">
        <v>0</v>
      </c>
      <c r="F358" s="2">
        <v>2068254.09</v>
      </c>
      <c r="G358" s="2">
        <v>1067.75</v>
      </c>
      <c r="H358" s="2">
        <f t="shared" si="8"/>
        <v>2069404.34</v>
      </c>
    </row>
    <row r="359" spans="1:8">
      <c r="A359" s="1" t="s">
        <v>2911</v>
      </c>
      <c r="B359" s="1" t="s">
        <v>154</v>
      </c>
      <c r="C359" s="1" t="s">
        <v>2899</v>
      </c>
      <c r="D359" s="18">
        <v>65.13</v>
      </c>
      <c r="E359" s="18"/>
      <c r="F359" s="18">
        <v>1807891.78</v>
      </c>
      <c r="G359" s="2">
        <v>1709.3</v>
      </c>
      <c r="H359" s="2">
        <f t="shared" si="8"/>
        <v>1809666.21</v>
      </c>
    </row>
    <row r="360" spans="1:8">
      <c r="A360" s="1" t="s">
        <v>2911</v>
      </c>
      <c r="B360" s="1" t="s">
        <v>155</v>
      </c>
      <c r="C360" s="1" t="s">
        <v>2899</v>
      </c>
      <c r="D360" s="2">
        <v>10</v>
      </c>
      <c r="F360" s="2">
        <v>3897997.25</v>
      </c>
      <c r="G360" s="2">
        <v>2008.99</v>
      </c>
      <c r="H360" s="2">
        <f t="shared" si="8"/>
        <v>3900016.24</v>
      </c>
    </row>
    <row r="361" spans="1:8">
      <c r="A361" s="1" t="s">
        <v>2911</v>
      </c>
      <c r="B361" s="1" t="s">
        <v>156</v>
      </c>
      <c r="C361" s="1" t="s">
        <v>2899</v>
      </c>
      <c r="D361" s="2">
        <v>58.75</v>
      </c>
      <c r="F361" s="2">
        <v>5695886.571</v>
      </c>
      <c r="G361" s="2">
        <v>1739.37</v>
      </c>
      <c r="H361" s="2">
        <f t="shared" si="8"/>
        <v>5697684.691</v>
      </c>
    </row>
    <row r="362" spans="1:8">
      <c r="A362" s="1" t="s">
        <v>2911</v>
      </c>
      <c r="B362" s="1" t="s">
        <v>157</v>
      </c>
      <c r="C362" s="1" t="s">
        <v>2899</v>
      </c>
      <c r="D362" s="2">
        <v>95.75</v>
      </c>
      <c r="F362" s="2">
        <v>4655773.0328</v>
      </c>
      <c r="G362" s="2">
        <v>804.69</v>
      </c>
      <c r="H362" s="2">
        <f t="shared" si="8"/>
        <v>4656673.4728</v>
      </c>
    </row>
    <row r="363" spans="1:8">
      <c r="A363" s="1" t="s">
        <v>2911</v>
      </c>
      <c r="B363" s="1" t="s">
        <v>158</v>
      </c>
      <c r="C363" s="1" t="s">
        <v>2899</v>
      </c>
      <c r="D363" s="2">
        <v>41.75</v>
      </c>
      <c r="E363" s="2">
        <v>229.75</v>
      </c>
      <c r="F363" s="2">
        <v>4795173.2052</v>
      </c>
      <c r="G363" s="2">
        <v>60</v>
      </c>
      <c r="H363" s="2">
        <f t="shared" si="8"/>
        <v>4795504.7052</v>
      </c>
    </row>
    <row r="364" spans="1:8">
      <c r="A364" s="1" t="s">
        <v>2911</v>
      </c>
      <c r="B364" s="1" t="s">
        <v>159</v>
      </c>
      <c r="C364" s="1" t="s">
        <v>2899</v>
      </c>
      <c r="D364" s="2">
        <v>100.99</v>
      </c>
      <c r="E364" s="2">
        <v>0</v>
      </c>
      <c r="F364" s="2">
        <v>6674830.22</v>
      </c>
      <c r="G364" s="2">
        <v>119.98</v>
      </c>
      <c r="H364" s="2">
        <f t="shared" si="8"/>
        <v>6675051.19</v>
      </c>
    </row>
    <row r="365" spans="1:8">
      <c r="A365" s="1" t="s">
        <v>2911</v>
      </c>
      <c r="B365" s="1" t="s">
        <v>148</v>
      </c>
      <c r="C365" s="1" t="s">
        <v>2896</v>
      </c>
      <c r="D365" s="2">
        <v>0</v>
      </c>
      <c r="E365" s="2">
        <v>0</v>
      </c>
      <c r="F365" s="2">
        <v>1272445.28</v>
      </c>
      <c r="G365" s="2">
        <v>0</v>
      </c>
      <c r="H365" s="2">
        <f t="shared" si="8"/>
        <v>1272445.28</v>
      </c>
    </row>
    <row r="366" spans="1:8">
      <c r="A366" s="1" t="s">
        <v>2911</v>
      </c>
      <c r="B366" s="1" t="s">
        <v>149</v>
      </c>
      <c r="C366" s="1" t="s">
        <v>2896</v>
      </c>
      <c r="D366" s="2">
        <v>0</v>
      </c>
      <c r="E366" s="2">
        <v>0</v>
      </c>
      <c r="F366" s="2">
        <v>1579450.85</v>
      </c>
      <c r="G366" s="2">
        <v>0</v>
      </c>
      <c r="H366" s="2">
        <f t="shared" si="8"/>
        <v>1579450.85</v>
      </c>
    </row>
    <row r="367" spans="1:8">
      <c r="A367" s="1" t="s">
        <v>2911</v>
      </c>
      <c r="B367" s="1" t="s">
        <v>150</v>
      </c>
      <c r="C367" s="1" t="s">
        <v>2896</v>
      </c>
      <c r="D367" s="2">
        <v>0</v>
      </c>
      <c r="E367" s="2">
        <v>0</v>
      </c>
      <c r="F367" s="2">
        <v>2895581.12</v>
      </c>
      <c r="G367" s="2">
        <v>0</v>
      </c>
      <c r="H367" s="2">
        <f t="shared" si="8"/>
        <v>2895581.12</v>
      </c>
    </row>
    <row r="368" spans="1:8">
      <c r="A368" s="1" t="s">
        <v>2911</v>
      </c>
      <c r="B368" s="1" t="s">
        <v>151</v>
      </c>
      <c r="C368" s="1" t="s">
        <v>2896</v>
      </c>
      <c r="D368" s="2">
        <v>0</v>
      </c>
      <c r="E368" s="2">
        <v>0</v>
      </c>
      <c r="F368" s="2">
        <v>2360826.65</v>
      </c>
      <c r="G368" s="2">
        <v>0</v>
      </c>
      <c r="H368" s="2">
        <f t="shared" si="8"/>
        <v>2360826.65</v>
      </c>
    </row>
    <row r="369" spans="1:8">
      <c r="A369" s="1" t="s">
        <v>2911</v>
      </c>
      <c r="B369" s="1" t="s">
        <v>152</v>
      </c>
      <c r="C369" s="1" t="s">
        <v>2896</v>
      </c>
      <c r="D369" s="2">
        <v>0</v>
      </c>
      <c r="E369" s="2">
        <v>0</v>
      </c>
      <c r="F369" s="2">
        <v>1600753.95</v>
      </c>
      <c r="G369" s="2">
        <v>0</v>
      </c>
      <c r="H369" s="2">
        <f t="shared" si="8"/>
        <v>1600753.95</v>
      </c>
    </row>
    <row r="370" spans="1:8">
      <c r="A370" s="1" t="s">
        <v>2911</v>
      </c>
      <c r="B370" s="1" t="s">
        <v>153</v>
      </c>
      <c r="C370" s="1" t="s">
        <v>2896</v>
      </c>
      <c r="D370" s="2">
        <v>0</v>
      </c>
      <c r="E370" s="2">
        <v>0</v>
      </c>
      <c r="F370" s="2">
        <v>7256270.87</v>
      </c>
      <c r="G370" s="2">
        <v>0</v>
      </c>
      <c r="H370" s="2">
        <f t="shared" si="8"/>
        <v>7256270.87</v>
      </c>
    </row>
    <row r="371" spans="1:8">
      <c r="A371" s="1" t="s">
        <v>2911</v>
      </c>
      <c r="B371" s="1" t="s">
        <v>154</v>
      </c>
      <c r="C371" s="1" t="s">
        <v>2896</v>
      </c>
      <c r="F371" s="2">
        <v>1231524.92</v>
      </c>
      <c r="H371" s="2">
        <f t="shared" si="8"/>
        <v>1231524.92</v>
      </c>
    </row>
    <row r="372" spans="1:8">
      <c r="A372" s="1" t="s">
        <v>2911</v>
      </c>
      <c r="B372" s="1" t="s">
        <v>155</v>
      </c>
      <c r="C372" s="1" t="s">
        <v>2896</v>
      </c>
      <c r="F372" s="2">
        <v>2280405.06</v>
      </c>
      <c r="H372" s="2">
        <f t="shared" si="8"/>
        <v>2280405.06</v>
      </c>
    </row>
    <row r="373" spans="1:8">
      <c r="A373" s="1" t="s">
        <v>2911</v>
      </c>
      <c r="B373" s="1" t="s">
        <v>156</v>
      </c>
      <c r="C373" s="1" t="s">
        <v>2896</v>
      </c>
      <c r="F373" s="2">
        <v>3303722.02</v>
      </c>
      <c r="H373" s="2">
        <f t="shared" si="8"/>
        <v>3303722.02</v>
      </c>
    </row>
    <row r="374" spans="1:8">
      <c r="A374" s="1" t="s">
        <v>2911</v>
      </c>
      <c r="B374" s="1" t="s">
        <v>157</v>
      </c>
      <c r="C374" s="1" t="s">
        <v>2896</v>
      </c>
      <c r="D374" s="2">
        <v>0</v>
      </c>
      <c r="E374" s="2">
        <v>0</v>
      </c>
      <c r="F374" s="2">
        <v>937752.18</v>
      </c>
      <c r="G374" s="2">
        <v>0</v>
      </c>
      <c r="H374" s="2">
        <f t="shared" si="8"/>
        <v>937752.18</v>
      </c>
    </row>
    <row r="375" spans="1:8">
      <c r="A375" s="1" t="s">
        <v>2911</v>
      </c>
      <c r="B375" s="1" t="s">
        <v>158</v>
      </c>
      <c r="C375" s="1" t="s">
        <v>2896</v>
      </c>
      <c r="F375" s="2">
        <v>1946794.42</v>
      </c>
      <c r="H375" s="2">
        <f t="shared" si="8"/>
        <v>1946794.42</v>
      </c>
    </row>
    <row r="376" spans="1:8">
      <c r="A376" s="1" t="s">
        <v>2911</v>
      </c>
      <c r="B376" s="1" t="s">
        <v>159</v>
      </c>
      <c r="C376" s="1" t="s">
        <v>2896</v>
      </c>
      <c r="D376" s="2">
        <v>0</v>
      </c>
      <c r="E376" s="2">
        <v>0</v>
      </c>
      <c r="F376" s="2">
        <v>3499313.84</v>
      </c>
      <c r="G376" s="2">
        <v>0</v>
      </c>
      <c r="H376" s="2">
        <f t="shared" si="8"/>
        <v>3499313.84</v>
      </c>
    </row>
    <row r="377" spans="1:8">
      <c r="A377" s="1" t="s">
        <v>2911</v>
      </c>
      <c r="B377" s="1" t="s">
        <v>148</v>
      </c>
      <c r="C377" s="1" t="s">
        <v>2893</v>
      </c>
      <c r="D377" s="2">
        <v>0</v>
      </c>
      <c r="E377" s="2">
        <v>0</v>
      </c>
      <c r="F377" s="2">
        <v>1473154.69</v>
      </c>
      <c r="G377" s="2">
        <v>0</v>
      </c>
      <c r="H377" s="2">
        <f t="shared" si="8"/>
        <v>1473154.69</v>
      </c>
    </row>
    <row r="378" spans="1:8">
      <c r="A378" s="1" t="s">
        <v>2911</v>
      </c>
      <c r="B378" s="1" t="s">
        <v>149</v>
      </c>
      <c r="C378" s="1" t="s">
        <v>2893</v>
      </c>
      <c r="D378" s="2">
        <v>0</v>
      </c>
      <c r="E378" s="2">
        <v>0</v>
      </c>
      <c r="F378" s="2">
        <v>1606267.36</v>
      </c>
      <c r="G378" s="2">
        <v>0</v>
      </c>
      <c r="H378" s="2">
        <f t="shared" si="8"/>
        <v>1606267.36</v>
      </c>
    </row>
    <row r="379" spans="1:8">
      <c r="A379" s="1" t="s">
        <v>2911</v>
      </c>
      <c r="B379" s="1" t="s">
        <v>150</v>
      </c>
      <c r="C379" s="1" t="s">
        <v>2893</v>
      </c>
      <c r="D379" s="2">
        <v>0</v>
      </c>
      <c r="E379" s="2">
        <v>0</v>
      </c>
      <c r="F379" s="2">
        <v>2930279.26</v>
      </c>
      <c r="G379" s="2">
        <v>0</v>
      </c>
      <c r="H379" s="2">
        <f t="shared" si="8"/>
        <v>2930279.26</v>
      </c>
    </row>
    <row r="380" spans="1:8">
      <c r="A380" s="1" t="s">
        <v>2911</v>
      </c>
      <c r="B380" s="1" t="s">
        <v>151</v>
      </c>
      <c r="C380" s="1" t="s">
        <v>2893</v>
      </c>
      <c r="D380" s="2">
        <v>0</v>
      </c>
      <c r="E380" s="2">
        <v>0</v>
      </c>
      <c r="F380" s="2">
        <v>3103774.86</v>
      </c>
      <c r="G380" s="2">
        <v>0</v>
      </c>
      <c r="H380" s="2">
        <f t="shared" si="8"/>
        <v>3103774.86</v>
      </c>
    </row>
    <row r="381" spans="1:8">
      <c r="A381" s="1" t="s">
        <v>2911</v>
      </c>
      <c r="B381" s="1" t="s">
        <v>152</v>
      </c>
      <c r="C381" s="1" t="s">
        <v>2893</v>
      </c>
      <c r="D381" s="2">
        <v>0</v>
      </c>
      <c r="E381" s="2">
        <v>0</v>
      </c>
      <c r="F381" s="2">
        <v>2024523.46</v>
      </c>
      <c r="G381" s="2">
        <v>0</v>
      </c>
      <c r="H381" s="2">
        <f t="shared" si="8"/>
        <v>2024523.46</v>
      </c>
    </row>
    <row r="382" spans="1:8">
      <c r="A382" s="1" t="s">
        <v>2911</v>
      </c>
      <c r="B382" s="1" t="s">
        <v>153</v>
      </c>
      <c r="C382" s="1" t="s">
        <v>2893</v>
      </c>
      <c r="D382" s="2">
        <v>0</v>
      </c>
      <c r="E382" s="2">
        <v>0</v>
      </c>
      <c r="F382" s="2">
        <v>10032742.08</v>
      </c>
      <c r="G382" s="2">
        <v>0</v>
      </c>
      <c r="H382" s="2">
        <f t="shared" si="8"/>
        <v>10032742.08</v>
      </c>
    </row>
    <row r="383" spans="1:8">
      <c r="A383" s="1" t="s">
        <v>2911</v>
      </c>
      <c r="B383" s="1" t="s">
        <v>154</v>
      </c>
      <c r="C383" s="1" t="s">
        <v>2893</v>
      </c>
      <c r="F383" s="2">
        <v>1463731.27</v>
      </c>
      <c r="H383" s="2">
        <f t="shared" si="8"/>
        <v>1463731.27</v>
      </c>
    </row>
    <row r="384" spans="1:8">
      <c r="A384" s="1" t="s">
        <v>2911</v>
      </c>
      <c r="B384" s="1" t="s">
        <v>155</v>
      </c>
      <c r="C384" s="1" t="s">
        <v>2893</v>
      </c>
      <c r="F384" s="2">
        <v>3121090.49</v>
      </c>
      <c r="H384" s="2">
        <f t="shared" si="8"/>
        <v>3121090.49</v>
      </c>
    </row>
    <row r="385" spans="1:8">
      <c r="A385" s="1" t="s">
        <v>2911</v>
      </c>
      <c r="B385" s="1" t="s">
        <v>156</v>
      </c>
      <c r="C385" s="1" t="s">
        <v>2893</v>
      </c>
      <c r="F385" s="2">
        <v>4692809.29</v>
      </c>
      <c r="H385" s="2">
        <f t="shared" si="8"/>
        <v>4692809.29</v>
      </c>
    </row>
    <row r="386" spans="1:8">
      <c r="A386" s="1" t="s">
        <v>2911</v>
      </c>
      <c r="B386" s="1" t="s">
        <v>157</v>
      </c>
      <c r="C386" s="1" t="s">
        <v>2893</v>
      </c>
      <c r="D386" s="2">
        <v>0</v>
      </c>
      <c r="E386" s="2">
        <v>0</v>
      </c>
      <c r="F386" s="2">
        <v>1022529.51</v>
      </c>
      <c r="G386" s="2">
        <v>0</v>
      </c>
      <c r="H386" s="2">
        <f t="shared" si="8"/>
        <v>1022529.51</v>
      </c>
    </row>
    <row r="387" spans="1:8">
      <c r="A387" s="1" t="s">
        <v>2911</v>
      </c>
      <c r="B387" s="1" t="s">
        <v>158</v>
      </c>
      <c r="C387" s="1" t="s">
        <v>2893</v>
      </c>
      <c r="F387" s="2">
        <v>2539876.13</v>
      </c>
      <c r="H387" s="2">
        <f t="shared" si="8"/>
        <v>2539876.13</v>
      </c>
    </row>
    <row r="388" spans="1:8">
      <c r="A388" s="1" t="s">
        <v>2911</v>
      </c>
      <c r="B388" s="1" t="s">
        <v>159</v>
      </c>
      <c r="C388" s="1" t="s">
        <v>2893</v>
      </c>
      <c r="D388" s="2">
        <v>0</v>
      </c>
      <c r="E388" s="2">
        <v>0</v>
      </c>
      <c r="F388" s="2">
        <v>3857392.36</v>
      </c>
      <c r="G388" s="2">
        <v>0</v>
      </c>
      <c r="H388" s="2">
        <f t="shared" si="8"/>
        <v>3857392.36</v>
      </c>
    </row>
    <row r="389" spans="1:8">
      <c r="A389" s="1" t="s">
        <v>2911</v>
      </c>
      <c r="B389" s="1" t="s">
        <v>148</v>
      </c>
      <c r="C389" s="1" t="s">
        <v>2902</v>
      </c>
      <c r="D389" s="2">
        <v>0</v>
      </c>
      <c r="E389" s="2">
        <v>0</v>
      </c>
      <c r="F389" s="2">
        <v>410057</v>
      </c>
      <c r="G389" s="2">
        <v>0</v>
      </c>
      <c r="H389" s="2">
        <f t="shared" si="8"/>
        <v>410057</v>
      </c>
    </row>
    <row r="390" spans="1:8">
      <c r="A390" s="1" t="s">
        <v>2911</v>
      </c>
      <c r="B390" s="1" t="s">
        <v>149</v>
      </c>
      <c r="C390" s="1" t="s">
        <v>2902</v>
      </c>
      <c r="D390" s="2">
        <v>0</v>
      </c>
      <c r="E390" s="2">
        <v>0</v>
      </c>
      <c r="F390" s="2">
        <v>85790.57</v>
      </c>
      <c r="G390" s="2">
        <v>0</v>
      </c>
      <c r="H390" s="2">
        <f t="shared" si="8"/>
        <v>85790.57</v>
      </c>
    </row>
    <row r="391" spans="1:8">
      <c r="A391" s="1" t="s">
        <v>2911</v>
      </c>
      <c r="B391" s="1" t="s">
        <v>150</v>
      </c>
      <c r="C391" s="1" t="s">
        <v>2902</v>
      </c>
      <c r="D391" s="2">
        <v>0</v>
      </c>
      <c r="E391" s="2">
        <v>0</v>
      </c>
      <c r="F391" s="2">
        <v>4010580.79</v>
      </c>
      <c r="G391" s="2">
        <v>0</v>
      </c>
      <c r="H391" s="2">
        <f t="shared" si="8"/>
        <v>4010580.79</v>
      </c>
    </row>
    <row r="392" spans="1:8">
      <c r="A392" s="1" t="s">
        <v>2911</v>
      </c>
      <c r="B392" s="1" t="s">
        <v>151</v>
      </c>
      <c r="C392" s="1" t="s">
        <v>2902</v>
      </c>
      <c r="D392" s="2">
        <v>0</v>
      </c>
      <c r="E392" s="2">
        <v>0</v>
      </c>
      <c r="F392" s="2">
        <v>441968.17</v>
      </c>
      <c r="G392" s="2">
        <v>0</v>
      </c>
      <c r="H392" s="2">
        <f t="shared" si="8"/>
        <v>441968.17</v>
      </c>
    </row>
    <row r="393" spans="1:8">
      <c r="A393" s="1" t="s">
        <v>2911</v>
      </c>
      <c r="B393" s="1" t="s">
        <v>152</v>
      </c>
      <c r="C393" s="1" t="s">
        <v>2902</v>
      </c>
      <c r="D393" s="2">
        <v>0</v>
      </c>
      <c r="E393" s="2">
        <v>0</v>
      </c>
      <c r="F393" s="2">
        <v>650954.61</v>
      </c>
      <c r="G393" s="2">
        <v>0</v>
      </c>
      <c r="H393" s="2">
        <f t="shared" si="8"/>
        <v>650954.61</v>
      </c>
    </row>
    <row r="394" spans="1:8">
      <c r="A394" s="1" t="s">
        <v>2911</v>
      </c>
      <c r="B394" s="1" t="s">
        <v>153</v>
      </c>
      <c r="C394" s="1" t="s">
        <v>2902</v>
      </c>
      <c r="D394" s="2">
        <v>0</v>
      </c>
      <c r="E394" s="2">
        <v>0</v>
      </c>
      <c r="F394" s="2">
        <v>4688387.74</v>
      </c>
      <c r="G394" s="2">
        <v>0</v>
      </c>
      <c r="H394" s="2">
        <f t="shared" si="8"/>
        <v>4688387.74</v>
      </c>
    </row>
    <row r="395" spans="1:8">
      <c r="A395" s="1" t="s">
        <v>2911</v>
      </c>
      <c r="B395" s="1" t="s">
        <v>154</v>
      </c>
      <c r="C395" s="1" t="s">
        <v>2902</v>
      </c>
      <c r="F395" s="2">
        <v>-1364015.81</v>
      </c>
      <c r="H395" s="2">
        <f t="shared" si="8"/>
        <v>-1364015.81</v>
      </c>
    </row>
    <row r="396" spans="1:8">
      <c r="A396" s="1" t="s">
        <v>2911</v>
      </c>
      <c r="B396" s="1" t="s">
        <v>155</v>
      </c>
      <c r="C396" s="1" t="s">
        <v>2902</v>
      </c>
      <c r="F396" s="2">
        <v>1257784.02</v>
      </c>
      <c r="H396" s="2">
        <f t="shared" si="8"/>
        <v>1257784.02</v>
      </c>
    </row>
    <row r="397" spans="1:8">
      <c r="A397" s="1" t="s">
        <v>2911</v>
      </c>
      <c r="B397" s="1" t="s">
        <v>156</v>
      </c>
      <c r="C397" s="1" t="s">
        <v>2902</v>
      </c>
      <c r="F397" s="2">
        <v>1656334.19</v>
      </c>
      <c r="H397" s="2">
        <f t="shared" si="8"/>
        <v>1656334.19</v>
      </c>
    </row>
    <row r="398" spans="1:8">
      <c r="A398" s="1" t="s">
        <v>2911</v>
      </c>
      <c r="B398" s="1" t="s">
        <v>157</v>
      </c>
      <c r="C398" s="1" t="s">
        <v>2902</v>
      </c>
      <c r="D398" s="2">
        <v>0</v>
      </c>
      <c r="E398" s="2">
        <v>0</v>
      </c>
      <c r="F398" s="2">
        <v>258115.98</v>
      </c>
      <c r="G398" s="2">
        <v>0</v>
      </c>
      <c r="H398" s="2">
        <f t="shared" si="8"/>
        <v>258115.98</v>
      </c>
    </row>
    <row r="399" spans="1:8">
      <c r="A399" s="1" t="s">
        <v>2911</v>
      </c>
      <c r="B399" s="1" t="s">
        <v>158</v>
      </c>
      <c r="C399" s="1" t="s">
        <v>2902</v>
      </c>
      <c r="F399" s="2">
        <v>839154.55</v>
      </c>
      <c r="H399" s="2">
        <f t="shared" si="8"/>
        <v>839154.55</v>
      </c>
    </row>
    <row r="400" spans="1:8">
      <c r="A400" s="1" t="s">
        <v>2911</v>
      </c>
      <c r="B400" s="1" t="s">
        <v>159</v>
      </c>
      <c r="C400" s="1" t="s">
        <v>2902</v>
      </c>
      <c r="D400" s="2">
        <v>0</v>
      </c>
      <c r="E400" s="2">
        <v>0</v>
      </c>
      <c r="F400" s="2">
        <v>1646206.78</v>
      </c>
      <c r="G400" s="2">
        <v>0</v>
      </c>
      <c r="H400" s="2">
        <f t="shared" si="8"/>
        <v>1646206.78</v>
      </c>
    </row>
    <row r="401" spans="1:8">
      <c r="A401" s="1" t="s">
        <v>2911</v>
      </c>
      <c r="B401" s="1" t="s">
        <v>148</v>
      </c>
      <c r="C401" s="1" t="s">
        <v>2900</v>
      </c>
      <c r="D401" s="2">
        <v>0</v>
      </c>
      <c r="E401" s="2">
        <v>0</v>
      </c>
      <c r="F401" s="2">
        <v>2055899.49</v>
      </c>
      <c r="G401" s="2">
        <v>0</v>
      </c>
      <c r="H401" s="2">
        <f t="shared" si="8"/>
        <v>2055899.49</v>
      </c>
    </row>
    <row r="402" spans="1:8">
      <c r="A402" s="1" t="s">
        <v>2911</v>
      </c>
      <c r="B402" s="1" t="s">
        <v>149</v>
      </c>
      <c r="C402" s="1" t="s">
        <v>2900</v>
      </c>
      <c r="D402" s="2">
        <v>0</v>
      </c>
      <c r="E402" s="2">
        <v>0</v>
      </c>
      <c r="F402" s="2">
        <v>666811.75</v>
      </c>
      <c r="G402" s="2">
        <v>0</v>
      </c>
      <c r="H402" s="2">
        <f t="shared" si="8"/>
        <v>666811.75</v>
      </c>
    </row>
    <row r="403" spans="1:8">
      <c r="A403" s="1" t="s">
        <v>2911</v>
      </c>
      <c r="B403" s="1" t="s">
        <v>150</v>
      </c>
      <c r="C403" s="1" t="s">
        <v>2900</v>
      </c>
      <c r="D403" s="2">
        <v>0</v>
      </c>
      <c r="E403" s="2">
        <v>0</v>
      </c>
      <c r="F403" s="2">
        <v>747573.83</v>
      </c>
      <c r="G403" s="2">
        <v>0</v>
      </c>
      <c r="H403" s="2">
        <f t="shared" si="8"/>
        <v>747573.83</v>
      </c>
    </row>
    <row r="404" spans="1:8">
      <c r="A404" s="1" t="s">
        <v>2911</v>
      </c>
      <c r="B404" s="1" t="s">
        <v>151</v>
      </c>
      <c r="C404" s="1" t="s">
        <v>2900</v>
      </c>
      <c r="D404" s="2">
        <v>0</v>
      </c>
      <c r="E404" s="2">
        <v>0</v>
      </c>
      <c r="F404" s="2">
        <v>926451.09</v>
      </c>
      <c r="G404" s="2">
        <v>0</v>
      </c>
      <c r="H404" s="2">
        <f t="shared" si="8"/>
        <v>926451.09</v>
      </c>
    </row>
    <row r="405" spans="1:8">
      <c r="A405" s="1" t="s">
        <v>2911</v>
      </c>
      <c r="B405" s="1" t="s">
        <v>152</v>
      </c>
      <c r="C405" s="1" t="s">
        <v>2900</v>
      </c>
      <c r="D405" s="2">
        <v>0</v>
      </c>
      <c r="E405" s="2">
        <v>0</v>
      </c>
      <c r="F405" s="2">
        <v>944375.83</v>
      </c>
      <c r="G405" s="2">
        <v>0</v>
      </c>
      <c r="H405" s="2">
        <f t="shared" si="8"/>
        <v>944375.83</v>
      </c>
    </row>
    <row r="406" spans="1:8">
      <c r="A406" s="1" t="s">
        <v>2911</v>
      </c>
      <c r="B406" s="1" t="s">
        <v>153</v>
      </c>
      <c r="C406" s="1" t="s">
        <v>2900</v>
      </c>
      <c r="D406" s="2">
        <v>0</v>
      </c>
      <c r="E406" s="2">
        <v>0</v>
      </c>
      <c r="F406" s="2">
        <v>335745.68</v>
      </c>
      <c r="G406" s="2">
        <v>0</v>
      </c>
      <c r="H406" s="2">
        <f t="shared" si="8"/>
        <v>335745.68</v>
      </c>
    </row>
    <row r="407" spans="1:8">
      <c r="A407" s="1" t="s">
        <v>2911</v>
      </c>
      <c r="B407" s="1" t="s">
        <v>154</v>
      </c>
      <c r="C407" s="1" t="s">
        <v>2900</v>
      </c>
      <c r="F407" s="2">
        <v>854435.74</v>
      </c>
      <c r="H407" s="2">
        <f t="shared" si="8"/>
        <v>854435.74</v>
      </c>
    </row>
    <row r="408" spans="1:8">
      <c r="A408" s="1" t="s">
        <v>2911</v>
      </c>
      <c r="B408" s="1" t="s">
        <v>155</v>
      </c>
      <c r="C408" s="1" t="s">
        <v>2900</v>
      </c>
      <c r="F408" s="2">
        <v>1350668.28</v>
      </c>
      <c r="H408" s="2">
        <f t="shared" si="8"/>
        <v>1350668.28</v>
      </c>
    </row>
    <row r="409" spans="1:8">
      <c r="A409" s="1" t="s">
        <v>2911</v>
      </c>
      <c r="B409" s="1" t="s">
        <v>156</v>
      </c>
      <c r="C409" s="1" t="s">
        <v>2900</v>
      </c>
      <c r="F409" s="2">
        <v>796695.14</v>
      </c>
      <c r="H409" s="2">
        <f t="shared" ref="H409:H472" si="9">SUM(D409:G409)</f>
        <v>796695.14</v>
      </c>
    </row>
    <row r="410" spans="1:8">
      <c r="A410" s="1" t="s">
        <v>2911</v>
      </c>
      <c r="B410" s="1" t="s">
        <v>157</v>
      </c>
      <c r="C410" s="1" t="s">
        <v>2900</v>
      </c>
      <c r="D410" s="2">
        <v>0</v>
      </c>
      <c r="E410" s="2">
        <v>0</v>
      </c>
      <c r="F410" s="2">
        <v>336245.07</v>
      </c>
      <c r="G410" s="2">
        <v>0</v>
      </c>
      <c r="H410" s="2">
        <f t="shared" si="9"/>
        <v>336245.07</v>
      </c>
    </row>
    <row r="411" spans="1:8">
      <c r="A411" s="1" t="s">
        <v>2911</v>
      </c>
      <c r="B411" s="1" t="s">
        <v>158</v>
      </c>
      <c r="C411" s="1" t="s">
        <v>2900</v>
      </c>
      <c r="F411" s="2">
        <v>1330500.26</v>
      </c>
      <c r="H411" s="2">
        <f t="shared" si="9"/>
        <v>1330500.26</v>
      </c>
    </row>
    <row r="412" spans="1:8">
      <c r="A412" s="1" t="s">
        <v>2911</v>
      </c>
      <c r="B412" s="1" t="s">
        <v>159</v>
      </c>
      <c r="C412" s="1" t="s">
        <v>2900</v>
      </c>
      <c r="D412" s="2">
        <v>0</v>
      </c>
      <c r="E412" s="2">
        <v>0</v>
      </c>
      <c r="F412" s="2">
        <v>526709.83</v>
      </c>
      <c r="G412" s="2">
        <v>0</v>
      </c>
      <c r="H412" s="2">
        <f t="shared" si="9"/>
        <v>526709.83</v>
      </c>
    </row>
    <row r="413" spans="1:8">
      <c r="A413" s="1" t="s">
        <v>2912</v>
      </c>
      <c r="B413" s="1" t="s">
        <v>148</v>
      </c>
      <c r="C413" s="1" t="s">
        <v>2892</v>
      </c>
      <c r="D413" s="2">
        <v>9525719.92</v>
      </c>
      <c r="E413" s="2">
        <v>310.39</v>
      </c>
      <c r="F413" s="2">
        <v>615697.89</v>
      </c>
      <c r="G413" s="2">
        <v>87</v>
      </c>
      <c r="H413" s="2">
        <f t="shared" si="9"/>
        <v>10141815.2</v>
      </c>
    </row>
    <row r="414" spans="1:8">
      <c r="A414" s="1" t="s">
        <v>2912</v>
      </c>
      <c r="B414" s="1" t="s">
        <v>149</v>
      </c>
      <c r="C414" s="1" t="s">
        <v>2892</v>
      </c>
      <c r="D414" s="2">
        <v>14227189.39</v>
      </c>
      <c r="E414" s="2">
        <v>840.96</v>
      </c>
      <c r="F414" s="2">
        <v>644461.87</v>
      </c>
      <c r="G414" s="2">
        <v>22077.3</v>
      </c>
      <c r="H414" s="2">
        <f t="shared" si="9"/>
        <v>14894569.52</v>
      </c>
    </row>
    <row r="415" spans="1:8">
      <c r="A415" s="1" t="s">
        <v>2912</v>
      </c>
      <c r="B415" s="1" t="s">
        <v>150</v>
      </c>
      <c r="C415" s="1" t="s">
        <v>2892</v>
      </c>
      <c r="D415" s="2">
        <v>11453834.67</v>
      </c>
      <c r="E415" s="2">
        <v>790.93</v>
      </c>
      <c r="F415" s="2">
        <v>609159.08</v>
      </c>
      <c r="G415" s="2">
        <v>4652.2</v>
      </c>
      <c r="H415" s="2">
        <f t="shared" si="9"/>
        <v>12068436.88</v>
      </c>
    </row>
    <row r="416" spans="1:8">
      <c r="A416" s="1" t="s">
        <v>2912</v>
      </c>
      <c r="B416" s="1" t="s">
        <v>151</v>
      </c>
      <c r="C416" s="1" t="s">
        <v>2892</v>
      </c>
      <c r="D416" s="2">
        <v>10080886.77</v>
      </c>
      <c r="E416" s="2">
        <v>728.79</v>
      </c>
      <c r="F416" s="2">
        <v>743997.720000001</v>
      </c>
      <c r="G416" s="2">
        <v>306.8</v>
      </c>
      <c r="H416" s="2">
        <f t="shared" si="9"/>
        <v>10825920.08</v>
      </c>
    </row>
    <row r="417" spans="1:8">
      <c r="A417" s="1" t="s">
        <v>2912</v>
      </c>
      <c r="B417" s="1" t="s">
        <v>152</v>
      </c>
      <c r="C417" s="1" t="s">
        <v>2892</v>
      </c>
      <c r="D417" s="2">
        <v>9550419.96999999</v>
      </c>
      <c r="E417" s="2">
        <v>4868.09</v>
      </c>
      <c r="F417" s="2">
        <v>723794.92</v>
      </c>
      <c r="G417" s="2">
        <v>138098</v>
      </c>
      <c r="H417" s="2">
        <f t="shared" si="9"/>
        <v>10417180.98</v>
      </c>
    </row>
    <row r="418" spans="1:8">
      <c r="A418" s="1" t="s">
        <v>2912</v>
      </c>
      <c r="B418" s="1" t="s">
        <v>153</v>
      </c>
      <c r="C418" s="1" t="s">
        <v>2892</v>
      </c>
      <c r="D418" s="2">
        <v>10495631.5</v>
      </c>
      <c r="E418" s="2">
        <v>1221.43</v>
      </c>
      <c r="F418" s="2">
        <v>628039.34</v>
      </c>
      <c r="G418" s="2">
        <v>1853203</v>
      </c>
      <c r="H418" s="2">
        <f t="shared" si="9"/>
        <v>12978095.27</v>
      </c>
    </row>
    <row r="419" spans="1:8">
      <c r="A419" s="1" t="s">
        <v>2912</v>
      </c>
      <c r="B419" s="1" t="s">
        <v>154</v>
      </c>
      <c r="C419" s="1" t="s">
        <v>2892</v>
      </c>
      <c r="D419" s="2">
        <v>11361305.09</v>
      </c>
      <c r="E419" s="2">
        <v>1039.66</v>
      </c>
      <c r="F419" s="2">
        <v>1532343.02</v>
      </c>
      <c r="G419" s="2">
        <v>327125.15</v>
      </c>
      <c r="H419" s="2">
        <f t="shared" si="9"/>
        <v>13221812.92</v>
      </c>
    </row>
    <row r="420" spans="1:8">
      <c r="A420" s="1" t="s">
        <v>2912</v>
      </c>
      <c r="B420" s="1" t="s">
        <v>155</v>
      </c>
      <c r="C420" s="1" t="s">
        <v>2892</v>
      </c>
      <c r="D420" s="2">
        <v>12584431.45</v>
      </c>
      <c r="E420" s="2">
        <v>871.01</v>
      </c>
      <c r="F420" s="2">
        <v>1296669.27</v>
      </c>
      <c r="G420" s="2">
        <v>509608.73</v>
      </c>
      <c r="H420" s="2">
        <f t="shared" si="9"/>
        <v>14391580.46</v>
      </c>
    </row>
    <row r="421" spans="1:8">
      <c r="A421" s="1" t="s">
        <v>2912</v>
      </c>
      <c r="B421" s="1" t="s">
        <v>156</v>
      </c>
      <c r="C421" s="1" t="s">
        <v>2892</v>
      </c>
      <c r="D421" s="2">
        <v>11426315.45</v>
      </c>
      <c r="E421" s="2">
        <v>1618.33</v>
      </c>
      <c r="F421" s="2">
        <v>10525260.39</v>
      </c>
      <c r="G421" s="2">
        <v>1804355.63</v>
      </c>
      <c r="H421" s="2">
        <f t="shared" si="9"/>
        <v>23757549.8</v>
      </c>
    </row>
    <row r="422" spans="1:8">
      <c r="A422" s="1" t="s">
        <v>2912</v>
      </c>
      <c r="B422" s="1" t="s">
        <v>157</v>
      </c>
      <c r="C422" s="1" t="s">
        <v>2892</v>
      </c>
      <c r="D422" s="2">
        <v>8758297.13999999</v>
      </c>
      <c r="E422" s="2">
        <v>942.22</v>
      </c>
      <c r="F422" s="2">
        <v>29550736.56</v>
      </c>
      <c r="G422" s="2">
        <v>926243.17</v>
      </c>
      <c r="H422" s="2">
        <f t="shared" si="9"/>
        <v>39236219.09</v>
      </c>
    </row>
    <row r="423" spans="1:8">
      <c r="A423" s="1" t="s">
        <v>2912</v>
      </c>
      <c r="B423" s="1" t="s">
        <v>158</v>
      </c>
      <c r="C423" s="1" t="s">
        <v>2892</v>
      </c>
      <c r="D423" s="2">
        <v>6752994.51</v>
      </c>
      <c r="E423" s="2">
        <v>983.57</v>
      </c>
      <c r="F423" s="2">
        <v>61618338.8799999</v>
      </c>
      <c r="G423" s="2">
        <v>456104.77</v>
      </c>
      <c r="H423" s="2">
        <f t="shared" si="9"/>
        <v>68828421.7299999</v>
      </c>
    </row>
    <row r="424" spans="1:8">
      <c r="A424" s="1" t="s">
        <v>2912</v>
      </c>
      <c r="B424" s="1" t="s">
        <v>159</v>
      </c>
      <c r="C424" s="1" t="s">
        <v>2892</v>
      </c>
      <c r="D424" s="2">
        <v>3107841.2</v>
      </c>
      <c r="E424" s="2">
        <v>799.16</v>
      </c>
      <c r="F424" s="2">
        <v>55116697.48</v>
      </c>
      <c r="G424" s="2">
        <v>219938.79</v>
      </c>
      <c r="H424" s="2">
        <f t="shared" si="9"/>
        <v>58445276.63</v>
      </c>
    </row>
    <row r="425" spans="1:8">
      <c r="A425" s="1" t="s">
        <v>2912</v>
      </c>
      <c r="B425" s="1" t="s">
        <v>148</v>
      </c>
      <c r="C425" s="1" t="s">
        <v>2899</v>
      </c>
      <c r="D425" s="2">
        <v>9190925.3</v>
      </c>
      <c r="E425" s="2">
        <v>308.14</v>
      </c>
      <c r="F425" s="2">
        <v>605094.51</v>
      </c>
      <c r="G425" s="2">
        <v>74</v>
      </c>
      <c r="H425" s="2">
        <f t="shared" si="9"/>
        <v>9796401.95</v>
      </c>
    </row>
    <row r="426" spans="1:8">
      <c r="A426" s="1" t="s">
        <v>2912</v>
      </c>
      <c r="B426" s="1" t="s">
        <v>149</v>
      </c>
      <c r="C426" s="1" t="s">
        <v>2899</v>
      </c>
      <c r="D426" s="2">
        <v>13801889.67</v>
      </c>
      <c r="E426" s="2">
        <v>834.96</v>
      </c>
      <c r="F426" s="2">
        <v>626554.22</v>
      </c>
      <c r="G426" s="2">
        <v>22029.6</v>
      </c>
      <c r="H426" s="2">
        <f t="shared" si="9"/>
        <v>14451308.45</v>
      </c>
    </row>
    <row r="427" spans="1:8">
      <c r="A427" s="1" t="s">
        <v>2912</v>
      </c>
      <c r="B427" s="1" t="s">
        <v>150</v>
      </c>
      <c r="C427" s="1" t="s">
        <v>2899</v>
      </c>
      <c r="D427" s="2">
        <v>11114672.47</v>
      </c>
      <c r="E427" s="2">
        <v>785.22</v>
      </c>
      <c r="F427" s="2">
        <v>583945.63</v>
      </c>
      <c r="G427" s="2">
        <v>4611.2</v>
      </c>
      <c r="H427" s="2">
        <f t="shared" si="9"/>
        <v>11704014.52</v>
      </c>
    </row>
    <row r="428" spans="1:8">
      <c r="A428" s="1" t="s">
        <v>2912</v>
      </c>
      <c r="B428" s="1" t="s">
        <v>151</v>
      </c>
      <c r="C428" s="1" t="s">
        <v>2899</v>
      </c>
      <c r="D428" s="2">
        <v>9867350.75</v>
      </c>
      <c r="E428" s="2">
        <v>722.7</v>
      </c>
      <c r="F428" s="2">
        <v>714480.66</v>
      </c>
      <c r="G428" s="2">
        <v>299.6</v>
      </c>
      <c r="H428" s="2">
        <f t="shared" si="9"/>
        <v>10582853.71</v>
      </c>
    </row>
    <row r="429" spans="1:8">
      <c r="A429" s="1" t="s">
        <v>2912</v>
      </c>
      <c r="B429" s="1" t="s">
        <v>152</v>
      </c>
      <c r="C429" s="1" t="s">
        <v>2899</v>
      </c>
      <c r="D429" s="2">
        <v>9362465.26</v>
      </c>
      <c r="E429" s="2">
        <v>4811.4</v>
      </c>
      <c r="F429" s="2">
        <v>696583.55</v>
      </c>
      <c r="G429" s="2">
        <v>136592</v>
      </c>
      <c r="H429" s="2">
        <f t="shared" si="9"/>
        <v>10200452.21</v>
      </c>
    </row>
    <row r="430" spans="1:8">
      <c r="A430" s="1" t="s">
        <v>2912</v>
      </c>
      <c r="B430" s="1" t="s">
        <v>153</v>
      </c>
      <c r="C430" s="1" t="s">
        <v>2899</v>
      </c>
      <c r="D430" s="2">
        <v>10326871.27</v>
      </c>
      <c r="E430" s="2">
        <v>1208.49</v>
      </c>
      <c r="F430" s="2">
        <v>607552</v>
      </c>
      <c r="G430" s="2">
        <v>1832837</v>
      </c>
      <c r="H430" s="2">
        <f t="shared" si="9"/>
        <v>12768468.76</v>
      </c>
    </row>
    <row r="431" spans="1:8">
      <c r="A431" s="1" t="s">
        <v>2912</v>
      </c>
      <c r="B431" s="1" t="s">
        <v>154</v>
      </c>
      <c r="C431" s="1" t="s">
        <v>2899</v>
      </c>
      <c r="D431" s="2">
        <v>11126743.84</v>
      </c>
      <c r="E431" s="2">
        <v>1031.61</v>
      </c>
      <c r="F431" s="2">
        <v>1502821.48</v>
      </c>
      <c r="G431" s="2">
        <v>318598</v>
      </c>
      <c r="H431" s="2">
        <f t="shared" si="9"/>
        <v>12949194.93</v>
      </c>
    </row>
    <row r="432" spans="1:8">
      <c r="A432" s="1" t="s">
        <v>2912</v>
      </c>
      <c r="B432" s="1" t="s">
        <v>155</v>
      </c>
      <c r="C432" s="1" t="s">
        <v>2899</v>
      </c>
      <c r="D432" s="2">
        <v>12302284.9782</v>
      </c>
      <c r="E432" s="2">
        <v>862.05</v>
      </c>
      <c r="F432" s="2">
        <v>1274822.11</v>
      </c>
      <c r="G432" s="2">
        <v>431337.06</v>
      </c>
      <c r="H432" s="2">
        <f t="shared" si="9"/>
        <v>14009306.1982</v>
      </c>
    </row>
    <row r="433" spans="1:8">
      <c r="A433" s="1" t="s">
        <v>2912</v>
      </c>
      <c r="B433" s="1" t="s">
        <v>156</v>
      </c>
      <c r="C433" s="1" t="s">
        <v>2899</v>
      </c>
      <c r="D433" s="2">
        <v>11197547.47</v>
      </c>
      <c r="E433" s="2">
        <v>1605.75</v>
      </c>
      <c r="F433" s="2">
        <v>10444503.5284</v>
      </c>
      <c r="G433" s="2">
        <v>1686336.28</v>
      </c>
      <c r="H433" s="2">
        <f t="shared" si="9"/>
        <v>23329993.0284</v>
      </c>
    </row>
    <row r="434" spans="1:8">
      <c r="A434" s="1" t="s">
        <v>2912</v>
      </c>
      <c r="B434" s="1" t="s">
        <v>157</v>
      </c>
      <c r="C434" s="1" t="s">
        <v>2899</v>
      </c>
      <c r="D434" s="2">
        <v>8590138.67</v>
      </c>
      <c r="E434" s="2">
        <v>943.11</v>
      </c>
      <c r="F434" s="2">
        <v>29362459.3928</v>
      </c>
      <c r="G434" s="2">
        <v>880621.490000001</v>
      </c>
      <c r="H434" s="2">
        <f t="shared" si="9"/>
        <v>38834162.6628</v>
      </c>
    </row>
    <row r="435" spans="1:8">
      <c r="A435" s="1" t="s">
        <v>2912</v>
      </c>
      <c r="B435" s="1" t="s">
        <v>158</v>
      </c>
      <c r="C435" s="1" t="s">
        <v>2899</v>
      </c>
      <c r="D435" s="2">
        <v>6649551.74</v>
      </c>
      <c r="E435" s="2">
        <v>981</v>
      </c>
      <c r="F435" s="2">
        <v>61302711.0904</v>
      </c>
      <c r="G435" s="2">
        <v>457996.55</v>
      </c>
      <c r="H435" s="2">
        <f t="shared" si="9"/>
        <v>68411240.3804</v>
      </c>
    </row>
    <row r="436" spans="1:8">
      <c r="A436" s="1" t="s">
        <v>2912</v>
      </c>
      <c r="B436" s="1" t="s">
        <v>159</v>
      </c>
      <c r="C436" s="1" t="s">
        <v>2899</v>
      </c>
      <c r="D436" s="2">
        <v>2993366.542</v>
      </c>
      <c r="E436" s="2">
        <v>793.65</v>
      </c>
      <c r="F436" s="2">
        <v>55353541.65</v>
      </c>
      <c r="G436" s="2">
        <v>220642.37</v>
      </c>
      <c r="H436" s="2">
        <f t="shared" si="9"/>
        <v>58568344.212</v>
      </c>
    </row>
    <row r="437" spans="1:8">
      <c r="A437" s="1" t="s">
        <v>2912</v>
      </c>
      <c r="B437" s="1" t="s">
        <v>148</v>
      </c>
      <c r="C437" s="1" t="s">
        <v>2896</v>
      </c>
      <c r="D437" s="2">
        <v>363214.66</v>
      </c>
      <c r="E437" s="2">
        <v>0</v>
      </c>
      <c r="F437" s="2">
        <v>0</v>
      </c>
      <c r="G437" s="2">
        <v>0</v>
      </c>
      <c r="H437" s="2">
        <f t="shared" si="9"/>
        <v>363214.66</v>
      </c>
    </row>
    <row r="438" spans="1:8">
      <c r="A438" s="1" t="s">
        <v>2912</v>
      </c>
      <c r="B438" s="1" t="s">
        <v>149</v>
      </c>
      <c r="C438" s="1" t="s">
        <v>2896</v>
      </c>
      <c r="D438" s="2">
        <v>390.54</v>
      </c>
      <c r="E438" s="2">
        <v>0</v>
      </c>
      <c r="F438" s="2">
        <v>0</v>
      </c>
      <c r="G438" s="2">
        <v>0</v>
      </c>
      <c r="H438" s="2">
        <f t="shared" si="9"/>
        <v>390.54</v>
      </c>
    </row>
    <row r="439" spans="1:8">
      <c r="A439" s="1" t="s">
        <v>2912</v>
      </c>
      <c r="B439" s="1" t="s">
        <v>150</v>
      </c>
      <c r="C439" s="1" t="s">
        <v>2896</v>
      </c>
      <c r="D439" s="2">
        <v>67505.66</v>
      </c>
      <c r="E439" s="2">
        <v>0</v>
      </c>
      <c r="F439" s="2">
        <v>0</v>
      </c>
      <c r="G439" s="2">
        <v>0</v>
      </c>
      <c r="H439" s="2">
        <f t="shared" si="9"/>
        <v>67505.66</v>
      </c>
    </row>
    <row r="440" spans="1:8">
      <c r="A440" s="1" t="s">
        <v>2912</v>
      </c>
      <c r="B440" s="1" t="s">
        <v>151</v>
      </c>
      <c r="C440" s="1" t="s">
        <v>2896</v>
      </c>
      <c r="D440" s="2">
        <v>12045.76</v>
      </c>
      <c r="E440" s="2">
        <v>0</v>
      </c>
      <c r="F440" s="2">
        <v>0</v>
      </c>
      <c r="G440" s="2">
        <v>0</v>
      </c>
      <c r="H440" s="2">
        <f t="shared" si="9"/>
        <v>12045.76</v>
      </c>
    </row>
    <row r="441" spans="1:8">
      <c r="A441" s="1" t="s">
        <v>2912</v>
      </c>
      <c r="B441" s="1" t="s">
        <v>152</v>
      </c>
      <c r="C441" s="1" t="s">
        <v>2896</v>
      </c>
      <c r="D441" s="2">
        <v>0</v>
      </c>
      <c r="E441" s="2">
        <v>0</v>
      </c>
      <c r="F441" s="2">
        <v>196.2</v>
      </c>
      <c r="G441" s="2">
        <v>0</v>
      </c>
      <c r="H441" s="2">
        <f t="shared" si="9"/>
        <v>196.2</v>
      </c>
    </row>
    <row r="442" spans="1:8">
      <c r="A442" s="1" t="s">
        <v>2912</v>
      </c>
      <c r="B442" s="1" t="s">
        <v>153</v>
      </c>
      <c r="C442" s="1" t="s">
        <v>2896</v>
      </c>
      <c r="D442" s="2">
        <v>-45.28</v>
      </c>
      <c r="E442" s="2">
        <v>87735.85</v>
      </c>
      <c r="F442" s="2">
        <v>120.72</v>
      </c>
      <c r="G442" s="2">
        <v>0</v>
      </c>
      <c r="H442" s="2">
        <f t="shared" si="9"/>
        <v>87811.29</v>
      </c>
    </row>
    <row r="443" spans="1:8">
      <c r="A443" s="1" t="s">
        <v>2912</v>
      </c>
      <c r="B443" s="1" t="s">
        <v>154</v>
      </c>
      <c r="C443" s="1" t="s">
        <v>2896</v>
      </c>
      <c r="F443" s="2">
        <v>150.93</v>
      </c>
      <c r="H443" s="2">
        <f t="shared" si="9"/>
        <v>150.93</v>
      </c>
    </row>
    <row r="444" spans="1:8">
      <c r="A444" s="1" t="s">
        <v>2912</v>
      </c>
      <c r="B444" s="1" t="s">
        <v>155</v>
      </c>
      <c r="C444" s="1" t="s">
        <v>2896</v>
      </c>
      <c r="F444" s="2">
        <v>135.81</v>
      </c>
      <c r="H444" s="2">
        <f t="shared" si="9"/>
        <v>135.81</v>
      </c>
    </row>
    <row r="445" spans="1:8">
      <c r="A445" s="1" t="s">
        <v>2912</v>
      </c>
      <c r="B445" s="1" t="s">
        <v>156</v>
      </c>
      <c r="C445" s="1" t="s">
        <v>2896</v>
      </c>
      <c r="F445" s="2">
        <v>196.2</v>
      </c>
      <c r="H445" s="2">
        <f t="shared" si="9"/>
        <v>196.2</v>
      </c>
    </row>
    <row r="446" spans="1:8">
      <c r="A446" s="1" t="s">
        <v>2912</v>
      </c>
      <c r="B446" s="1" t="s">
        <v>157</v>
      </c>
      <c r="C446" s="1" t="s">
        <v>2896</v>
      </c>
      <c r="D446" s="2">
        <v>0</v>
      </c>
      <c r="E446" s="2">
        <v>0</v>
      </c>
      <c r="F446" s="2">
        <v>209.35</v>
      </c>
      <c r="G446" s="2">
        <v>2788.68</v>
      </c>
      <c r="H446" s="2">
        <f t="shared" si="9"/>
        <v>2998.03</v>
      </c>
    </row>
    <row r="447" spans="1:8">
      <c r="A447" s="1" t="s">
        <v>2912</v>
      </c>
      <c r="B447" s="1" t="s">
        <v>158</v>
      </c>
      <c r="C447" s="1" t="s">
        <v>2896</v>
      </c>
      <c r="F447" s="2">
        <v>90.54</v>
      </c>
      <c r="G447" s="2">
        <v>471698.11</v>
      </c>
      <c r="H447" s="2">
        <f t="shared" si="9"/>
        <v>471788.65</v>
      </c>
    </row>
    <row r="448" spans="1:8">
      <c r="A448" s="1" t="s">
        <v>2912</v>
      </c>
      <c r="B448" s="1" t="s">
        <v>159</v>
      </c>
      <c r="C448" s="1" t="s">
        <v>2896</v>
      </c>
      <c r="D448" s="2">
        <v>0</v>
      </c>
      <c r="E448" s="2">
        <v>0</v>
      </c>
      <c r="F448" s="2">
        <v>297.12</v>
      </c>
      <c r="G448" s="2">
        <v>0.51</v>
      </c>
      <c r="H448" s="2">
        <f t="shared" si="9"/>
        <v>297.63</v>
      </c>
    </row>
    <row r="449" spans="1:8">
      <c r="A449" s="1" t="s">
        <v>2912</v>
      </c>
      <c r="B449" s="1" t="s">
        <v>148</v>
      </c>
      <c r="C449" s="1" t="s">
        <v>2893</v>
      </c>
      <c r="D449" s="2">
        <v>352455.43</v>
      </c>
      <c r="E449" s="2">
        <v>0</v>
      </c>
      <c r="F449" s="2">
        <v>0</v>
      </c>
      <c r="G449" s="2">
        <v>0</v>
      </c>
      <c r="H449" s="2">
        <f t="shared" si="9"/>
        <v>352455.43</v>
      </c>
    </row>
    <row r="450" spans="1:8">
      <c r="A450" s="1" t="s">
        <v>2912</v>
      </c>
      <c r="B450" s="1" t="s">
        <v>149</v>
      </c>
      <c r="C450" s="1" t="s">
        <v>2893</v>
      </c>
      <c r="D450" s="2">
        <v>337.05</v>
      </c>
      <c r="E450" s="2">
        <v>0</v>
      </c>
      <c r="F450" s="2">
        <v>0</v>
      </c>
      <c r="G450" s="2">
        <v>0</v>
      </c>
      <c r="H450" s="2">
        <f t="shared" si="9"/>
        <v>337.05</v>
      </c>
    </row>
    <row r="451" spans="1:8">
      <c r="A451" s="1" t="s">
        <v>2912</v>
      </c>
      <c r="B451" s="1" t="s">
        <v>150</v>
      </c>
      <c r="C451" s="1" t="s">
        <v>2893</v>
      </c>
      <c r="D451" s="2">
        <v>66687.78</v>
      </c>
      <c r="E451" s="2">
        <v>0</v>
      </c>
      <c r="F451" s="2">
        <v>0</v>
      </c>
      <c r="G451" s="2">
        <v>0</v>
      </c>
      <c r="H451" s="2">
        <f t="shared" si="9"/>
        <v>66687.78</v>
      </c>
    </row>
    <row r="452" spans="1:8">
      <c r="A452" s="1" t="s">
        <v>2912</v>
      </c>
      <c r="B452" s="1" t="s">
        <v>151</v>
      </c>
      <c r="C452" s="1" t="s">
        <v>2893</v>
      </c>
      <c r="D452" s="2">
        <v>11915.46</v>
      </c>
      <c r="E452" s="2">
        <v>0</v>
      </c>
      <c r="F452" s="2">
        <v>0</v>
      </c>
      <c r="G452" s="2">
        <v>0</v>
      </c>
      <c r="H452" s="2">
        <f t="shared" si="9"/>
        <v>11915.46</v>
      </c>
    </row>
    <row r="453" spans="1:8">
      <c r="A453" s="1" t="s">
        <v>2912</v>
      </c>
      <c r="B453" s="1" t="s">
        <v>152</v>
      </c>
      <c r="C453" s="1" t="s">
        <v>2893</v>
      </c>
      <c r="D453" s="2">
        <v>0</v>
      </c>
      <c r="E453" s="2">
        <v>0</v>
      </c>
      <c r="F453" s="2">
        <v>158.69</v>
      </c>
      <c r="G453" s="2">
        <v>0</v>
      </c>
      <c r="H453" s="2">
        <f t="shared" si="9"/>
        <v>158.69</v>
      </c>
    </row>
    <row r="454" spans="1:8">
      <c r="A454" s="1" t="s">
        <v>2912</v>
      </c>
      <c r="B454" s="1" t="s">
        <v>153</v>
      </c>
      <c r="C454" s="1" t="s">
        <v>2893</v>
      </c>
      <c r="D454" s="2">
        <v>0</v>
      </c>
      <c r="E454" s="2">
        <v>87735.85</v>
      </c>
      <c r="F454" s="2">
        <v>90.37</v>
      </c>
      <c r="H454" s="2">
        <f t="shared" si="9"/>
        <v>87826.22</v>
      </c>
    </row>
    <row r="455" spans="1:8">
      <c r="A455" s="1" t="s">
        <v>2912</v>
      </c>
      <c r="B455" s="1" t="s">
        <v>154</v>
      </c>
      <c r="C455" s="1" t="s">
        <v>2893</v>
      </c>
      <c r="F455" s="2">
        <v>123.4</v>
      </c>
      <c r="H455" s="2">
        <f t="shared" si="9"/>
        <v>123.4</v>
      </c>
    </row>
    <row r="456" spans="1:8">
      <c r="A456" s="1" t="s">
        <v>2912</v>
      </c>
      <c r="B456" s="1" t="s">
        <v>155</v>
      </c>
      <c r="C456" s="1" t="s">
        <v>2893</v>
      </c>
      <c r="F456" s="2">
        <v>104.41</v>
      </c>
      <c r="H456" s="2">
        <f t="shared" si="9"/>
        <v>104.41</v>
      </c>
    </row>
    <row r="457" spans="1:8">
      <c r="A457" s="1" t="s">
        <v>2912</v>
      </c>
      <c r="B457" s="1" t="s">
        <v>156</v>
      </c>
      <c r="C457" s="1" t="s">
        <v>2893</v>
      </c>
      <c r="F457" s="2">
        <v>146.1</v>
      </c>
      <c r="H457" s="2">
        <f t="shared" si="9"/>
        <v>146.1</v>
      </c>
    </row>
    <row r="458" spans="1:8">
      <c r="A458" s="1" t="s">
        <v>2912</v>
      </c>
      <c r="B458" s="1" t="s">
        <v>157</v>
      </c>
      <c r="C458" s="1" t="s">
        <v>2893</v>
      </c>
      <c r="D458" s="2">
        <v>0</v>
      </c>
      <c r="E458" s="2">
        <v>0</v>
      </c>
      <c r="F458" s="2">
        <v>168.24</v>
      </c>
      <c r="G458" s="2">
        <v>2166.04</v>
      </c>
      <c r="H458" s="2">
        <f t="shared" si="9"/>
        <v>2334.28</v>
      </c>
    </row>
    <row r="459" spans="1:8">
      <c r="A459" s="1" t="s">
        <v>2912</v>
      </c>
      <c r="B459" s="1" t="s">
        <v>158</v>
      </c>
      <c r="C459" s="1" t="s">
        <v>2893</v>
      </c>
      <c r="F459" s="2">
        <v>68.69</v>
      </c>
      <c r="G459" s="2">
        <v>471698.11</v>
      </c>
      <c r="H459" s="2">
        <f t="shared" si="9"/>
        <v>471766.8</v>
      </c>
    </row>
    <row r="460" spans="1:8">
      <c r="A460" s="1" t="s">
        <v>2912</v>
      </c>
      <c r="B460" s="1" t="s">
        <v>159</v>
      </c>
      <c r="C460" s="1" t="s">
        <v>2893</v>
      </c>
      <c r="D460" s="2">
        <v>-0.02</v>
      </c>
      <c r="E460" s="2">
        <v>0</v>
      </c>
      <c r="F460" s="2">
        <v>202.14</v>
      </c>
      <c r="G460" s="2">
        <v>0.01</v>
      </c>
      <c r="H460" s="2">
        <f t="shared" si="9"/>
        <v>202.13</v>
      </c>
    </row>
    <row r="461" spans="1:8">
      <c r="A461" s="1" t="s">
        <v>2912</v>
      </c>
      <c r="B461" s="1" t="s">
        <v>148</v>
      </c>
      <c r="C461" s="1" t="s">
        <v>2902</v>
      </c>
      <c r="D461" s="2">
        <v>130299.44</v>
      </c>
      <c r="E461" s="2">
        <v>0</v>
      </c>
      <c r="F461" s="2">
        <v>0</v>
      </c>
      <c r="G461" s="2">
        <v>0</v>
      </c>
      <c r="H461" s="2">
        <f t="shared" si="9"/>
        <v>130299.44</v>
      </c>
    </row>
    <row r="462" spans="1:8">
      <c r="A462" s="1" t="s">
        <v>2912</v>
      </c>
      <c r="B462" s="1" t="s">
        <v>149</v>
      </c>
      <c r="C462" s="1" t="s">
        <v>2902</v>
      </c>
      <c r="D462" s="2">
        <v>25005.52</v>
      </c>
      <c r="E462" s="2">
        <v>0</v>
      </c>
      <c r="F462" s="2">
        <v>0</v>
      </c>
      <c r="G462" s="2">
        <v>0</v>
      </c>
      <c r="H462" s="2">
        <f t="shared" si="9"/>
        <v>25005.52</v>
      </c>
    </row>
    <row r="463" spans="1:8">
      <c r="A463" s="1" t="s">
        <v>2912</v>
      </c>
      <c r="B463" s="1" t="s">
        <v>150</v>
      </c>
      <c r="C463" s="1" t="s">
        <v>2902</v>
      </c>
      <c r="D463" s="2">
        <v>38646.01</v>
      </c>
      <c r="E463" s="2">
        <v>0</v>
      </c>
      <c r="F463" s="2">
        <v>0</v>
      </c>
      <c r="G463" s="2">
        <v>0</v>
      </c>
      <c r="H463" s="2">
        <f t="shared" si="9"/>
        <v>38646.01</v>
      </c>
    </row>
    <row r="464" spans="1:8">
      <c r="A464" s="1" t="s">
        <v>2912</v>
      </c>
      <c r="B464" s="1" t="s">
        <v>151</v>
      </c>
      <c r="C464" s="1" t="s">
        <v>2902</v>
      </c>
      <c r="D464" s="2">
        <v>35882.09</v>
      </c>
      <c r="E464" s="2">
        <v>0</v>
      </c>
      <c r="F464" s="2">
        <v>0</v>
      </c>
      <c r="G464" s="2">
        <v>0</v>
      </c>
      <c r="H464" s="2">
        <f t="shared" si="9"/>
        <v>35882.09</v>
      </c>
    </row>
    <row r="465" spans="1:8">
      <c r="A465" s="1" t="s">
        <v>2912</v>
      </c>
      <c r="B465" s="1" t="s">
        <v>152</v>
      </c>
      <c r="C465" s="1" t="s">
        <v>2902</v>
      </c>
      <c r="D465" s="2">
        <v>61129.84</v>
      </c>
      <c r="E465" s="2">
        <v>0</v>
      </c>
      <c r="F465" s="2">
        <v>0</v>
      </c>
      <c r="G465" s="2">
        <v>0</v>
      </c>
      <c r="H465" s="2">
        <f t="shared" si="9"/>
        <v>61129.84</v>
      </c>
    </row>
    <row r="466" spans="1:8">
      <c r="A466" s="1" t="s">
        <v>2912</v>
      </c>
      <c r="B466" s="1" t="s">
        <v>153</v>
      </c>
      <c r="C466" s="1" t="s">
        <v>2902</v>
      </c>
      <c r="D466" s="2">
        <v>9950.78</v>
      </c>
      <c r="E466" s="2">
        <v>0</v>
      </c>
      <c r="F466" s="2">
        <v>0</v>
      </c>
      <c r="G466" s="2">
        <v>0</v>
      </c>
      <c r="H466" s="2">
        <f t="shared" si="9"/>
        <v>9950.78</v>
      </c>
    </row>
    <row r="467" spans="1:8">
      <c r="A467" s="1" t="s">
        <v>2912</v>
      </c>
      <c r="B467" s="1" t="s">
        <v>154</v>
      </c>
      <c r="C467" s="1" t="s">
        <v>2902</v>
      </c>
      <c r="D467" s="2">
        <v>20897.92</v>
      </c>
      <c r="H467" s="2">
        <f t="shared" si="9"/>
        <v>20897.92</v>
      </c>
    </row>
    <row r="468" spans="1:8">
      <c r="A468" s="1" t="s">
        <v>2912</v>
      </c>
      <c r="B468" s="1" t="s">
        <v>155</v>
      </c>
      <c r="C468" s="1" t="s">
        <v>2902</v>
      </c>
      <c r="D468" s="2">
        <v>29354.64</v>
      </c>
      <c r="H468" s="2">
        <f t="shared" si="9"/>
        <v>29354.64</v>
      </c>
    </row>
    <row r="469" spans="1:8">
      <c r="A469" s="1" t="s">
        <v>2912</v>
      </c>
      <c r="B469" s="1" t="s">
        <v>156</v>
      </c>
      <c r="C469" s="1" t="s">
        <v>2902</v>
      </c>
      <c r="D469" s="2">
        <v>14420.44</v>
      </c>
      <c r="H469" s="2">
        <f t="shared" si="9"/>
        <v>14420.44</v>
      </c>
    </row>
    <row r="470" spans="1:8">
      <c r="A470" s="1" t="s">
        <v>2912</v>
      </c>
      <c r="B470" s="1" t="s">
        <v>157</v>
      </c>
      <c r="C470" s="1" t="s">
        <v>2902</v>
      </c>
      <c r="D470" s="2">
        <v>22690.43</v>
      </c>
      <c r="E470" s="2">
        <v>0</v>
      </c>
      <c r="F470" s="2">
        <v>0</v>
      </c>
      <c r="G470" s="2">
        <v>0</v>
      </c>
      <c r="H470" s="2">
        <f t="shared" si="9"/>
        <v>22690.43</v>
      </c>
    </row>
    <row r="471" spans="1:8">
      <c r="A471" s="1" t="s">
        <v>2912</v>
      </c>
      <c r="B471" s="1" t="s">
        <v>158</v>
      </c>
      <c r="C471" s="1" t="s">
        <v>2902</v>
      </c>
      <c r="D471" s="2">
        <v>21109.25</v>
      </c>
      <c r="H471" s="2">
        <f t="shared" si="9"/>
        <v>21109.25</v>
      </c>
    </row>
    <row r="472" spans="1:8">
      <c r="A472" s="1" t="s">
        <v>2912</v>
      </c>
      <c r="B472" s="1" t="s">
        <v>159</v>
      </c>
      <c r="C472" s="1" t="s">
        <v>2902</v>
      </c>
      <c r="D472" s="2">
        <v>20796.06</v>
      </c>
      <c r="E472" s="2">
        <v>0</v>
      </c>
      <c r="F472" s="2">
        <v>0</v>
      </c>
      <c r="G472" s="2">
        <v>0</v>
      </c>
      <c r="H472" s="2">
        <f t="shared" si="9"/>
        <v>20796.06</v>
      </c>
    </row>
    <row r="473" spans="1:8">
      <c r="A473" s="1" t="s">
        <v>2912</v>
      </c>
      <c r="B473" s="1" t="s">
        <v>148</v>
      </c>
      <c r="C473" s="1" t="s">
        <v>2900</v>
      </c>
      <c r="H473" s="2">
        <f t="shared" ref="H473:H536" si="10">SUM(D473:G473)</f>
        <v>0</v>
      </c>
    </row>
    <row r="474" spans="1:8">
      <c r="A474" s="1" t="s">
        <v>2912</v>
      </c>
      <c r="B474" s="1" t="s">
        <v>149</v>
      </c>
      <c r="C474" s="1" t="s">
        <v>2900</v>
      </c>
      <c r="D474" s="2">
        <v>1676.65</v>
      </c>
      <c r="E474" s="2">
        <v>0</v>
      </c>
      <c r="F474" s="2">
        <v>0</v>
      </c>
      <c r="G474" s="2">
        <v>0</v>
      </c>
      <c r="H474" s="2">
        <f t="shared" si="10"/>
        <v>1676.65</v>
      </c>
    </row>
    <row r="475" spans="1:8">
      <c r="A475" s="1" t="s">
        <v>2912</v>
      </c>
      <c r="B475" s="1" t="s">
        <v>150</v>
      </c>
      <c r="C475" s="1" t="s">
        <v>2900</v>
      </c>
      <c r="H475" s="2">
        <f t="shared" si="10"/>
        <v>0</v>
      </c>
    </row>
    <row r="476" spans="1:8">
      <c r="A476" s="1" t="s">
        <v>2912</v>
      </c>
      <c r="B476" s="1" t="s">
        <v>151</v>
      </c>
      <c r="C476" s="1" t="s">
        <v>2900</v>
      </c>
      <c r="D476" s="23">
        <v>308821.7</v>
      </c>
      <c r="E476" s="2">
        <v>0</v>
      </c>
      <c r="F476" s="2">
        <v>0</v>
      </c>
      <c r="G476" s="2">
        <v>0</v>
      </c>
      <c r="H476" s="2">
        <f t="shared" si="10"/>
        <v>308821.7</v>
      </c>
    </row>
    <row r="477" spans="1:8">
      <c r="A477" s="1" t="s">
        <v>2912</v>
      </c>
      <c r="B477" s="1" t="s">
        <v>152</v>
      </c>
      <c r="C477" s="1" t="s">
        <v>2900</v>
      </c>
      <c r="D477" s="2">
        <v>-305991.51</v>
      </c>
      <c r="E477" s="2">
        <v>0</v>
      </c>
      <c r="F477" s="2">
        <v>0</v>
      </c>
      <c r="G477" s="2">
        <v>0</v>
      </c>
      <c r="H477" s="2">
        <f t="shared" si="10"/>
        <v>-305991.51</v>
      </c>
    </row>
    <row r="478" spans="1:8">
      <c r="A478" s="1" t="s">
        <v>2912</v>
      </c>
      <c r="B478" s="1" t="s">
        <v>153</v>
      </c>
      <c r="C478" s="1" t="s">
        <v>2900</v>
      </c>
      <c r="D478" s="2">
        <v>47169.81</v>
      </c>
      <c r="E478" s="2">
        <v>0</v>
      </c>
      <c r="F478" s="2">
        <v>0</v>
      </c>
      <c r="G478" s="2">
        <v>0</v>
      </c>
      <c r="H478" s="2">
        <f t="shared" si="10"/>
        <v>47169.81</v>
      </c>
    </row>
    <row r="479" spans="1:8">
      <c r="A479" s="1" t="s">
        <v>2912</v>
      </c>
      <c r="B479" s="1" t="s">
        <v>154</v>
      </c>
      <c r="C479" s="1" t="s">
        <v>2900</v>
      </c>
      <c r="H479" s="2">
        <f t="shared" si="10"/>
        <v>0</v>
      </c>
    </row>
    <row r="480" spans="1:8">
      <c r="A480" s="1" t="s">
        <v>2912</v>
      </c>
      <c r="B480" s="1" t="s">
        <v>155</v>
      </c>
      <c r="C480" s="1" t="s">
        <v>2900</v>
      </c>
      <c r="D480" s="2">
        <v>1886.79</v>
      </c>
      <c r="H480" s="2">
        <f t="shared" si="10"/>
        <v>1886.79</v>
      </c>
    </row>
    <row r="481" spans="1:8">
      <c r="A481" s="1" t="s">
        <v>2912</v>
      </c>
      <c r="B481" s="1" t="s">
        <v>156</v>
      </c>
      <c r="C481" s="1" t="s">
        <v>2900</v>
      </c>
      <c r="D481" s="2">
        <v>1886.79</v>
      </c>
      <c r="H481" s="2">
        <f t="shared" si="10"/>
        <v>1886.79</v>
      </c>
    </row>
    <row r="482" spans="1:8">
      <c r="A482" s="1" t="s">
        <v>2912</v>
      </c>
      <c r="B482" s="1" t="s">
        <v>157</v>
      </c>
      <c r="C482" s="1" t="s">
        <v>2900</v>
      </c>
      <c r="H482" s="2">
        <f t="shared" si="10"/>
        <v>0</v>
      </c>
    </row>
    <row r="483" spans="1:8">
      <c r="A483" s="1" t="s">
        <v>2912</v>
      </c>
      <c r="B483" s="1" t="s">
        <v>158</v>
      </c>
      <c r="C483" s="1" t="s">
        <v>2900</v>
      </c>
      <c r="H483" s="2">
        <f t="shared" si="10"/>
        <v>0</v>
      </c>
    </row>
    <row r="484" spans="1:8">
      <c r="A484" s="1" t="s">
        <v>2912</v>
      </c>
      <c r="B484" s="1" t="s">
        <v>159</v>
      </c>
      <c r="C484" s="1" t="s">
        <v>2900</v>
      </c>
      <c r="H484" s="2">
        <f t="shared" si="10"/>
        <v>0</v>
      </c>
    </row>
    <row r="485" spans="1:8">
      <c r="A485" s="1" t="s">
        <v>2913</v>
      </c>
      <c r="B485" s="1" t="s">
        <v>154</v>
      </c>
      <c r="C485" s="1" t="s">
        <v>2892</v>
      </c>
      <c r="E485" s="2">
        <v>500</v>
      </c>
      <c r="H485" s="2">
        <f t="shared" si="10"/>
        <v>500</v>
      </c>
    </row>
    <row r="486" spans="1:8">
      <c r="A486" s="1" t="s">
        <v>2913</v>
      </c>
      <c r="B486" s="1" t="s">
        <v>155</v>
      </c>
      <c r="C486" s="1" t="s">
        <v>2892</v>
      </c>
      <c r="E486" s="2">
        <v>36898.6</v>
      </c>
      <c r="H486" s="2">
        <f t="shared" si="10"/>
        <v>36898.6</v>
      </c>
    </row>
    <row r="487" spans="1:8">
      <c r="A487" s="1" t="s">
        <v>2913</v>
      </c>
      <c r="B487" s="1" t="s">
        <v>156</v>
      </c>
      <c r="C487" s="1" t="s">
        <v>2892</v>
      </c>
      <c r="E487" s="2">
        <v>25207</v>
      </c>
      <c r="H487" s="2">
        <f t="shared" si="10"/>
        <v>25207</v>
      </c>
    </row>
    <row r="488" spans="1:8">
      <c r="A488" s="1" t="s">
        <v>2913</v>
      </c>
      <c r="B488" s="1" t="s">
        <v>157</v>
      </c>
      <c r="C488" s="1" t="s">
        <v>2892</v>
      </c>
      <c r="D488" s="2">
        <v>0</v>
      </c>
      <c r="E488" s="2">
        <v>37835173.44</v>
      </c>
      <c r="G488" s="2">
        <v>101.5</v>
      </c>
      <c r="H488" s="2">
        <f t="shared" si="10"/>
        <v>37835274.94</v>
      </c>
    </row>
    <row r="489" spans="1:8">
      <c r="A489" s="1" t="s">
        <v>2913</v>
      </c>
      <c r="B489" s="1" t="s">
        <v>158</v>
      </c>
      <c r="C489" s="1" t="s">
        <v>2892</v>
      </c>
      <c r="D489" s="2">
        <v>15</v>
      </c>
      <c r="E489" s="2">
        <v>330874191.65</v>
      </c>
      <c r="F489" s="2">
        <v>772.4</v>
      </c>
      <c r="G489" s="2">
        <v>118.9</v>
      </c>
      <c r="H489" s="2">
        <f t="shared" si="10"/>
        <v>330875097.95</v>
      </c>
    </row>
    <row r="490" spans="1:8">
      <c r="A490" s="1" t="s">
        <v>2913</v>
      </c>
      <c r="B490" s="1" t="s">
        <v>159</v>
      </c>
      <c r="C490" s="1" t="s">
        <v>2892</v>
      </c>
      <c r="D490" s="2">
        <v>31</v>
      </c>
      <c r="E490" s="2">
        <v>298623746.05</v>
      </c>
      <c r="F490" s="2">
        <v>657.6</v>
      </c>
      <c r="G490" s="2">
        <v>228.9</v>
      </c>
      <c r="H490" s="2">
        <f t="shared" si="10"/>
        <v>298624663.55</v>
      </c>
    </row>
    <row r="491" spans="1:8">
      <c r="A491" s="1" t="s">
        <v>2913</v>
      </c>
      <c r="B491" s="1" t="s">
        <v>154</v>
      </c>
      <c r="C491" s="1" t="s">
        <v>2899</v>
      </c>
      <c r="E491" s="2">
        <v>499.51</v>
      </c>
      <c r="H491" s="2">
        <f t="shared" si="10"/>
        <v>499.51</v>
      </c>
    </row>
    <row r="492" spans="1:8">
      <c r="A492" s="1" t="s">
        <v>2913</v>
      </c>
      <c r="B492" s="1" t="s">
        <v>155</v>
      </c>
      <c r="C492" s="1" t="s">
        <v>2899</v>
      </c>
      <c r="E492" s="2">
        <v>36435.1</v>
      </c>
      <c r="H492" s="2">
        <f t="shared" si="10"/>
        <v>36435.1</v>
      </c>
    </row>
    <row r="493" spans="1:8">
      <c r="A493" s="1" t="s">
        <v>2913</v>
      </c>
      <c r="B493" s="1" t="s">
        <v>156</v>
      </c>
      <c r="C493" s="1" t="s">
        <v>2899</v>
      </c>
      <c r="E493" s="2">
        <v>24822.79</v>
      </c>
      <c r="H493" s="2">
        <f t="shared" si="10"/>
        <v>24822.79</v>
      </c>
    </row>
    <row r="494" spans="1:8">
      <c r="A494" s="1" t="s">
        <v>2913</v>
      </c>
      <c r="B494" s="1" t="s">
        <v>157</v>
      </c>
      <c r="C494" s="1" t="s">
        <v>2899</v>
      </c>
      <c r="D494" s="2">
        <v>0</v>
      </c>
      <c r="E494" s="2">
        <v>37605527.1288</v>
      </c>
      <c r="G494" s="2">
        <v>97.5</v>
      </c>
      <c r="H494" s="2">
        <f t="shared" si="10"/>
        <v>37605624.6288</v>
      </c>
    </row>
    <row r="495" spans="1:8">
      <c r="A495" s="1" t="s">
        <v>2913</v>
      </c>
      <c r="B495" s="1" t="s">
        <v>158</v>
      </c>
      <c r="C495" s="1" t="s">
        <v>2899</v>
      </c>
      <c r="D495" s="2">
        <v>12.75</v>
      </c>
      <c r="E495" s="2">
        <v>329058817.7682</v>
      </c>
      <c r="F495" s="2">
        <v>377.7</v>
      </c>
      <c r="G495" s="2">
        <v>96</v>
      </c>
      <c r="H495" s="2">
        <f t="shared" si="10"/>
        <v>329059304.2182</v>
      </c>
    </row>
    <row r="496" spans="1:8">
      <c r="A496" s="1" t="s">
        <v>2913</v>
      </c>
      <c r="B496" s="1" t="s">
        <v>159</v>
      </c>
      <c r="C496" s="1" t="s">
        <v>2899</v>
      </c>
      <c r="D496" s="2">
        <v>26.35</v>
      </c>
      <c r="E496" s="2">
        <v>296939389</v>
      </c>
      <c r="F496" s="2">
        <v>350.1</v>
      </c>
      <c r="G496" s="2">
        <v>192</v>
      </c>
      <c r="H496" s="2">
        <f t="shared" si="10"/>
        <v>296939957.45</v>
      </c>
    </row>
    <row r="497" spans="1:8">
      <c r="A497" s="1" t="s">
        <v>2913</v>
      </c>
      <c r="B497" s="1" t="s">
        <v>154</v>
      </c>
      <c r="C497" s="1" t="s">
        <v>2900</v>
      </c>
      <c r="H497" s="2">
        <f t="shared" si="10"/>
        <v>0</v>
      </c>
    </row>
    <row r="498" spans="1:8">
      <c r="A498" s="1" t="s">
        <v>2913</v>
      </c>
      <c r="B498" s="1" t="s">
        <v>155</v>
      </c>
      <c r="C498" s="1" t="s">
        <v>2900</v>
      </c>
      <c r="H498" s="2">
        <f t="shared" si="10"/>
        <v>0</v>
      </c>
    </row>
    <row r="499" spans="1:8">
      <c r="A499" s="1" t="s">
        <v>2913</v>
      </c>
      <c r="B499" s="1" t="s">
        <v>156</v>
      </c>
      <c r="C499" s="1" t="s">
        <v>2900</v>
      </c>
      <c r="H499" s="2">
        <f t="shared" si="10"/>
        <v>0</v>
      </c>
    </row>
    <row r="500" spans="1:8">
      <c r="A500" s="1" t="s">
        <v>2913</v>
      </c>
      <c r="B500" s="1" t="s">
        <v>157</v>
      </c>
      <c r="C500" s="1" t="s">
        <v>2900</v>
      </c>
      <c r="H500" s="2">
        <f t="shared" si="10"/>
        <v>0</v>
      </c>
    </row>
    <row r="501" spans="1:8">
      <c r="A501" s="1" t="s">
        <v>2913</v>
      </c>
      <c r="B501" s="1" t="s">
        <v>158</v>
      </c>
      <c r="C501" s="1" t="s">
        <v>2900</v>
      </c>
      <c r="H501" s="2">
        <f t="shared" si="10"/>
        <v>0</v>
      </c>
    </row>
    <row r="502" spans="1:8">
      <c r="A502" s="1" t="s">
        <v>2913</v>
      </c>
      <c r="B502" s="1" t="s">
        <v>159</v>
      </c>
      <c r="C502" s="1" t="s">
        <v>2900</v>
      </c>
      <c r="H502" s="2">
        <f t="shared" si="10"/>
        <v>0</v>
      </c>
    </row>
    <row r="503" spans="1:8">
      <c r="A503" s="1" t="s">
        <v>2914</v>
      </c>
      <c r="B503" s="1" t="s">
        <v>148</v>
      </c>
      <c r="C503" s="1" t="s">
        <v>2892</v>
      </c>
      <c r="D503" s="2">
        <v>135650341.04</v>
      </c>
      <c r="E503" s="2">
        <v>0</v>
      </c>
      <c r="F503" s="2">
        <v>25206899.22</v>
      </c>
      <c r="G503" s="2">
        <v>41.88</v>
      </c>
      <c r="H503" s="2">
        <f t="shared" si="10"/>
        <v>160857282.14</v>
      </c>
    </row>
    <row r="504" spans="1:8">
      <c r="A504" s="1" t="s">
        <v>2914</v>
      </c>
      <c r="B504" s="1" t="s">
        <v>149</v>
      </c>
      <c r="C504" s="1" t="s">
        <v>2892</v>
      </c>
      <c r="D504" s="2">
        <v>96303779.51</v>
      </c>
      <c r="E504" s="2">
        <v>0</v>
      </c>
      <c r="F504" s="2">
        <v>18777018.81</v>
      </c>
      <c r="G504" s="2">
        <v>2168.21</v>
      </c>
      <c r="H504" s="2">
        <f t="shared" si="10"/>
        <v>115082966.53</v>
      </c>
    </row>
    <row r="505" spans="1:8">
      <c r="A505" s="1" t="s">
        <v>2914</v>
      </c>
      <c r="B505" s="1" t="s">
        <v>150</v>
      </c>
      <c r="C505" s="1" t="s">
        <v>2892</v>
      </c>
      <c r="D505" s="2">
        <v>131176714.34</v>
      </c>
      <c r="E505" s="2">
        <v>0</v>
      </c>
      <c r="F505" s="2">
        <v>16157566.86</v>
      </c>
      <c r="G505" s="2">
        <v>1376.64</v>
      </c>
      <c r="H505" s="2">
        <f t="shared" si="10"/>
        <v>147335657.84</v>
      </c>
    </row>
    <row r="506" spans="1:8">
      <c r="A506" s="1" t="s">
        <v>2914</v>
      </c>
      <c r="B506" s="1" t="s">
        <v>151</v>
      </c>
      <c r="C506" s="1" t="s">
        <v>2892</v>
      </c>
      <c r="D506" s="2">
        <v>78640224.3184</v>
      </c>
      <c r="E506" s="2">
        <v>0</v>
      </c>
      <c r="F506" s="2">
        <v>19041687.4936</v>
      </c>
      <c r="G506" s="2">
        <v>193.22</v>
      </c>
      <c r="H506" s="2">
        <f t="shared" si="10"/>
        <v>97682105.032</v>
      </c>
    </row>
    <row r="507" spans="1:8">
      <c r="A507" s="1" t="s">
        <v>2914</v>
      </c>
      <c r="B507" s="1" t="s">
        <v>152</v>
      </c>
      <c r="C507" s="1" t="s">
        <v>2892</v>
      </c>
      <c r="D507" s="2">
        <v>85979582.67</v>
      </c>
      <c r="E507" s="2">
        <v>0</v>
      </c>
      <c r="F507" s="2">
        <v>15573310.42</v>
      </c>
      <c r="G507" s="2">
        <v>-11.17</v>
      </c>
      <c r="H507" s="2">
        <f t="shared" si="10"/>
        <v>101552881.92</v>
      </c>
    </row>
    <row r="508" spans="1:8">
      <c r="A508" s="1" t="s">
        <v>2914</v>
      </c>
      <c r="B508" s="1" t="s">
        <v>153</v>
      </c>
      <c r="C508" s="1" t="s">
        <v>2892</v>
      </c>
      <c r="D508" s="2">
        <v>71103055.76</v>
      </c>
      <c r="E508" s="2">
        <v>0</v>
      </c>
      <c r="F508" s="2">
        <v>19207102.46</v>
      </c>
      <c r="G508" s="2">
        <v>1.71</v>
      </c>
      <c r="H508" s="2">
        <f t="shared" si="10"/>
        <v>90310159.93</v>
      </c>
    </row>
    <row r="509" spans="1:8">
      <c r="A509" s="1" t="s">
        <v>2914</v>
      </c>
      <c r="B509" s="1" t="s">
        <v>154</v>
      </c>
      <c r="C509" s="1" t="s">
        <v>2892</v>
      </c>
      <c r="D509" s="2">
        <v>74849530.75</v>
      </c>
      <c r="E509" s="2">
        <v>47.57</v>
      </c>
      <c r="F509" s="2">
        <v>18900261.74</v>
      </c>
      <c r="G509" s="2">
        <v>459.99</v>
      </c>
      <c r="H509" s="2">
        <f t="shared" si="10"/>
        <v>93750300.05</v>
      </c>
    </row>
    <row r="510" spans="1:8">
      <c r="A510" s="1" t="s">
        <v>2914</v>
      </c>
      <c r="B510" s="1" t="s">
        <v>155</v>
      </c>
      <c r="C510" s="1" t="s">
        <v>2892</v>
      </c>
      <c r="D510" s="2">
        <v>93868480.41</v>
      </c>
      <c r="F510" s="2">
        <v>14804765.27</v>
      </c>
      <c r="G510" s="2">
        <v>2.46</v>
      </c>
      <c r="H510" s="2">
        <f t="shared" si="10"/>
        <v>108673248.14</v>
      </c>
    </row>
    <row r="511" spans="1:8">
      <c r="A511" s="1" t="s">
        <v>2914</v>
      </c>
      <c r="B511" s="1" t="s">
        <v>156</v>
      </c>
      <c r="C511" s="1" t="s">
        <v>2892</v>
      </c>
      <c r="D511" s="2">
        <v>110969549.66</v>
      </c>
      <c r="F511" s="2">
        <v>14921626.23</v>
      </c>
      <c r="G511" s="2">
        <v>460.64</v>
      </c>
      <c r="H511" s="2">
        <f t="shared" si="10"/>
        <v>125891636.53</v>
      </c>
    </row>
    <row r="512" spans="1:8">
      <c r="A512" s="1" t="s">
        <v>2914</v>
      </c>
      <c r="B512" s="1" t="s">
        <v>157</v>
      </c>
      <c r="C512" s="1" t="s">
        <v>2892</v>
      </c>
      <c r="D512" s="2">
        <v>21604890.54</v>
      </c>
      <c r="F512" s="2">
        <v>10633654.64</v>
      </c>
      <c r="G512" s="2">
        <v>236.81</v>
      </c>
      <c r="H512" s="2">
        <f t="shared" si="10"/>
        <v>32238781.99</v>
      </c>
    </row>
    <row r="513" spans="1:8">
      <c r="A513" s="1" t="s">
        <v>2914</v>
      </c>
      <c r="B513" s="1" t="s">
        <v>158</v>
      </c>
      <c r="C513" s="1" t="s">
        <v>2892</v>
      </c>
      <c r="D513" s="2">
        <v>83152018.22</v>
      </c>
      <c r="F513" s="2">
        <v>21207173.59</v>
      </c>
      <c r="G513" s="2">
        <v>284.22</v>
      </c>
      <c r="H513" s="2">
        <f t="shared" si="10"/>
        <v>104359476.03</v>
      </c>
    </row>
    <row r="514" spans="1:8">
      <c r="A514" s="1" t="s">
        <v>2914</v>
      </c>
      <c r="B514" s="1" t="s">
        <v>159</v>
      </c>
      <c r="C514" s="1" t="s">
        <v>2892</v>
      </c>
      <c r="D514" s="2">
        <v>102107658.87</v>
      </c>
      <c r="E514" s="2">
        <v>0</v>
      </c>
      <c r="F514" s="2">
        <v>15196801.3</v>
      </c>
      <c r="G514" s="2">
        <v>1042.14</v>
      </c>
      <c r="H514" s="2">
        <f t="shared" si="10"/>
        <v>117305502.31</v>
      </c>
    </row>
    <row r="515" spans="1:8">
      <c r="A515" s="1" t="s">
        <v>2914</v>
      </c>
      <c r="B515" s="1" t="s">
        <v>148</v>
      </c>
      <c r="C515" s="1" t="s">
        <v>2899</v>
      </c>
      <c r="D515" s="2">
        <v>137996408.9</v>
      </c>
      <c r="E515" s="2">
        <v>0</v>
      </c>
      <c r="F515" s="2">
        <v>27888188.53</v>
      </c>
      <c r="G515" s="2">
        <v>360</v>
      </c>
      <c r="H515" s="2">
        <f t="shared" si="10"/>
        <v>165884957.43</v>
      </c>
    </row>
    <row r="516" spans="1:8">
      <c r="A516" s="1" t="s">
        <v>2914</v>
      </c>
      <c r="B516" s="1" t="s">
        <v>149</v>
      </c>
      <c r="C516" s="1" t="s">
        <v>2899</v>
      </c>
      <c r="D516" s="2">
        <v>93796382.11</v>
      </c>
      <c r="E516" s="2">
        <v>0</v>
      </c>
      <c r="F516" s="2">
        <v>18845085</v>
      </c>
      <c r="G516" s="2">
        <v>3132</v>
      </c>
      <c r="H516" s="2">
        <f t="shared" si="10"/>
        <v>112644599.11</v>
      </c>
    </row>
    <row r="517" spans="1:8">
      <c r="A517" s="1" t="s">
        <v>2914</v>
      </c>
      <c r="B517" s="1" t="s">
        <v>150</v>
      </c>
      <c r="C517" s="1" t="s">
        <v>2899</v>
      </c>
      <c r="D517" s="2">
        <v>133347787.47</v>
      </c>
      <c r="E517" s="2">
        <v>0</v>
      </c>
      <c r="F517" s="2">
        <v>16287593.29</v>
      </c>
      <c r="G517" s="2">
        <v>1211.8</v>
      </c>
      <c r="H517" s="2">
        <f t="shared" si="10"/>
        <v>149636592.56</v>
      </c>
    </row>
    <row r="518" spans="1:8">
      <c r="A518" s="1" t="s">
        <v>2914</v>
      </c>
      <c r="B518" s="1" t="s">
        <v>151</v>
      </c>
      <c r="C518" s="1" t="s">
        <v>2899</v>
      </c>
      <c r="D518" s="2">
        <v>80494964.93</v>
      </c>
      <c r="E518" s="2">
        <v>0</v>
      </c>
      <c r="F518" s="2">
        <v>20199610.23</v>
      </c>
      <c r="G518" s="2">
        <v>1074.61</v>
      </c>
      <c r="H518" s="2">
        <f t="shared" si="10"/>
        <v>100695649.77</v>
      </c>
    </row>
    <row r="519" spans="1:8">
      <c r="A519" s="1" t="s">
        <v>2914</v>
      </c>
      <c r="B519" s="1" t="s">
        <v>152</v>
      </c>
      <c r="C519" s="1" t="s">
        <v>2899</v>
      </c>
      <c r="D519" s="2">
        <v>87632960.59</v>
      </c>
      <c r="E519" s="2">
        <v>0</v>
      </c>
      <c r="F519" s="2">
        <v>16092940.78</v>
      </c>
      <c r="G519" s="2">
        <v>630.08</v>
      </c>
      <c r="H519" s="2">
        <f t="shared" si="10"/>
        <v>103726531.45</v>
      </c>
    </row>
    <row r="520" spans="1:8">
      <c r="A520" s="1" t="s">
        <v>2914</v>
      </c>
      <c r="B520" s="1" t="s">
        <v>153</v>
      </c>
      <c r="C520" s="1" t="s">
        <v>2899</v>
      </c>
      <c r="D520" s="2">
        <v>72405492.42</v>
      </c>
      <c r="E520" s="2">
        <v>0</v>
      </c>
      <c r="F520" s="2">
        <v>21724167</v>
      </c>
      <c r="G520" s="2">
        <v>286.1</v>
      </c>
      <c r="H520" s="2">
        <f t="shared" si="10"/>
        <v>94129945.52</v>
      </c>
    </row>
    <row r="521" spans="1:8">
      <c r="A521" s="1" t="s">
        <v>2914</v>
      </c>
      <c r="B521" s="1" t="s">
        <v>154</v>
      </c>
      <c r="C521" s="1" t="s">
        <v>2899</v>
      </c>
      <c r="D521" s="2">
        <v>76583814.67</v>
      </c>
      <c r="E521" s="2">
        <v>31.72</v>
      </c>
      <c r="F521" s="2">
        <v>20643513.1</v>
      </c>
      <c r="G521" s="2">
        <v>4.21</v>
      </c>
      <c r="H521" s="2">
        <f t="shared" si="10"/>
        <v>97227363.7</v>
      </c>
    </row>
    <row r="522" spans="1:8">
      <c r="A522" s="1" t="s">
        <v>2914</v>
      </c>
      <c r="B522" s="1" t="s">
        <v>155</v>
      </c>
      <c r="C522" s="1" t="s">
        <v>2899</v>
      </c>
      <c r="D522" s="2">
        <v>95186852.137</v>
      </c>
      <c r="F522" s="2">
        <v>16319482.37</v>
      </c>
      <c r="G522" s="2">
        <v>386.81</v>
      </c>
      <c r="H522" s="2">
        <f t="shared" si="10"/>
        <v>111506721.317</v>
      </c>
    </row>
    <row r="523" spans="1:8">
      <c r="A523" s="1" t="s">
        <v>2914</v>
      </c>
      <c r="B523" s="1" t="s">
        <v>156</v>
      </c>
      <c r="C523" s="1" t="s">
        <v>2899</v>
      </c>
      <c r="D523" s="2">
        <v>114694772.7892</v>
      </c>
      <c r="F523" s="2">
        <v>15132501.93</v>
      </c>
      <c r="G523" s="2">
        <v>3350.22</v>
      </c>
      <c r="H523" s="2">
        <f t="shared" si="10"/>
        <v>129830624.9392</v>
      </c>
    </row>
    <row r="524" spans="1:8">
      <c r="A524" s="1" t="s">
        <v>2914</v>
      </c>
      <c r="B524" s="1" t="s">
        <v>157</v>
      </c>
      <c r="C524" s="1" t="s">
        <v>2899</v>
      </c>
      <c r="D524" s="2">
        <v>21832982.15</v>
      </c>
      <c r="F524" s="2">
        <v>10638640.44</v>
      </c>
      <c r="G524" s="2">
        <v>236.81</v>
      </c>
      <c r="H524" s="2">
        <f t="shared" si="10"/>
        <v>32471859.4</v>
      </c>
    </row>
    <row r="525" spans="1:8">
      <c r="A525" s="1" t="s">
        <v>2914</v>
      </c>
      <c r="B525" s="1" t="s">
        <v>158</v>
      </c>
      <c r="C525" s="1" t="s">
        <v>2899</v>
      </c>
      <c r="D525" s="2">
        <v>84804636.6346</v>
      </c>
      <c r="F525" s="2">
        <v>27988215.67</v>
      </c>
      <c r="G525" s="2">
        <v>284.22</v>
      </c>
      <c r="H525" s="2">
        <f t="shared" si="10"/>
        <v>112793136.5246</v>
      </c>
    </row>
    <row r="526" spans="1:8">
      <c r="A526" s="1" t="s">
        <v>2914</v>
      </c>
      <c r="B526" s="1" t="s">
        <v>159</v>
      </c>
      <c r="C526" s="1" t="s">
        <v>2899</v>
      </c>
      <c r="D526" s="2">
        <v>104420928.85</v>
      </c>
      <c r="E526" s="2">
        <v>0</v>
      </c>
      <c r="F526" s="2">
        <v>15247641.43</v>
      </c>
      <c r="G526" s="2">
        <v>521.05</v>
      </c>
      <c r="H526" s="2">
        <f t="shared" si="10"/>
        <v>119669091.33</v>
      </c>
    </row>
    <row r="527" spans="1:8">
      <c r="A527" s="1" t="s">
        <v>2914</v>
      </c>
      <c r="B527" s="1" t="s">
        <v>148</v>
      </c>
      <c r="C527" s="1" t="s">
        <v>2896</v>
      </c>
      <c r="H527" s="2">
        <f t="shared" si="10"/>
        <v>0</v>
      </c>
    </row>
    <row r="528" spans="1:8">
      <c r="A528" s="1" t="s">
        <v>2914</v>
      </c>
      <c r="B528" s="1" t="s">
        <v>149</v>
      </c>
      <c r="C528" s="1" t="s">
        <v>2896</v>
      </c>
      <c r="H528" s="2">
        <f t="shared" si="10"/>
        <v>0</v>
      </c>
    </row>
    <row r="529" spans="1:8">
      <c r="A529" s="1" t="s">
        <v>2914</v>
      </c>
      <c r="B529" s="1" t="s">
        <v>150</v>
      </c>
      <c r="C529" s="1" t="s">
        <v>2896</v>
      </c>
      <c r="H529" s="2">
        <f t="shared" si="10"/>
        <v>0</v>
      </c>
    </row>
    <row r="530" spans="1:8">
      <c r="A530" s="1" t="s">
        <v>2914</v>
      </c>
      <c r="B530" s="1" t="s">
        <v>151</v>
      </c>
      <c r="C530" s="1" t="s">
        <v>2896</v>
      </c>
      <c r="H530" s="2">
        <f t="shared" si="10"/>
        <v>0</v>
      </c>
    </row>
    <row r="531" spans="1:8">
      <c r="A531" s="1" t="s">
        <v>2914</v>
      </c>
      <c r="B531" s="1" t="s">
        <v>152</v>
      </c>
      <c r="C531" s="1" t="s">
        <v>2896</v>
      </c>
      <c r="H531" s="2">
        <f t="shared" si="10"/>
        <v>0</v>
      </c>
    </row>
    <row r="532" spans="1:8">
      <c r="A532" s="1" t="s">
        <v>2914</v>
      </c>
      <c r="B532" s="1" t="s">
        <v>153</v>
      </c>
      <c r="C532" s="1" t="s">
        <v>2896</v>
      </c>
      <c r="G532" s="2">
        <v>0.18</v>
      </c>
      <c r="H532" s="2">
        <f t="shared" si="10"/>
        <v>0.18</v>
      </c>
    </row>
    <row r="533" spans="1:8">
      <c r="A533" s="1" t="s">
        <v>2914</v>
      </c>
      <c r="B533" s="1" t="s">
        <v>154</v>
      </c>
      <c r="C533" s="1" t="s">
        <v>2896</v>
      </c>
      <c r="H533" s="2">
        <f t="shared" si="10"/>
        <v>0</v>
      </c>
    </row>
    <row r="534" spans="1:8">
      <c r="A534" s="1" t="s">
        <v>2914</v>
      </c>
      <c r="B534" s="1" t="s">
        <v>155</v>
      </c>
      <c r="C534" s="1" t="s">
        <v>2896</v>
      </c>
      <c r="H534" s="2">
        <f t="shared" si="10"/>
        <v>0</v>
      </c>
    </row>
    <row r="535" spans="1:8">
      <c r="A535" s="1" t="s">
        <v>2914</v>
      </c>
      <c r="B535" s="1" t="s">
        <v>156</v>
      </c>
      <c r="C535" s="1" t="s">
        <v>2896</v>
      </c>
      <c r="H535" s="2">
        <f t="shared" si="10"/>
        <v>0</v>
      </c>
    </row>
    <row r="536" spans="1:8">
      <c r="A536" s="1" t="s">
        <v>2914</v>
      </c>
      <c r="B536" s="1" t="s">
        <v>157</v>
      </c>
      <c r="C536" s="1" t="s">
        <v>2896</v>
      </c>
      <c r="H536" s="2">
        <f t="shared" si="10"/>
        <v>0</v>
      </c>
    </row>
    <row r="537" spans="1:8">
      <c r="A537" s="1" t="s">
        <v>2914</v>
      </c>
      <c r="B537" s="1" t="s">
        <v>158</v>
      </c>
      <c r="C537" s="1" t="s">
        <v>2896</v>
      </c>
      <c r="H537" s="2">
        <f t="shared" ref="H537:H600" si="11">SUM(D537:G537)</f>
        <v>0</v>
      </c>
    </row>
    <row r="538" spans="1:8">
      <c r="A538" s="1" t="s">
        <v>2914</v>
      </c>
      <c r="B538" s="1" t="s">
        <v>159</v>
      </c>
      <c r="C538" s="1" t="s">
        <v>2896</v>
      </c>
      <c r="H538" s="2">
        <f t="shared" si="11"/>
        <v>0</v>
      </c>
    </row>
    <row r="539" spans="1:8">
      <c r="A539" s="1" t="s">
        <v>2914</v>
      </c>
      <c r="B539" s="1" t="s">
        <v>148</v>
      </c>
      <c r="C539" s="1" t="s">
        <v>2893</v>
      </c>
      <c r="H539" s="2">
        <f t="shared" si="11"/>
        <v>0</v>
      </c>
    </row>
    <row r="540" spans="1:8">
      <c r="A540" s="1" t="s">
        <v>2914</v>
      </c>
      <c r="B540" s="1" t="s">
        <v>149</v>
      </c>
      <c r="C540" s="1" t="s">
        <v>2893</v>
      </c>
      <c r="H540" s="2">
        <f t="shared" si="11"/>
        <v>0</v>
      </c>
    </row>
    <row r="541" spans="1:8">
      <c r="A541" s="1" t="s">
        <v>2914</v>
      </c>
      <c r="B541" s="1" t="s">
        <v>150</v>
      </c>
      <c r="C541" s="1" t="s">
        <v>2893</v>
      </c>
      <c r="H541" s="2">
        <f t="shared" si="11"/>
        <v>0</v>
      </c>
    </row>
    <row r="542" spans="1:8">
      <c r="A542" s="1" t="s">
        <v>2914</v>
      </c>
      <c r="B542" s="1" t="s">
        <v>151</v>
      </c>
      <c r="C542" s="1" t="s">
        <v>2893</v>
      </c>
      <c r="H542" s="2">
        <f t="shared" si="11"/>
        <v>0</v>
      </c>
    </row>
    <row r="543" spans="1:8">
      <c r="A543" s="1" t="s">
        <v>2914</v>
      </c>
      <c r="B543" s="1" t="s">
        <v>152</v>
      </c>
      <c r="C543" s="1" t="s">
        <v>2893</v>
      </c>
      <c r="H543" s="2">
        <f t="shared" si="11"/>
        <v>0</v>
      </c>
    </row>
    <row r="544" spans="1:8">
      <c r="A544" s="1" t="s">
        <v>2914</v>
      </c>
      <c r="B544" s="1" t="s">
        <v>153</v>
      </c>
      <c r="C544" s="1" t="s">
        <v>2893</v>
      </c>
      <c r="H544" s="2">
        <f t="shared" si="11"/>
        <v>0</v>
      </c>
    </row>
    <row r="545" spans="1:8">
      <c r="A545" s="1" t="s">
        <v>2914</v>
      </c>
      <c r="B545" s="1" t="s">
        <v>154</v>
      </c>
      <c r="C545" s="1" t="s">
        <v>2893</v>
      </c>
      <c r="H545" s="2">
        <f t="shared" si="11"/>
        <v>0</v>
      </c>
    </row>
    <row r="546" spans="1:8">
      <c r="A546" s="1" t="s">
        <v>2914</v>
      </c>
      <c r="B546" s="1" t="s">
        <v>155</v>
      </c>
      <c r="C546" s="1" t="s">
        <v>2893</v>
      </c>
      <c r="H546" s="2">
        <f t="shared" si="11"/>
        <v>0</v>
      </c>
    </row>
    <row r="547" spans="1:8">
      <c r="A547" s="1" t="s">
        <v>2914</v>
      </c>
      <c r="B547" s="1" t="s">
        <v>156</v>
      </c>
      <c r="C547" s="1" t="s">
        <v>2893</v>
      </c>
      <c r="H547" s="2">
        <f t="shared" si="11"/>
        <v>0</v>
      </c>
    </row>
    <row r="548" spans="1:8">
      <c r="A548" s="1" t="s">
        <v>2914</v>
      </c>
      <c r="B548" s="1" t="s">
        <v>157</v>
      </c>
      <c r="C548" s="1" t="s">
        <v>2893</v>
      </c>
      <c r="H548" s="2">
        <f t="shared" si="11"/>
        <v>0</v>
      </c>
    </row>
    <row r="549" spans="1:8">
      <c r="A549" s="1" t="s">
        <v>2914</v>
      </c>
      <c r="B549" s="1" t="s">
        <v>158</v>
      </c>
      <c r="C549" s="1" t="s">
        <v>2893</v>
      </c>
      <c r="H549" s="2">
        <f t="shared" si="11"/>
        <v>0</v>
      </c>
    </row>
    <row r="550" spans="1:8">
      <c r="A550" s="1" t="s">
        <v>2914</v>
      </c>
      <c r="B550" s="1" t="s">
        <v>159</v>
      </c>
      <c r="C550" s="1" t="s">
        <v>2893</v>
      </c>
      <c r="H550" s="2">
        <f t="shared" si="11"/>
        <v>0</v>
      </c>
    </row>
    <row r="551" spans="1:8">
      <c r="A551" s="1" t="s">
        <v>2914</v>
      </c>
      <c r="B551" s="1" t="s">
        <v>148</v>
      </c>
      <c r="C551" s="1" t="s">
        <v>2902</v>
      </c>
      <c r="D551" s="2">
        <v>13062371.8</v>
      </c>
      <c r="E551" s="2">
        <v>0</v>
      </c>
      <c r="F551" s="2">
        <v>4607542.89</v>
      </c>
      <c r="G551" s="2">
        <v>0</v>
      </c>
      <c r="H551" s="2">
        <f t="shared" si="11"/>
        <v>17669914.69</v>
      </c>
    </row>
    <row r="552" spans="1:8">
      <c r="A552" s="1" t="s">
        <v>2914</v>
      </c>
      <c r="B552" s="1" t="s">
        <v>149</v>
      </c>
      <c r="C552" s="1" t="s">
        <v>2902</v>
      </c>
      <c r="D552" s="2">
        <v>4033639.04</v>
      </c>
      <c r="E552" s="2">
        <v>0</v>
      </c>
      <c r="F552" s="2">
        <v>3317705.46</v>
      </c>
      <c r="G552" s="2">
        <v>0</v>
      </c>
      <c r="H552" s="2">
        <f t="shared" si="11"/>
        <v>7351344.5</v>
      </c>
    </row>
    <row r="553" spans="1:8">
      <c r="A553" s="1" t="s">
        <v>2914</v>
      </c>
      <c r="B553" s="1" t="s">
        <v>150</v>
      </c>
      <c r="C553" s="1" t="s">
        <v>2902</v>
      </c>
      <c r="D553" s="2">
        <v>10760021.95</v>
      </c>
      <c r="E553" s="2">
        <v>0</v>
      </c>
      <c r="F553" s="2">
        <v>7437885.8</v>
      </c>
      <c r="G553" s="2">
        <v>0</v>
      </c>
      <c r="H553" s="2">
        <f t="shared" si="11"/>
        <v>18197907.75</v>
      </c>
    </row>
    <row r="554" spans="1:8">
      <c r="A554" s="1" t="s">
        <v>2914</v>
      </c>
      <c r="B554" s="1" t="s">
        <v>151</v>
      </c>
      <c r="C554" s="1" t="s">
        <v>2902</v>
      </c>
      <c r="D554" s="2">
        <v>7510191.22</v>
      </c>
      <c r="E554" s="2">
        <v>0</v>
      </c>
      <c r="F554" s="2">
        <v>3460906.82</v>
      </c>
      <c r="G554" s="2">
        <v>0</v>
      </c>
      <c r="H554" s="2">
        <f t="shared" si="11"/>
        <v>10971098.04</v>
      </c>
    </row>
    <row r="555" spans="1:8">
      <c r="A555" s="1" t="s">
        <v>2914</v>
      </c>
      <c r="B555" s="1" t="s">
        <v>152</v>
      </c>
      <c r="C555" s="1" t="s">
        <v>2902</v>
      </c>
      <c r="D555" s="2">
        <v>7570611.74</v>
      </c>
      <c r="E555" s="2">
        <v>0</v>
      </c>
      <c r="F555" s="2">
        <v>3541824.47</v>
      </c>
      <c r="G555" s="2">
        <v>0</v>
      </c>
      <c r="H555" s="2">
        <f t="shared" si="11"/>
        <v>11112436.21</v>
      </c>
    </row>
    <row r="556" spans="1:8">
      <c r="A556" s="1" t="s">
        <v>2914</v>
      </c>
      <c r="B556" s="1" t="s">
        <v>153</v>
      </c>
      <c r="C556" s="1" t="s">
        <v>2902</v>
      </c>
      <c r="D556" s="2">
        <v>5850722.92</v>
      </c>
      <c r="E556" s="2">
        <v>0</v>
      </c>
      <c r="F556" s="2">
        <v>4596722.47</v>
      </c>
      <c r="G556" s="2">
        <v>0</v>
      </c>
      <c r="H556" s="2">
        <f t="shared" si="11"/>
        <v>10447445.39</v>
      </c>
    </row>
    <row r="557" spans="1:8">
      <c r="A557" s="1" t="s">
        <v>2914</v>
      </c>
      <c r="B557" s="1" t="s">
        <v>154</v>
      </c>
      <c r="C557" s="1" t="s">
        <v>2902</v>
      </c>
      <c r="D557" s="2">
        <v>4768845.22</v>
      </c>
      <c r="F557" s="2">
        <v>5499358.21</v>
      </c>
      <c r="H557" s="2">
        <f t="shared" si="11"/>
        <v>10268203.43</v>
      </c>
    </row>
    <row r="558" spans="1:8">
      <c r="A558" s="1" t="s">
        <v>2914</v>
      </c>
      <c r="B558" s="1" t="s">
        <v>155</v>
      </c>
      <c r="C558" s="1" t="s">
        <v>2902</v>
      </c>
      <c r="D558" s="2">
        <v>6437348.06</v>
      </c>
      <c r="F558" s="2">
        <v>3743964.54</v>
      </c>
      <c r="H558" s="2">
        <f t="shared" si="11"/>
        <v>10181312.6</v>
      </c>
    </row>
    <row r="559" spans="1:8">
      <c r="A559" s="1" t="s">
        <v>2914</v>
      </c>
      <c r="B559" s="1" t="s">
        <v>156</v>
      </c>
      <c r="C559" s="1" t="s">
        <v>2902</v>
      </c>
      <c r="D559" s="2">
        <v>11149139.25</v>
      </c>
      <c r="F559" s="2">
        <v>3266533.23</v>
      </c>
      <c r="H559" s="2">
        <f t="shared" si="11"/>
        <v>14415672.48</v>
      </c>
    </row>
    <row r="560" spans="1:8">
      <c r="A560" s="1" t="s">
        <v>2914</v>
      </c>
      <c r="B560" s="1" t="s">
        <v>157</v>
      </c>
      <c r="C560" s="1" t="s">
        <v>2902</v>
      </c>
      <c r="D560" s="2">
        <v>-89235.36</v>
      </c>
      <c r="E560" s="2">
        <v>0</v>
      </c>
      <c r="F560" s="2">
        <v>1634631.73</v>
      </c>
      <c r="G560" s="2">
        <v>0</v>
      </c>
      <c r="H560" s="2">
        <f t="shared" si="11"/>
        <v>1545396.37</v>
      </c>
    </row>
    <row r="561" spans="1:8">
      <c r="A561" s="1" t="s">
        <v>2914</v>
      </c>
      <c r="B561" s="1" t="s">
        <v>158</v>
      </c>
      <c r="C561" s="1" t="s">
        <v>2902</v>
      </c>
      <c r="D561" s="2">
        <v>5264543.5</v>
      </c>
      <c r="F561" s="2">
        <v>9821366.17</v>
      </c>
      <c r="H561" s="2">
        <f t="shared" si="11"/>
        <v>15085909.67</v>
      </c>
    </row>
    <row r="562" spans="1:8">
      <c r="A562" s="1" t="s">
        <v>2914</v>
      </c>
      <c r="B562" s="1" t="s">
        <v>159</v>
      </c>
      <c r="C562" s="1" t="s">
        <v>2902</v>
      </c>
      <c r="D562" s="2">
        <v>8268741.3</v>
      </c>
      <c r="E562" s="2">
        <v>0</v>
      </c>
      <c r="F562" s="2">
        <v>7414261.16</v>
      </c>
      <c r="G562" s="2">
        <v>0</v>
      </c>
      <c r="H562" s="2">
        <f t="shared" si="11"/>
        <v>15683002.46</v>
      </c>
    </row>
    <row r="563" spans="1:8">
      <c r="A563" s="1" t="s">
        <v>2914</v>
      </c>
      <c r="B563" s="1" t="s">
        <v>148</v>
      </c>
      <c r="C563" s="1" t="s">
        <v>2900</v>
      </c>
      <c r="H563" s="2">
        <f t="shared" si="11"/>
        <v>0</v>
      </c>
    </row>
    <row r="564" spans="1:8">
      <c r="A564" s="1" t="s">
        <v>2914</v>
      </c>
      <c r="B564" s="1" t="s">
        <v>149</v>
      </c>
      <c r="C564" s="1" t="s">
        <v>2900</v>
      </c>
      <c r="D564" s="2">
        <v>0</v>
      </c>
      <c r="E564" s="2">
        <v>0</v>
      </c>
      <c r="F564" s="2">
        <v>207934.2</v>
      </c>
      <c r="G564" s="2">
        <v>0</v>
      </c>
      <c r="H564" s="2">
        <f t="shared" si="11"/>
        <v>207934.2</v>
      </c>
    </row>
    <row r="565" spans="1:8">
      <c r="A565" s="1" t="s">
        <v>2914</v>
      </c>
      <c r="B565" s="1" t="s">
        <v>150</v>
      </c>
      <c r="C565" s="1" t="s">
        <v>2900</v>
      </c>
      <c r="D565" s="2">
        <v>0</v>
      </c>
      <c r="E565" s="2">
        <v>0</v>
      </c>
      <c r="F565" s="2">
        <v>3639502.48</v>
      </c>
      <c r="G565" s="2">
        <v>0</v>
      </c>
      <c r="H565" s="2">
        <f t="shared" si="11"/>
        <v>3639502.48</v>
      </c>
    </row>
    <row r="566" spans="1:8">
      <c r="A566" s="1" t="s">
        <v>2914</v>
      </c>
      <c r="B566" s="1" t="s">
        <v>151</v>
      </c>
      <c r="C566" s="1" t="s">
        <v>2900</v>
      </c>
      <c r="D566" s="2">
        <v>0</v>
      </c>
      <c r="E566" s="2">
        <v>0</v>
      </c>
      <c r="F566" s="2">
        <v>1008846.95</v>
      </c>
      <c r="G566" s="2">
        <v>0</v>
      </c>
      <c r="H566" s="2">
        <f t="shared" si="11"/>
        <v>1008846.95</v>
      </c>
    </row>
    <row r="567" spans="1:8">
      <c r="A567" s="1" t="s">
        <v>2914</v>
      </c>
      <c r="B567" s="1" t="s">
        <v>152</v>
      </c>
      <c r="C567" s="1" t="s">
        <v>2900</v>
      </c>
      <c r="D567" s="2">
        <v>0</v>
      </c>
      <c r="E567" s="2">
        <v>0</v>
      </c>
      <c r="F567" s="2">
        <v>1006059.66</v>
      </c>
      <c r="G567" s="2">
        <v>0</v>
      </c>
      <c r="H567" s="2">
        <f t="shared" si="11"/>
        <v>1006059.66</v>
      </c>
    </row>
    <row r="568" spans="1:8">
      <c r="A568" s="1" t="s">
        <v>2914</v>
      </c>
      <c r="B568" s="1" t="s">
        <v>153</v>
      </c>
      <c r="C568" s="1" t="s">
        <v>2900</v>
      </c>
      <c r="D568" s="2">
        <v>0</v>
      </c>
      <c r="E568" s="2">
        <v>0</v>
      </c>
      <c r="F568" s="2">
        <v>399625.92</v>
      </c>
      <c r="G568" s="2">
        <v>0</v>
      </c>
      <c r="H568" s="2">
        <f t="shared" si="11"/>
        <v>399625.92</v>
      </c>
    </row>
    <row r="569" spans="1:8">
      <c r="A569" s="1" t="s">
        <v>2914</v>
      </c>
      <c r="B569" s="1" t="s">
        <v>154</v>
      </c>
      <c r="C569" s="1" t="s">
        <v>2900</v>
      </c>
      <c r="F569" s="2">
        <v>873067.43</v>
      </c>
      <c r="H569" s="2">
        <f t="shared" si="11"/>
        <v>873067.43</v>
      </c>
    </row>
    <row r="570" spans="1:8">
      <c r="A570" s="1" t="s">
        <v>2914</v>
      </c>
      <c r="B570" s="1" t="s">
        <v>155</v>
      </c>
      <c r="C570" s="1" t="s">
        <v>2900</v>
      </c>
      <c r="F570" s="2">
        <v>725395.03</v>
      </c>
      <c r="H570" s="2">
        <f t="shared" si="11"/>
        <v>725395.03</v>
      </c>
    </row>
    <row r="571" spans="1:8">
      <c r="A571" s="1" t="s">
        <v>2914</v>
      </c>
      <c r="B571" s="1" t="s">
        <v>156</v>
      </c>
      <c r="C571" s="1" t="s">
        <v>2900</v>
      </c>
      <c r="F571" s="2">
        <v>796520.41</v>
      </c>
      <c r="H571" s="2">
        <f t="shared" si="11"/>
        <v>796520.41</v>
      </c>
    </row>
    <row r="572" spans="1:8">
      <c r="A572" s="1" t="s">
        <v>2914</v>
      </c>
      <c r="B572" s="1" t="s">
        <v>157</v>
      </c>
      <c r="C572" s="1" t="s">
        <v>2900</v>
      </c>
      <c r="D572" s="2">
        <v>0</v>
      </c>
      <c r="E572" s="2">
        <v>0</v>
      </c>
      <c r="F572" s="2">
        <v>377417.92</v>
      </c>
      <c r="G572" s="2">
        <v>0</v>
      </c>
      <c r="H572" s="2">
        <f t="shared" si="11"/>
        <v>377417.92</v>
      </c>
    </row>
    <row r="573" spans="1:8">
      <c r="A573" s="1" t="s">
        <v>2914</v>
      </c>
      <c r="B573" s="1" t="s">
        <v>158</v>
      </c>
      <c r="C573" s="1" t="s">
        <v>2900</v>
      </c>
      <c r="F573" s="2">
        <v>1891382.8</v>
      </c>
      <c r="H573" s="2">
        <f t="shared" si="11"/>
        <v>1891382.8</v>
      </c>
    </row>
    <row r="574" spans="1:8">
      <c r="A574" s="1" t="s">
        <v>2914</v>
      </c>
      <c r="B574" s="1" t="s">
        <v>159</v>
      </c>
      <c r="C574" s="1" t="s">
        <v>2900</v>
      </c>
      <c r="D574" s="2">
        <v>0</v>
      </c>
      <c r="E574" s="2">
        <v>0</v>
      </c>
      <c r="F574" s="2">
        <v>501855.05</v>
      </c>
      <c r="G574" s="2">
        <v>0</v>
      </c>
      <c r="H574" s="2">
        <f t="shared" si="11"/>
        <v>501855.05</v>
      </c>
    </row>
    <row r="575" spans="1:8">
      <c r="A575" s="1" t="s">
        <v>2915</v>
      </c>
      <c r="B575" s="1" t="s">
        <v>148</v>
      </c>
      <c r="C575" s="1" t="s">
        <v>2892</v>
      </c>
      <c r="D575" s="2">
        <v>35052.79</v>
      </c>
      <c r="E575" s="2">
        <v>0</v>
      </c>
      <c r="F575" s="2">
        <v>29867.42</v>
      </c>
      <c r="G575" s="2">
        <v>5.65</v>
      </c>
      <c r="H575" s="2">
        <f t="shared" si="11"/>
        <v>64925.86</v>
      </c>
    </row>
    <row r="576" spans="1:8">
      <c r="A576" s="1" t="s">
        <v>2915</v>
      </c>
      <c r="B576" s="1" t="s">
        <v>149</v>
      </c>
      <c r="C576" s="1" t="s">
        <v>2892</v>
      </c>
      <c r="D576" s="2">
        <v>39220.01</v>
      </c>
      <c r="E576" s="2">
        <v>0</v>
      </c>
      <c r="F576" s="2">
        <v>21237.34</v>
      </c>
      <c r="G576" s="2">
        <v>21795.95</v>
      </c>
      <c r="H576" s="2">
        <f t="shared" si="11"/>
        <v>82253.3</v>
      </c>
    </row>
    <row r="577" spans="1:8">
      <c r="A577" s="1" t="s">
        <v>2915</v>
      </c>
      <c r="B577" s="1" t="s">
        <v>150</v>
      </c>
      <c r="C577" s="1" t="s">
        <v>2892</v>
      </c>
      <c r="D577" s="2">
        <v>32728.83</v>
      </c>
      <c r="E577" s="2">
        <v>0</v>
      </c>
      <c r="F577" s="2">
        <v>227704.76</v>
      </c>
      <c r="G577" s="2">
        <v>1794.7</v>
      </c>
      <c r="H577" s="2">
        <f t="shared" si="11"/>
        <v>262228.29</v>
      </c>
    </row>
    <row r="578" spans="1:8">
      <c r="A578" s="1" t="s">
        <v>2915</v>
      </c>
      <c r="B578" s="1" t="s">
        <v>151</v>
      </c>
      <c r="C578" s="1" t="s">
        <v>2892</v>
      </c>
      <c r="D578" s="2">
        <v>57396.55</v>
      </c>
      <c r="E578" s="2">
        <v>0</v>
      </c>
      <c r="F578" s="2">
        <v>888413.88</v>
      </c>
      <c r="G578" s="2">
        <v>55733.58</v>
      </c>
      <c r="H578" s="2">
        <f t="shared" si="11"/>
        <v>1001544.01</v>
      </c>
    </row>
    <row r="579" spans="1:8">
      <c r="A579" s="1" t="s">
        <v>2915</v>
      </c>
      <c r="B579" s="1" t="s">
        <v>152</v>
      </c>
      <c r="C579" s="1" t="s">
        <v>2892</v>
      </c>
      <c r="D579" s="2">
        <v>69054.44</v>
      </c>
      <c r="E579" s="2">
        <v>0</v>
      </c>
      <c r="F579" s="2">
        <v>950381.95</v>
      </c>
      <c r="G579" s="2">
        <v>85.4</v>
      </c>
      <c r="H579" s="2">
        <f t="shared" si="11"/>
        <v>1019521.79</v>
      </c>
    </row>
    <row r="580" spans="1:8">
      <c r="A580" s="1" t="s">
        <v>2915</v>
      </c>
      <c r="B580" s="1" t="s">
        <v>153</v>
      </c>
      <c r="C580" s="1" t="s">
        <v>2892</v>
      </c>
      <c r="D580" s="2">
        <v>93595.81</v>
      </c>
      <c r="E580" s="2">
        <v>0</v>
      </c>
      <c r="F580" s="2">
        <v>2013047.59</v>
      </c>
      <c r="G580" s="2">
        <v>0</v>
      </c>
      <c r="H580" s="2">
        <f t="shared" si="11"/>
        <v>2106643.4</v>
      </c>
    </row>
    <row r="581" spans="1:8">
      <c r="A581" s="1" t="s">
        <v>2915</v>
      </c>
      <c r="B581" s="1" t="s">
        <v>154</v>
      </c>
      <c r="C581" s="1" t="s">
        <v>2892</v>
      </c>
      <c r="D581" s="2">
        <v>232545.61</v>
      </c>
      <c r="E581" s="2">
        <v>3.48</v>
      </c>
      <c r="F581" s="2">
        <v>972708.38</v>
      </c>
      <c r="H581" s="2">
        <f t="shared" si="11"/>
        <v>1205257.47</v>
      </c>
    </row>
    <row r="582" spans="1:8">
      <c r="A582" s="1" t="s">
        <v>2915</v>
      </c>
      <c r="B582" s="1" t="s">
        <v>155</v>
      </c>
      <c r="C582" s="1" t="s">
        <v>2892</v>
      </c>
      <c r="D582" s="2">
        <v>165115.09</v>
      </c>
      <c r="F582" s="2">
        <v>2039484.92</v>
      </c>
      <c r="G582" s="2">
        <v>499.8</v>
      </c>
      <c r="H582" s="2">
        <f t="shared" si="11"/>
        <v>2205099.81</v>
      </c>
    </row>
    <row r="583" spans="1:8">
      <c r="A583" s="1" t="s">
        <v>2915</v>
      </c>
      <c r="B583" s="1" t="s">
        <v>156</v>
      </c>
      <c r="C583" s="1" t="s">
        <v>2892</v>
      </c>
      <c r="D583" s="2">
        <v>59314.98</v>
      </c>
      <c r="F583" s="2">
        <v>670874.96</v>
      </c>
      <c r="G583" s="2">
        <v>114012.47</v>
      </c>
      <c r="H583" s="2">
        <f t="shared" si="11"/>
        <v>844202.41</v>
      </c>
    </row>
    <row r="584" spans="1:8">
      <c r="A584" s="1" t="s">
        <v>2915</v>
      </c>
      <c r="B584" s="1" t="s">
        <v>157</v>
      </c>
      <c r="C584" s="1" t="s">
        <v>2892</v>
      </c>
      <c r="D584" s="2">
        <v>129234.05</v>
      </c>
      <c r="E584" s="2">
        <v>1095</v>
      </c>
      <c r="F584" s="2">
        <v>491815.95</v>
      </c>
      <c r="G584" s="2">
        <v>48919.11</v>
      </c>
      <c r="H584" s="2">
        <f t="shared" si="11"/>
        <v>671064.11</v>
      </c>
    </row>
    <row r="585" spans="1:8">
      <c r="A585" s="1" t="s">
        <v>2915</v>
      </c>
      <c r="B585" s="1" t="s">
        <v>158</v>
      </c>
      <c r="C585" s="1" t="s">
        <v>2892</v>
      </c>
      <c r="D585" s="2">
        <v>94330.22</v>
      </c>
      <c r="F585" s="2">
        <v>1338404.5</v>
      </c>
      <c r="G585" s="2">
        <v>9925.4312</v>
      </c>
      <c r="H585" s="2">
        <f t="shared" si="11"/>
        <v>1442660.1512</v>
      </c>
    </row>
    <row r="586" spans="1:8">
      <c r="A586" s="1" t="s">
        <v>2915</v>
      </c>
      <c r="B586" s="1" t="s">
        <v>159</v>
      </c>
      <c r="C586" s="1" t="s">
        <v>2892</v>
      </c>
      <c r="D586" s="2">
        <v>68640.51</v>
      </c>
      <c r="E586" s="2">
        <v>0</v>
      </c>
      <c r="F586" s="2">
        <v>537104.04</v>
      </c>
      <c r="G586" s="2">
        <v>6097.6</v>
      </c>
      <c r="H586" s="2">
        <f t="shared" si="11"/>
        <v>611842.15</v>
      </c>
    </row>
    <row r="587" spans="1:8">
      <c r="A587" s="1" t="s">
        <v>2915</v>
      </c>
      <c r="B587" s="1" t="s">
        <v>148</v>
      </c>
      <c r="C587" s="1" t="s">
        <v>2899</v>
      </c>
      <c r="D587" s="2">
        <v>23717.12</v>
      </c>
      <c r="E587" s="2">
        <v>0</v>
      </c>
      <c r="F587" s="2">
        <v>23311.57</v>
      </c>
      <c r="G587" s="2">
        <v>3.6</v>
      </c>
      <c r="H587" s="2">
        <f t="shared" si="11"/>
        <v>47032.29</v>
      </c>
    </row>
    <row r="588" spans="1:8">
      <c r="A588" s="1" t="s">
        <v>2915</v>
      </c>
      <c r="B588" s="1" t="s">
        <v>149</v>
      </c>
      <c r="C588" s="1" t="s">
        <v>2899</v>
      </c>
      <c r="D588" s="2">
        <v>26894.63</v>
      </c>
      <c r="E588" s="2">
        <v>0</v>
      </c>
      <c r="F588" s="2">
        <v>16423.49</v>
      </c>
      <c r="G588" s="2">
        <v>21465.3</v>
      </c>
      <c r="H588" s="2">
        <f t="shared" si="11"/>
        <v>64783.42</v>
      </c>
    </row>
    <row r="589" spans="1:8">
      <c r="A589" s="1" t="s">
        <v>2915</v>
      </c>
      <c r="B589" s="1" t="s">
        <v>150</v>
      </c>
      <c r="C589" s="1" t="s">
        <v>2899</v>
      </c>
      <c r="D589" s="2">
        <v>22802.41</v>
      </c>
      <c r="E589" s="2">
        <v>0</v>
      </c>
      <c r="F589" s="2">
        <v>175023.84</v>
      </c>
      <c r="G589" s="2">
        <v>1440.04</v>
      </c>
      <c r="H589" s="2">
        <f t="shared" si="11"/>
        <v>199266.29</v>
      </c>
    </row>
    <row r="590" spans="1:8">
      <c r="A590" s="1" t="s">
        <v>2915</v>
      </c>
      <c r="B590" s="1" t="s">
        <v>151</v>
      </c>
      <c r="C590" s="1" t="s">
        <v>2899</v>
      </c>
      <c r="D590" s="2">
        <v>40723.87</v>
      </c>
      <c r="E590" s="2">
        <v>0</v>
      </c>
      <c r="F590" s="2">
        <v>765466</v>
      </c>
      <c r="G590" s="2">
        <v>54158.22</v>
      </c>
      <c r="H590" s="2">
        <f t="shared" si="11"/>
        <v>860348.09</v>
      </c>
    </row>
    <row r="591" spans="1:8">
      <c r="A591" s="1" t="s">
        <v>2915</v>
      </c>
      <c r="B591" s="1" t="s">
        <v>152</v>
      </c>
      <c r="C591" s="1" t="s">
        <v>2899</v>
      </c>
      <c r="D591" s="2">
        <v>49778</v>
      </c>
      <c r="E591" s="2">
        <v>0</v>
      </c>
      <c r="F591" s="2">
        <v>855528.46</v>
      </c>
      <c r="G591" s="2">
        <v>27.6</v>
      </c>
      <c r="H591" s="2">
        <f t="shared" si="11"/>
        <v>905334.06</v>
      </c>
    </row>
    <row r="592" spans="1:8">
      <c r="A592" s="1" t="s">
        <v>2915</v>
      </c>
      <c r="B592" s="1" t="s">
        <v>153</v>
      </c>
      <c r="C592" s="1" t="s">
        <v>2899</v>
      </c>
      <c r="D592" s="2">
        <v>79967.64</v>
      </c>
      <c r="E592" s="2">
        <v>0</v>
      </c>
      <c r="F592" s="2">
        <v>1940155.93</v>
      </c>
      <c r="G592" s="2">
        <v>0</v>
      </c>
      <c r="H592" s="2">
        <f t="shared" si="11"/>
        <v>2020123.57</v>
      </c>
    </row>
    <row r="593" spans="1:8">
      <c r="A593" s="1" t="s">
        <v>2915</v>
      </c>
      <c r="B593" s="1" t="s">
        <v>154</v>
      </c>
      <c r="C593" s="1" t="s">
        <v>2899</v>
      </c>
      <c r="D593" s="2">
        <v>213972.3</v>
      </c>
      <c r="E593" s="2">
        <v>2.55</v>
      </c>
      <c r="F593" s="2">
        <v>889003.87</v>
      </c>
      <c r="H593" s="2">
        <f t="shared" si="11"/>
        <v>1102978.72</v>
      </c>
    </row>
    <row r="594" spans="1:8">
      <c r="A594" s="1" t="s">
        <v>2915</v>
      </c>
      <c r="B594" s="1" t="s">
        <v>155</v>
      </c>
      <c r="C594" s="1" t="s">
        <v>2899</v>
      </c>
      <c r="D594" s="2">
        <v>147146.73</v>
      </c>
      <c r="F594" s="2">
        <v>1984089.32</v>
      </c>
      <c r="G594" s="2">
        <v>355</v>
      </c>
      <c r="H594" s="2">
        <f t="shared" si="11"/>
        <v>2131591.05</v>
      </c>
    </row>
    <row r="595" spans="1:8">
      <c r="A595" s="1" t="s">
        <v>2915</v>
      </c>
      <c r="B595" s="1" t="s">
        <v>156</v>
      </c>
      <c r="C595" s="1" t="s">
        <v>2899</v>
      </c>
      <c r="D595" s="2">
        <v>49434.1746</v>
      </c>
      <c r="F595" s="2">
        <v>604737.66</v>
      </c>
      <c r="G595" s="2">
        <v>87656</v>
      </c>
      <c r="H595" s="2">
        <f t="shared" si="11"/>
        <v>741827.8346</v>
      </c>
    </row>
    <row r="596" spans="1:8">
      <c r="A596" s="1" t="s">
        <v>2915</v>
      </c>
      <c r="B596" s="1" t="s">
        <v>157</v>
      </c>
      <c r="C596" s="1" t="s">
        <v>2899</v>
      </c>
      <c r="D596" s="2">
        <v>117432.57</v>
      </c>
      <c r="E596" s="2">
        <v>689.25</v>
      </c>
      <c r="F596" s="2">
        <v>393726.2316</v>
      </c>
      <c r="G596" s="2">
        <v>36037.02</v>
      </c>
      <c r="H596" s="2">
        <f t="shared" si="11"/>
        <v>547885.0716</v>
      </c>
    </row>
    <row r="597" spans="1:8">
      <c r="A597" s="1" t="s">
        <v>2915</v>
      </c>
      <c r="B597" s="1" t="s">
        <v>158</v>
      </c>
      <c r="C597" s="1" t="s">
        <v>2899</v>
      </c>
      <c r="D597" s="2">
        <v>81787.0712</v>
      </c>
      <c r="F597" s="2">
        <v>1187369.9786</v>
      </c>
      <c r="G597" s="2">
        <v>9130</v>
      </c>
      <c r="H597" s="2">
        <f t="shared" si="11"/>
        <v>1278287.0498</v>
      </c>
    </row>
    <row r="598" spans="1:8">
      <c r="A598" s="1" t="s">
        <v>2915</v>
      </c>
      <c r="B598" s="1" t="s">
        <v>159</v>
      </c>
      <c r="C598" s="1" t="s">
        <v>2899</v>
      </c>
      <c r="D598" s="2">
        <v>57829</v>
      </c>
      <c r="E598" s="2">
        <v>0</v>
      </c>
      <c r="F598" s="2">
        <v>423695.52</v>
      </c>
      <c r="G598" s="2">
        <v>5920</v>
      </c>
      <c r="H598" s="2">
        <f t="shared" si="11"/>
        <v>487444.52</v>
      </c>
    </row>
    <row r="599" spans="1:8">
      <c r="A599" s="1" t="s">
        <v>2915</v>
      </c>
      <c r="B599" s="1" t="s">
        <v>148</v>
      </c>
      <c r="C599" s="1" t="s">
        <v>2896</v>
      </c>
      <c r="D599" s="2">
        <v>211189.85</v>
      </c>
      <c r="E599" s="2">
        <v>0</v>
      </c>
      <c r="F599" s="2">
        <v>0</v>
      </c>
      <c r="G599" s="2">
        <v>-0.19</v>
      </c>
      <c r="H599" s="2">
        <f t="shared" si="11"/>
        <v>211189.66</v>
      </c>
    </row>
    <row r="600" spans="1:8">
      <c r="A600" s="1" t="s">
        <v>2915</v>
      </c>
      <c r="B600" s="1" t="s">
        <v>149</v>
      </c>
      <c r="C600" s="1" t="s">
        <v>2896</v>
      </c>
      <c r="D600" s="2">
        <v>214586.71</v>
      </c>
      <c r="E600" s="2">
        <v>0</v>
      </c>
      <c r="F600" s="2">
        <v>0</v>
      </c>
      <c r="G600" s="2">
        <v>0</v>
      </c>
      <c r="H600" s="2">
        <f t="shared" si="11"/>
        <v>214586.71</v>
      </c>
    </row>
    <row r="601" spans="1:8">
      <c r="A601" s="1" t="s">
        <v>2915</v>
      </c>
      <c r="B601" s="1" t="s">
        <v>150</v>
      </c>
      <c r="C601" s="1" t="s">
        <v>2896</v>
      </c>
      <c r="D601" s="2">
        <v>683253.91</v>
      </c>
      <c r="E601" s="2">
        <v>0</v>
      </c>
      <c r="F601" s="2">
        <v>0</v>
      </c>
      <c r="G601" s="2">
        <v>0</v>
      </c>
      <c r="H601" s="2">
        <f t="shared" ref="H601:H664" si="12">SUM(D601:G601)</f>
        <v>683253.91</v>
      </c>
    </row>
    <row r="602" spans="1:8">
      <c r="A602" s="1" t="s">
        <v>2915</v>
      </c>
      <c r="B602" s="1" t="s">
        <v>151</v>
      </c>
      <c r="C602" s="1" t="s">
        <v>2896</v>
      </c>
      <c r="D602" s="2">
        <v>573548.56</v>
      </c>
      <c r="E602" s="2">
        <v>0</v>
      </c>
      <c r="F602" s="2">
        <v>10462.32</v>
      </c>
      <c r="G602" s="2">
        <v>0</v>
      </c>
      <c r="H602" s="2">
        <f t="shared" si="12"/>
        <v>584010.88</v>
      </c>
    </row>
    <row r="603" spans="1:8">
      <c r="A603" s="1" t="s">
        <v>2915</v>
      </c>
      <c r="B603" s="1" t="s">
        <v>152</v>
      </c>
      <c r="C603" s="1" t="s">
        <v>2896</v>
      </c>
      <c r="D603" s="2">
        <v>1387503.12</v>
      </c>
      <c r="E603" s="2">
        <v>0</v>
      </c>
      <c r="F603" s="2">
        <v>20619.81</v>
      </c>
      <c r="G603" s="2">
        <v>0</v>
      </c>
      <c r="H603" s="2">
        <f t="shared" si="12"/>
        <v>1408122.93</v>
      </c>
    </row>
    <row r="604" spans="1:8">
      <c r="A604" s="1" t="s">
        <v>2915</v>
      </c>
      <c r="B604" s="1" t="s">
        <v>153</v>
      </c>
      <c r="C604" s="1" t="s">
        <v>2896</v>
      </c>
      <c r="D604" s="2">
        <v>2417050.71</v>
      </c>
      <c r="E604" s="2">
        <v>0</v>
      </c>
      <c r="F604" s="2">
        <v>6901.79</v>
      </c>
      <c r="G604" s="2">
        <v>0</v>
      </c>
      <c r="H604" s="2">
        <f t="shared" si="12"/>
        <v>2423952.5</v>
      </c>
    </row>
    <row r="605" spans="1:8">
      <c r="A605" s="1" t="s">
        <v>2915</v>
      </c>
      <c r="B605" s="1" t="s">
        <v>154</v>
      </c>
      <c r="C605" s="1" t="s">
        <v>2896</v>
      </c>
      <c r="D605" s="2">
        <v>1313410.29</v>
      </c>
      <c r="F605" s="2">
        <v>914.15</v>
      </c>
      <c r="H605" s="2">
        <f t="shared" si="12"/>
        <v>1314324.44</v>
      </c>
    </row>
    <row r="606" spans="1:8">
      <c r="A606" s="1" t="s">
        <v>2915</v>
      </c>
      <c r="B606" s="1" t="s">
        <v>155</v>
      </c>
      <c r="C606" s="1" t="s">
        <v>2896</v>
      </c>
      <c r="D606" s="2">
        <v>1412200.18</v>
      </c>
      <c r="F606" s="2">
        <v>36981.13</v>
      </c>
      <c r="H606" s="2">
        <f t="shared" si="12"/>
        <v>1449181.31</v>
      </c>
    </row>
    <row r="607" spans="1:8">
      <c r="A607" s="1" t="s">
        <v>2915</v>
      </c>
      <c r="B607" s="1" t="s">
        <v>156</v>
      </c>
      <c r="C607" s="1" t="s">
        <v>2896</v>
      </c>
      <c r="D607" s="2">
        <v>1228329.79</v>
      </c>
      <c r="F607" s="2">
        <v>37674.53</v>
      </c>
      <c r="H607" s="2">
        <f t="shared" si="12"/>
        <v>1266004.32</v>
      </c>
    </row>
    <row r="608" spans="1:8">
      <c r="A608" s="1" t="s">
        <v>2915</v>
      </c>
      <c r="B608" s="1" t="s">
        <v>157</v>
      </c>
      <c r="C608" s="1" t="s">
        <v>2896</v>
      </c>
      <c r="D608" s="2">
        <v>1072030.19</v>
      </c>
      <c r="E608" s="2">
        <v>0</v>
      </c>
      <c r="F608" s="2">
        <v>19235.88</v>
      </c>
      <c r="G608" s="2">
        <v>0</v>
      </c>
      <c r="H608" s="2">
        <f t="shared" si="12"/>
        <v>1091266.07</v>
      </c>
    </row>
    <row r="609" spans="1:8">
      <c r="A609" s="1" t="s">
        <v>2915</v>
      </c>
      <c r="B609" s="1" t="s">
        <v>158</v>
      </c>
      <c r="C609" s="1" t="s">
        <v>2896</v>
      </c>
      <c r="D609" s="2">
        <v>1920338.59</v>
      </c>
      <c r="F609" s="2">
        <v>1389841.03</v>
      </c>
      <c r="H609" s="2">
        <f t="shared" si="12"/>
        <v>3310179.62</v>
      </c>
    </row>
    <row r="610" spans="1:8">
      <c r="A610" s="1" t="s">
        <v>2915</v>
      </c>
      <c r="B610" s="1" t="s">
        <v>159</v>
      </c>
      <c r="C610" s="1" t="s">
        <v>2896</v>
      </c>
      <c r="D610" s="2">
        <v>1644389.38</v>
      </c>
      <c r="E610" s="2">
        <v>0</v>
      </c>
      <c r="F610" s="2">
        <v>376287.33</v>
      </c>
      <c r="G610" s="2">
        <v>0</v>
      </c>
      <c r="H610" s="2">
        <f t="shared" si="12"/>
        <v>2020676.71</v>
      </c>
    </row>
    <row r="611" spans="1:8">
      <c r="A611" s="1" t="s">
        <v>2915</v>
      </c>
      <c r="B611" s="1" t="s">
        <v>148</v>
      </c>
      <c r="C611" s="1" t="s">
        <v>2893</v>
      </c>
      <c r="D611" s="2">
        <v>173073.02</v>
      </c>
      <c r="E611" s="2">
        <v>0</v>
      </c>
      <c r="F611" s="2">
        <v>0</v>
      </c>
      <c r="G611" s="2">
        <v>0</v>
      </c>
      <c r="H611" s="2">
        <f t="shared" si="12"/>
        <v>173073.02</v>
      </c>
    </row>
    <row r="612" spans="1:8">
      <c r="A612" s="1" t="s">
        <v>2915</v>
      </c>
      <c r="B612" s="1" t="s">
        <v>149</v>
      </c>
      <c r="C612" s="1" t="s">
        <v>2893</v>
      </c>
      <c r="D612" s="2">
        <v>154061.09</v>
      </c>
      <c r="E612" s="2">
        <v>0</v>
      </c>
      <c r="F612" s="2">
        <v>0</v>
      </c>
      <c r="G612" s="2">
        <v>0</v>
      </c>
      <c r="H612" s="2">
        <f t="shared" si="12"/>
        <v>154061.09</v>
      </c>
    </row>
    <row r="613" spans="1:8">
      <c r="A613" s="1" t="s">
        <v>2915</v>
      </c>
      <c r="B613" s="1" t="s">
        <v>150</v>
      </c>
      <c r="C613" s="1" t="s">
        <v>2893</v>
      </c>
      <c r="D613" s="2">
        <v>497938.6</v>
      </c>
      <c r="E613" s="2">
        <v>0</v>
      </c>
      <c r="F613" s="2">
        <v>0</v>
      </c>
      <c r="G613" s="2">
        <v>0</v>
      </c>
      <c r="H613" s="2">
        <f t="shared" si="12"/>
        <v>497938.6</v>
      </c>
    </row>
    <row r="614" spans="1:8">
      <c r="A614" s="1" t="s">
        <v>2915</v>
      </c>
      <c r="B614" s="1" t="s">
        <v>151</v>
      </c>
      <c r="C614" s="1" t="s">
        <v>2893</v>
      </c>
      <c r="D614" s="2">
        <v>387814.11</v>
      </c>
      <c r="E614" s="2">
        <v>0</v>
      </c>
      <c r="F614" s="2">
        <v>8026.43</v>
      </c>
      <c r="G614" s="2">
        <v>0</v>
      </c>
      <c r="H614" s="2">
        <f t="shared" si="12"/>
        <v>395840.54</v>
      </c>
    </row>
    <row r="615" spans="1:8">
      <c r="A615" s="1" t="s">
        <v>2915</v>
      </c>
      <c r="B615" s="1" t="s">
        <v>152</v>
      </c>
      <c r="C615" s="1" t="s">
        <v>2893</v>
      </c>
      <c r="D615" s="2">
        <v>1124111.77</v>
      </c>
      <c r="E615" s="2">
        <v>0</v>
      </c>
      <c r="F615" s="2">
        <v>14891.97</v>
      </c>
      <c r="G615" s="2">
        <v>0</v>
      </c>
      <c r="H615" s="2">
        <f t="shared" si="12"/>
        <v>1139003.74</v>
      </c>
    </row>
    <row r="616" spans="1:8">
      <c r="A616" s="1" t="s">
        <v>2915</v>
      </c>
      <c r="B616" s="1" t="s">
        <v>153</v>
      </c>
      <c r="C616" s="1" t="s">
        <v>2893</v>
      </c>
      <c r="D616" s="2">
        <v>2095109.71</v>
      </c>
      <c r="E616" s="2">
        <v>0</v>
      </c>
      <c r="F616" s="2">
        <v>3109.05</v>
      </c>
      <c r="G616" s="2">
        <v>0</v>
      </c>
      <c r="H616" s="2">
        <f t="shared" si="12"/>
        <v>2098218.76</v>
      </c>
    </row>
    <row r="617" spans="1:8">
      <c r="A617" s="1" t="s">
        <v>2915</v>
      </c>
      <c r="B617" s="1" t="s">
        <v>154</v>
      </c>
      <c r="C617" s="1" t="s">
        <v>2893</v>
      </c>
      <c r="D617" s="2">
        <v>1065857.71</v>
      </c>
      <c r="F617" s="2">
        <v>520.9</v>
      </c>
      <c r="H617" s="2">
        <f t="shared" si="12"/>
        <v>1066378.61</v>
      </c>
    </row>
    <row r="618" spans="1:8">
      <c r="A618" s="1" t="s">
        <v>2915</v>
      </c>
      <c r="B618" s="1" t="s">
        <v>155</v>
      </c>
      <c r="C618" s="1" t="s">
        <v>2893</v>
      </c>
      <c r="D618" s="2">
        <v>1170828.42</v>
      </c>
      <c r="F618" s="2">
        <v>27767.45</v>
      </c>
      <c r="H618" s="2">
        <f t="shared" si="12"/>
        <v>1198595.87</v>
      </c>
    </row>
    <row r="619" spans="1:8">
      <c r="A619" s="1" t="s">
        <v>2915</v>
      </c>
      <c r="B619" s="1" t="s">
        <v>156</v>
      </c>
      <c r="C619" s="1" t="s">
        <v>2893</v>
      </c>
      <c r="D619" s="2">
        <v>973327.03</v>
      </c>
      <c r="F619" s="2">
        <v>30645.61</v>
      </c>
      <c r="H619" s="2">
        <f t="shared" si="12"/>
        <v>1003972.64</v>
      </c>
    </row>
    <row r="620" spans="1:8">
      <c r="A620" s="1" t="s">
        <v>2915</v>
      </c>
      <c r="B620" s="1" t="s">
        <v>157</v>
      </c>
      <c r="C620" s="1" t="s">
        <v>2893</v>
      </c>
      <c r="D620" s="2">
        <v>767079.24</v>
      </c>
      <c r="E620" s="2">
        <v>0</v>
      </c>
      <c r="F620" s="2">
        <v>20585.24</v>
      </c>
      <c r="G620" s="2">
        <v>0</v>
      </c>
      <c r="H620" s="2">
        <f t="shared" si="12"/>
        <v>787664.48</v>
      </c>
    </row>
    <row r="621" spans="1:8">
      <c r="A621" s="1" t="s">
        <v>2915</v>
      </c>
      <c r="B621" s="1" t="s">
        <v>158</v>
      </c>
      <c r="C621" s="1" t="s">
        <v>2893</v>
      </c>
      <c r="D621" s="2">
        <v>1641976.07</v>
      </c>
      <c r="F621" s="2">
        <v>1384575.75</v>
      </c>
      <c r="H621" s="2">
        <f t="shared" si="12"/>
        <v>3026551.82</v>
      </c>
    </row>
    <row r="622" spans="1:8">
      <c r="A622" s="1" t="s">
        <v>2915</v>
      </c>
      <c r="B622" s="1" t="s">
        <v>159</v>
      </c>
      <c r="C622" s="1" t="s">
        <v>2893</v>
      </c>
      <c r="D622" s="2">
        <v>1398894.98</v>
      </c>
      <c r="E622" s="2">
        <v>0</v>
      </c>
      <c r="F622" s="2">
        <v>371458.68</v>
      </c>
      <c r="G622" s="2">
        <v>0</v>
      </c>
      <c r="H622" s="2">
        <f t="shared" si="12"/>
        <v>1770353.66</v>
      </c>
    </row>
    <row r="623" spans="1:8">
      <c r="A623" s="1" t="s">
        <v>2915</v>
      </c>
      <c r="B623" s="1" t="s">
        <v>156</v>
      </c>
      <c r="C623" s="1" t="s">
        <v>2900</v>
      </c>
      <c r="F623" s="2">
        <v>942939.01</v>
      </c>
      <c r="H623" s="2">
        <f t="shared" si="12"/>
        <v>942939.01</v>
      </c>
    </row>
    <row r="624" spans="1:8">
      <c r="A624" s="1" t="s">
        <v>2915</v>
      </c>
      <c r="B624" s="1" t="s">
        <v>157</v>
      </c>
      <c r="C624" s="1" t="s">
        <v>2900</v>
      </c>
      <c r="H624" s="2">
        <f t="shared" si="12"/>
        <v>0</v>
      </c>
    </row>
    <row r="625" spans="1:8">
      <c r="A625" s="1" t="s">
        <v>2915</v>
      </c>
      <c r="B625" s="1" t="s">
        <v>158</v>
      </c>
      <c r="C625" s="1" t="s">
        <v>2900</v>
      </c>
      <c r="H625" s="2">
        <f t="shared" si="12"/>
        <v>0</v>
      </c>
    </row>
    <row r="626" spans="1:8">
      <c r="A626" s="1" t="s">
        <v>2915</v>
      </c>
      <c r="B626" s="1" t="s">
        <v>159</v>
      </c>
      <c r="C626" s="1" t="s">
        <v>2900</v>
      </c>
      <c r="D626" s="2">
        <v>0</v>
      </c>
      <c r="E626" s="2">
        <v>0</v>
      </c>
      <c r="F626" s="2">
        <v>-0.03</v>
      </c>
      <c r="G626" s="2">
        <v>0</v>
      </c>
      <c r="H626" s="2">
        <f t="shared" si="12"/>
        <v>-0.03</v>
      </c>
    </row>
    <row r="627" spans="1:8">
      <c r="A627" s="1" t="s">
        <v>2916</v>
      </c>
      <c r="B627" s="1" t="s">
        <v>159</v>
      </c>
      <c r="C627" s="1" t="s">
        <v>2900</v>
      </c>
      <c r="H627" s="2">
        <f t="shared" si="12"/>
        <v>0</v>
      </c>
    </row>
    <row r="628" spans="1:8">
      <c r="A628" s="1" t="s">
        <v>2917</v>
      </c>
      <c r="B628" s="1" t="s">
        <v>152</v>
      </c>
      <c r="C628" s="1" t="s">
        <v>2892</v>
      </c>
      <c r="H628" s="2">
        <f t="shared" si="12"/>
        <v>0</v>
      </c>
    </row>
    <row r="629" spans="1:8">
      <c r="A629" s="1" t="s">
        <v>2917</v>
      </c>
      <c r="B629" s="1" t="s">
        <v>153</v>
      </c>
      <c r="C629" s="1" t="s">
        <v>2892</v>
      </c>
      <c r="F629" s="2">
        <v>103346.96</v>
      </c>
      <c r="H629" s="2">
        <f t="shared" si="12"/>
        <v>103346.96</v>
      </c>
    </row>
    <row r="630" spans="1:8">
      <c r="A630" s="1" t="s">
        <v>2917</v>
      </c>
      <c r="B630" s="1" t="s">
        <v>154</v>
      </c>
      <c r="C630" s="1" t="s">
        <v>2892</v>
      </c>
      <c r="H630" s="2">
        <f t="shared" si="12"/>
        <v>0</v>
      </c>
    </row>
    <row r="631" spans="1:8">
      <c r="A631" s="1" t="s">
        <v>2917</v>
      </c>
      <c r="B631" s="1" t="s">
        <v>155</v>
      </c>
      <c r="C631" s="1" t="s">
        <v>2892</v>
      </c>
      <c r="H631" s="2">
        <f t="shared" si="12"/>
        <v>0</v>
      </c>
    </row>
    <row r="632" spans="1:8">
      <c r="A632" s="1" t="s">
        <v>2917</v>
      </c>
      <c r="B632" s="1" t="s">
        <v>156</v>
      </c>
      <c r="C632" s="1" t="s">
        <v>2892</v>
      </c>
      <c r="H632" s="2">
        <f t="shared" si="12"/>
        <v>0</v>
      </c>
    </row>
    <row r="633" spans="1:8">
      <c r="A633" s="1" t="s">
        <v>2917</v>
      </c>
      <c r="B633" s="1" t="s">
        <v>157</v>
      </c>
      <c r="C633" s="1" t="s">
        <v>2892</v>
      </c>
      <c r="H633" s="2">
        <f t="shared" si="12"/>
        <v>0</v>
      </c>
    </row>
    <row r="634" spans="1:8">
      <c r="A634" s="1" t="s">
        <v>2917</v>
      </c>
      <c r="B634" s="1" t="s">
        <v>158</v>
      </c>
      <c r="C634" s="1" t="s">
        <v>2892</v>
      </c>
      <c r="H634" s="2">
        <f t="shared" si="12"/>
        <v>0</v>
      </c>
    </row>
    <row r="635" spans="1:8">
      <c r="A635" s="1" t="s">
        <v>2917</v>
      </c>
      <c r="B635" s="1" t="s">
        <v>159</v>
      </c>
      <c r="C635" s="1" t="s">
        <v>2892</v>
      </c>
      <c r="H635" s="2">
        <f t="shared" si="12"/>
        <v>0</v>
      </c>
    </row>
    <row r="636" spans="1:8">
      <c r="A636" s="1" t="s">
        <v>2917</v>
      </c>
      <c r="B636" s="1" t="s">
        <v>152</v>
      </c>
      <c r="C636" s="1" t="s">
        <v>2899</v>
      </c>
      <c r="H636" s="2">
        <f t="shared" si="12"/>
        <v>0</v>
      </c>
    </row>
    <row r="637" spans="1:8">
      <c r="A637" s="1" t="s">
        <v>2917</v>
      </c>
      <c r="B637" s="1" t="s">
        <v>153</v>
      </c>
      <c r="C637" s="1" t="s">
        <v>2899</v>
      </c>
      <c r="F637" s="2">
        <v>93379.06</v>
      </c>
      <c r="H637" s="2">
        <f t="shared" si="12"/>
        <v>93379.06</v>
      </c>
    </row>
    <row r="638" spans="1:8">
      <c r="A638" s="1" t="s">
        <v>2917</v>
      </c>
      <c r="B638" s="1" t="s">
        <v>154</v>
      </c>
      <c r="C638" s="1" t="s">
        <v>2899</v>
      </c>
      <c r="H638" s="2">
        <f t="shared" si="12"/>
        <v>0</v>
      </c>
    </row>
    <row r="639" spans="1:8">
      <c r="A639" s="1" t="s">
        <v>2917</v>
      </c>
      <c r="B639" s="1" t="s">
        <v>155</v>
      </c>
      <c r="C639" s="1" t="s">
        <v>2899</v>
      </c>
      <c r="H639" s="2">
        <f t="shared" si="12"/>
        <v>0</v>
      </c>
    </row>
    <row r="640" spans="1:8">
      <c r="A640" s="1" t="s">
        <v>2917</v>
      </c>
      <c r="B640" s="1" t="s">
        <v>156</v>
      </c>
      <c r="C640" s="1" t="s">
        <v>2899</v>
      </c>
      <c r="H640" s="2">
        <f t="shared" si="12"/>
        <v>0</v>
      </c>
    </row>
    <row r="641" spans="1:8">
      <c r="A641" s="1" t="s">
        <v>2917</v>
      </c>
      <c r="B641" s="1" t="s">
        <v>157</v>
      </c>
      <c r="C641" s="1" t="s">
        <v>2899</v>
      </c>
      <c r="H641" s="2">
        <f t="shared" si="12"/>
        <v>0</v>
      </c>
    </row>
    <row r="642" spans="1:8">
      <c r="A642" s="1" t="s">
        <v>2917</v>
      </c>
      <c r="B642" s="1" t="s">
        <v>158</v>
      </c>
      <c r="C642" s="1" t="s">
        <v>2899</v>
      </c>
      <c r="H642" s="2">
        <f t="shared" si="12"/>
        <v>0</v>
      </c>
    </row>
    <row r="643" spans="1:8">
      <c r="A643" s="1" t="s">
        <v>2917</v>
      </c>
      <c r="B643" s="1" t="s">
        <v>159</v>
      </c>
      <c r="C643" s="1" t="s">
        <v>2899</v>
      </c>
      <c r="H643" s="2">
        <f t="shared" si="12"/>
        <v>0</v>
      </c>
    </row>
    <row r="644" spans="1:8">
      <c r="A644" s="1" t="s">
        <v>2918</v>
      </c>
      <c r="B644" s="1" t="s">
        <v>148</v>
      </c>
      <c r="C644" s="1" t="s">
        <v>2901</v>
      </c>
      <c r="H644" s="2">
        <f t="shared" si="12"/>
        <v>0</v>
      </c>
    </row>
    <row r="645" spans="1:8">
      <c r="A645" s="1" t="s">
        <v>2918</v>
      </c>
      <c r="B645" s="1" t="s">
        <v>149</v>
      </c>
      <c r="C645" s="1" t="s">
        <v>2901</v>
      </c>
      <c r="F645" s="2">
        <v>207934.2</v>
      </c>
      <c r="H645" s="2">
        <f t="shared" si="12"/>
        <v>207934.2</v>
      </c>
    </row>
    <row r="646" spans="1:8">
      <c r="A646" s="1" t="s">
        <v>2918</v>
      </c>
      <c r="B646" s="1" t="s">
        <v>150</v>
      </c>
      <c r="C646" s="1" t="s">
        <v>2901</v>
      </c>
      <c r="F646" s="2">
        <v>3639502.48</v>
      </c>
      <c r="H646" s="2">
        <f t="shared" si="12"/>
        <v>3639502.48</v>
      </c>
    </row>
    <row r="647" spans="1:8">
      <c r="A647" s="1" t="s">
        <v>2918</v>
      </c>
      <c r="B647" s="1" t="s">
        <v>151</v>
      </c>
      <c r="C647" s="1" t="s">
        <v>2901</v>
      </c>
      <c r="F647" s="2">
        <v>1008846.95</v>
      </c>
      <c r="H647" s="2">
        <f t="shared" si="12"/>
        <v>1008846.95</v>
      </c>
    </row>
    <row r="648" spans="1:8">
      <c r="A648" s="1" t="s">
        <v>2918</v>
      </c>
      <c r="B648" s="1" t="s">
        <v>152</v>
      </c>
      <c r="C648" s="1" t="s">
        <v>2901</v>
      </c>
      <c r="F648" s="2">
        <v>1006059.65</v>
      </c>
      <c r="H648" s="2">
        <f t="shared" si="12"/>
        <v>1006059.65</v>
      </c>
    </row>
    <row r="649" spans="1:8">
      <c r="A649" s="1" t="s">
        <v>2918</v>
      </c>
      <c r="B649" s="1" t="s">
        <v>153</v>
      </c>
      <c r="C649" s="1" t="s">
        <v>2901</v>
      </c>
      <c r="F649" s="2">
        <v>399479.04</v>
      </c>
      <c r="H649" s="2">
        <f t="shared" si="12"/>
        <v>399479.04</v>
      </c>
    </row>
    <row r="650" spans="1:8">
      <c r="A650" s="1" t="s">
        <v>2918</v>
      </c>
      <c r="B650" s="1" t="s">
        <v>154</v>
      </c>
      <c r="C650" s="1" t="s">
        <v>2901</v>
      </c>
      <c r="F650" s="2">
        <v>871411.69</v>
      </c>
      <c r="H650" s="2">
        <f t="shared" si="12"/>
        <v>871411.69</v>
      </c>
    </row>
    <row r="651" spans="1:8">
      <c r="A651" s="1" t="s">
        <v>2918</v>
      </c>
      <c r="B651" s="1" t="s">
        <v>155</v>
      </c>
      <c r="C651" s="1" t="s">
        <v>2901</v>
      </c>
      <c r="F651" s="2">
        <v>725395.03</v>
      </c>
      <c r="H651" s="2">
        <f t="shared" si="12"/>
        <v>725395.03</v>
      </c>
    </row>
    <row r="652" spans="1:8">
      <c r="A652" s="1" t="s">
        <v>2918</v>
      </c>
      <c r="B652" s="1" t="s">
        <v>156</v>
      </c>
      <c r="C652" s="1" t="s">
        <v>2901</v>
      </c>
      <c r="F652" s="2">
        <v>2223289.11</v>
      </c>
      <c r="H652" s="2">
        <f t="shared" si="12"/>
        <v>2223289.11</v>
      </c>
    </row>
    <row r="653" spans="1:8">
      <c r="A653" s="1" t="s">
        <v>2918</v>
      </c>
      <c r="B653" s="1" t="s">
        <v>157</v>
      </c>
      <c r="C653" s="1" t="s">
        <v>2901</v>
      </c>
      <c r="D653" s="2">
        <v>25484.62</v>
      </c>
      <c r="F653" s="2">
        <v>377260.56</v>
      </c>
      <c r="H653" s="2">
        <f t="shared" si="12"/>
        <v>402745.18</v>
      </c>
    </row>
    <row r="654" spans="1:8">
      <c r="A654" s="1" t="s">
        <v>2918</v>
      </c>
      <c r="B654" s="1" t="s">
        <v>158</v>
      </c>
      <c r="C654" s="1" t="s">
        <v>2901</v>
      </c>
      <c r="D654" s="2">
        <v>79776.54</v>
      </c>
      <c r="F654" s="2">
        <v>1891382.8</v>
      </c>
      <c r="H654" s="2">
        <f t="shared" si="12"/>
        <v>1971159.34</v>
      </c>
    </row>
    <row r="655" spans="1:8">
      <c r="A655" s="1" t="s">
        <v>2918</v>
      </c>
      <c r="B655" s="1" t="s">
        <v>159</v>
      </c>
      <c r="C655" s="1" t="s">
        <v>2901</v>
      </c>
      <c r="F655" s="2">
        <v>501855.05</v>
      </c>
      <c r="H655" s="2">
        <f t="shared" si="12"/>
        <v>501855.05</v>
      </c>
    </row>
    <row r="656" spans="1:8">
      <c r="A656" s="1" t="s">
        <v>2918</v>
      </c>
      <c r="B656" s="1" t="s">
        <v>148</v>
      </c>
      <c r="C656" s="1" t="s">
        <v>2903</v>
      </c>
      <c r="H656" s="2">
        <f t="shared" si="12"/>
        <v>0</v>
      </c>
    </row>
    <row r="657" spans="1:8">
      <c r="A657" s="1" t="s">
        <v>2918</v>
      </c>
      <c r="B657" s="1" t="s">
        <v>149</v>
      </c>
      <c r="C657" s="1" t="s">
        <v>2903</v>
      </c>
      <c r="H657" s="2">
        <f t="shared" si="12"/>
        <v>0</v>
      </c>
    </row>
    <row r="658" spans="1:8">
      <c r="A658" s="1" t="s">
        <v>2918</v>
      </c>
      <c r="B658" s="1" t="s">
        <v>150</v>
      </c>
      <c r="C658" s="1" t="s">
        <v>2903</v>
      </c>
      <c r="H658" s="2">
        <f t="shared" si="12"/>
        <v>0</v>
      </c>
    </row>
    <row r="659" spans="1:8">
      <c r="A659" s="1" t="s">
        <v>2918</v>
      </c>
      <c r="B659" s="1" t="s">
        <v>151</v>
      </c>
      <c r="C659" s="1" t="s">
        <v>2903</v>
      </c>
      <c r="H659" s="2">
        <f t="shared" si="12"/>
        <v>0</v>
      </c>
    </row>
    <row r="660" spans="1:8">
      <c r="A660" s="1" t="s">
        <v>2918</v>
      </c>
      <c r="B660" s="1" t="s">
        <v>152</v>
      </c>
      <c r="C660" s="1" t="s">
        <v>2903</v>
      </c>
      <c r="H660" s="2">
        <f t="shared" si="12"/>
        <v>0</v>
      </c>
    </row>
    <row r="661" spans="1:8">
      <c r="A661" s="1" t="s">
        <v>2918</v>
      </c>
      <c r="B661" s="1" t="s">
        <v>153</v>
      </c>
      <c r="C661" s="1" t="s">
        <v>2903</v>
      </c>
      <c r="H661" s="2">
        <f t="shared" si="12"/>
        <v>0</v>
      </c>
    </row>
    <row r="662" spans="1:8">
      <c r="A662" s="1" t="s">
        <v>2918</v>
      </c>
      <c r="B662" s="1" t="s">
        <v>154</v>
      </c>
      <c r="C662" s="1" t="s">
        <v>2903</v>
      </c>
      <c r="H662" s="2">
        <f t="shared" si="12"/>
        <v>0</v>
      </c>
    </row>
    <row r="663" spans="1:8">
      <c r="A663" s="1" t="s">
        <v>2918</v>
      </c>
      <c r="B663" s="1" t="s">
        <v>155</v>
      </c>
      <c r="C663" s="1" t="s">
        <v>2903</v>
      </c>
      <c r="H663" s="2">
        <f t="shared" si="12"/>
        <v>0</v>
      </c>
    </row>
    <row r="664" spans="1:8">
      <c r="A664" s="1" t="s">
        <v>2918</v>
      </c>
      <c r="B664" s="1" t="s">
        <v>156</v>
      </c>
      <c r="C664" s="1" t="s">
        <v>2903</v>
      </c>
      <c r="F664" s="2">
        <v>3694480.58</v>
      </c>
      <c r="H664" s="2">
        <f t="shared" si="12"/>
        <v>3694480.58</v>
      </c>
    </row>
    <row r="665" spans="1:8">
      <c r="A665" s="1" t="s">
        <v>2918</v>
      </c>
      <c r="B665" s="1" t="s">
        <v>157</v>
      </c>
      <c r="C665" s="1" t="s">
        <v>2903</v>
      </c>
      <c r="H665" s="2">
        <f t="shared" ref="H665:H692" si="13">SUM(D665:G665)</f>
        <v>0</v>
      </c>
    </row>
    <row r="666" spans="1:8">
      <c r="A666" s="1" t="s">
        <v>2918</v>
      </c>
      <c r="B666" s="1" t="s">
        <v>158</v>
      </c>
      <c r="C666" s="1" t="s">
        <v>2903</v>
      </c>
      <c r="H666" s="2">
        <f t="shared" si="13"/>
        <v>0</v>
      </c>
    </row>
    <row r="667" spans="1:8">
      <c r="A667" s="1" t="s">
        <v>2918</v>
      </c>
      <c r="B667" s="1" t="s">
        <v>159</v>
      </c>
      <c r="C667" s="1" t="s">
        <v>2903</v>
      </c>
      <c r="H667" s="2">
        <f t="shared" si="13"/>
        <v>0</v>
      </c>
    </row>
    <row r="668" spans="1:8">
      <c r="A668" s="1" t="s">
        <v>2918</v>
      </c>
      <c r="B668" s="1" t="s">
        <v>159</v>
      </c>
      <c r="C668" s="1" t="s">
        <v>2907</v>
      </c>
      <c r="D668" s="2">
        <v>206687.19</v>
      </c>
      <c r="G668" s="2">
        <v>1052.45</v>
      </c>
      <c r="H668" s="2">
        <f t="shared" si="13"/>
        <v>207739.64</v>
      </c>
    </row>
    <row r="669" spans="1:8">
      <c r="A669" s="1" t="s">
        <v>2918</v>
      </c>
      <c r="B669" s="1" t="s">
        <v>148</v>
      </c>
      <c r="C669" s="1" t="s">
        <v>2898</v>
      </c>
      <c r="D669" s="2">
        <v>2443.02</v>
      </c>
      <c r="E669" s="2">
        <v>199603.08</v>
      </c>
      <c r="F669" s="2">
        <v>13657749.85</v>
      </c>
      <c r="G669" s="2">
        <v>49394.05</v>
      </c>
      <c r="H669" s="2">
        <f t="shared" si="13"/>
        <v>13909190</v>
      </c>
    </row>
    <row r="670" spans="1:8">
      <c r="A670" s="1" t="s">
        <v>2918</v>
      </c>
      <c r="B670" s="1" t="s">
        <v>149</v>
      </c>
      <c r="C670" s="1" t="s">
        <v>2898</v>
      </c>
      <c r="E670" s="2">
        <v>78459.51</v>
      </c>
      <c r="F670" s="2">
        <v>6407493.14</v>
      </c>
      <c r="G670" s="2">
        <v>78.58</v>
      </c>
      <c r="H670" s="2">
        <f t="shared" si="13"/>
        <v>6486031.23</v>
      </c>
    </row>
    <row r="671" spans="1:8">
      <c r="A671" s="1" t="s">
        <v>2918</v>
      </c>
      <c r="B671" s="1" t="s">
        <v>150</v>
      </c>
      <c r="C671" s="1" t="s">
        <v>2898</v>
      </c>
      <c r="E671" s="2">
        <v>327761.22</v>
      </c>
      <c r="F671" s="2">
        <v>5272748.16</v>
      </c>
      <c r="G671" s="2">
        <v>157.17</v>
      </c>
      <c r="H671" s="2">
        <f t="shared" si="13"/>
        <v>5600666.55</v>
      </c>
    </row>
    <row r="672" spans="1:12">
      <c r="A672" s="1" t="s">
        <v>2918</v>
      </c>
      <c r="B672" s="1" t="s">
        <v>151</v>
      </c>
      <c r="C672" s="1" t="s">
        <v>2898</v>
      </c>
      <c r="D672" s="2">
        <v>39466.37</v>
      </c>
      <c r="E672" s="2">
        <v>49905.68</v>
      </c>
      <c r="F672" s="2">
        <v>5513518.58</v>
      </c>
      <c r="G672" s="2">
        <v>81058.92</v>
      </c>
      <c r="H672" s="2">
        <f t="shared" si="13"/>
        <v>5683949.55</v>
      </c>
      <c r="L672" s="20"/>
    </row>
    <row r="673" spans="1:13">
      <c r="A673" s="1" t="s">
        <v>2918</v>
      </c>
      <c r="B673" s="1" t="s">
        <v>152</v>
      </c>
      <c r="C673" s="1" t="s">
        <v>2898</v>
      </c>
      <c r="D673" s="2">
        <v>1131247.83</v>
      </c>
      <c r="E673" s="2">
        <v>317441.38</v>
      </c>
      <c r="F673" s="2">
        <v>7244950.96</v>
      </c>
      <c r="G673" s="2">
        <v>147640.04</v>
      </c>
      <c r="H673" s="2">
        <f t="shared" si="13"/>
        <v>8841280.21</v>
      </c>
      <c r="K673" t="s">
        <v>2886</v>
      </c>
      <c r="L673" s="20" t="s">
        <v>2887</v>
      </c>
      <c r="M673" s="6"/>
    </row>
    <row r="674" spans="1:16">
      <c r="A674" s="1" t="s">
        <v>2918</v>
      </c>
      <c r="B674" s="1" t="s">
        <v>153</v>
      </c>
      <c r="C674" s="1" t="s">
        <v>2898</v>
      </c>
      <c r="D674" s="2">
        <v>3820.15</v>
      </c>
      <c r="E674" s="2">
        <v>968728.75</v>
      </c>
      <c r="F674" s="2">
        <v>13327917.68</v>
      </c>
      <c r="G674" s="2">
        <v>78.58</v>
      </c>
      <c r="H674" s="2">
        <f t="shared" si="13"/>
        <v>14300545.16</v>
      </c>
      <c r="K674" t="s">
        <v>2893</v>
      </c>
      <c r="L674" s="20">
        <v>1365042923.62</v>
      </c>
      <c r="M674" s="6">
        <f>GETPIVOTDATA("合计",$K$673,"收入组成项","购销成本")-GETPIVOTDATA("合计",$K$673,"收入组成项","购销成本（抵消）")</f>
        <v>1228476880.89</v>
      </c>
      <c r="N674" s="4">
        <f>M676-M674</f>
        <v>38165914.4500003</v>
      </c>
      <c r="O674" s="4">
        <f>N674*1.06</f>
        <v>40455869.3170003</v>
      </c>
      <c r="P674" s="4">
        <f>O674+O678+O684+O686</f>
        <v>342485623.638601</v>
      </c>
    </row>
    <row r="675" spans="1:17">
      <c r="A675" s="1" t="s">
        <v>2918</v>
      </c>
      <c r="B675" s="1" t="s">
        <v>154</v>
      </c>
      <c r="C675" s="1" t="s">
        <v>2898</v>
      </c>
      <c r="D675" s="2">
        <v>1997244.72</v>
      </c>
      <c r="E675" s="2">
        <v>2390343.54</v>
      </c>
      <c r="F675" s="2">
        <v>7848099.34</v>
      </c>
      <c r="H675" s="2">
        <f t="shared" si="13"/>
        <v>12235687.6</v>
      </c>
      <c r="K675" t="s">
        <v>2895</v>
      </c>
      <c r="L675" s="20">
        <v>136566042.73</v>
      </c>
      <c r="M675" s="6"/>
      <c r="P675" s="4">
        <f>P674/10000</f>
        <v>34248.5623638601</v>
      </c>
      <c r="Q675" s="4">
        <f>P675-'毛利-收入组成'!F76</f>
        <v>34248.5623638601</v>
      </c>
    </row>
    <row r="676" spans="1:13">
      <c r="A676" s="1" t="s">
        <v>2918</v>
      </c>
      <c r="B676" s="1" t="s">
        <v>155</v>
      </c>
      <c r="C676" s="1" t="s">
        <v>2898</v>
      </c>
      <c r="D676" s="2">
        <v>249034.24</v>
      </c>
      <c r="E676" s="2">
        <v>171658.87</v>
      </c>
      <c r="F676" s="2">
        <v>20313796.45</v>
      </c>
      <c r="G676" s="2">
        <v>213995.72</v>
      </c>
      <c r="H676" s="2">
        <f t="shared" si="13"/>
        <v>20948485.28</v>
      </c>
      <c r="K676" t="s">
        <v>2896</v>
      </c>
      <c r="L676" s="20">
        <v>1403753650.23</v>
      </c>
      <c r="M676" s="6">
        <f>GETPIVOTDATA("合计",$K$673,"收入组成项","购销收入")-GETPIVOTDATA("合计",$K$673,"收入组成项","购销收入（抵消）")</f>
        <v>1266642795.34</v>
      </c>
    </row>
    <row r="677" spans="1:13">
      <c r="A677" s="1" t="s">
        <v>2918</v>
      </c>
      <c r="B677" s="1" t="s">
        <v>156</v>
      </c>
      <c r="C677" s="1" t="s">
        <v>2898</v>
      </c>
      <c r="D677" s="2">
        <v>1240182.55</v>
      </c>
      <c r="E677" s="2">
        <v>194123.41</v>
      </c>
      <c r="F677" s="2">
        <v>9473153.16</v>
      </c>
      <c r="G677" s="2">
        <v>1933391.99</v>
      </c>
      <c r="H677" s="2">
        <f t="shared" si="13"/>
        <v>12840851.11</v>
      </c>
      <c r="K677" t="s">
        <v>2898</v>
      </c>
      <c r="L677" s="20">
        <v>137110854.89</v>
      </c>
      <c r="M677" s="6"/>
    </row>
    <row r="678" spans="1:15">
      <c r="A678" s="1" t="s">
        <v>2918</v>
      </c>
      <c r="B678" s="1" t="s">
        <v>157</v>
      </c>
      <c r="C678" s="1" t="s">
        <v>2898</v>
      </c>
      <c r="D678" s="2">
        <v>890883.48</v>
      </c>
      <c r="E678" s="2">
        <v>581375.05</v>
      </c>
      <c r="F678" s="2">
        <v>8297271.32</v>
      </c>
      <c r="G678" s="2">
        <v>657188.56</v>
      </c>
      <c r="H678" s="2">
        <f t="shared" si="13"/>
        <v>10426718.41</v>
      </c>
      <c r="K678" t="s">
        <v>2899</v>
      </c>
      <c r="L678" s="20">
        <v>16824802971.8596</v>
      </c>
      <c r="M678" s="6">
        <f>GETPIVOTDATA("合计",$K$673,"收入组成项","寄售销售额")-GETPIVOTDATA("合计",$K$673,"收入组成项","寄售成本额")</f>
        <v>89143611.1438007</v>
      </c>
      <c r="N678" s="4">
        <f>M678</f>
        <v>89143611.1438007</v>
      </c>
      <c r="O678" s="4">
        <f>N678</f>
        <v>89143611.1438007</v>
      </c>
    </row>
    <row r="679" spans="1:13">
      <c r="A679" s="1" t="s">
        <v>2918</v>
      </c>
      <c r="B679" s="1" t="s">
        <v>158</v>
      </c>
      <c r="C679" s="1" t="s">
        <v>2898</v>
      </c>
      <c r="D679" s="2">
        <v>231345.44</v>
      </c>
      <c r="E679" s="2">
        <v>315132.3</v>
      </c>
      <c r="F679" s="2">
        <v>16405722.9</v>
      </c>
      <c r="G679" s="2">
        <v>821839.12</v>
      </c>
      <c r="H679" s="2">
        <f t="shared" si="13"/>
        <v>17774039.76</v>
      </c>
      <c r="K679" t="s">
        <v>2892</v>
      </c>
      <c r="L679" s="20">
        <v>16913946583.0034</v>
      </c>
      <c r="M679" s="6"/>
    </row>
    <row r="680" spans="1:17">
      <c r="A680" s="1" t="s">
        <v>2918</v>
      </c>
      <c r="B680" s="1" t="s">
        <v>159</v>
      </c>
      <c r="C680" s="1" t="s">
        <v>2898</v>
      </c>
      <c r="D680" s="2">
        <v>159804.34</v>
      </c>
      <c r="E680" s="2">
        <v>942789.13</v>
      </c>
      <c r="F680" s="2">
        <v>6239094.09</v>
      </c>
      <c r="G680" s="2">
        <v>721722.47</v>
      </c>
      <c r="H680" s="2">
        <f t="shared" si="13"/>
        <v>8063410.03</v>
      </c>
      <c r="K680" t="s">
        <v>2900</v>
      </c>
      <c r="L680" s="20">
        <v>32991728.86</v>
      </c>
      <c r="M680" s="6">
        <f>GETPIVOTDATA("合计",$K$673,"收入组成项","平台服务收入")-GETPIVOTDATA("合计",$K$673,"收入组成项","平台服务收入（抵消）")</f>
        <v>20034051.14</v>
      </c>
      <c r="N680" s="4">
        <f>M680</f>
        <v>20034051.14</v>
      </c>
      <c r="O680" s="4">
        <f>N680*1.06</f>
        <v>21236094.2084</v>
      </c>
      <c r="P680" s="4">
        <f>O680/10000</f>
        <v>2123.60942084</v>
      </c>
      <c r="Q680" s="4">
        <f>P680-'毛利-收入组成'!M76</f>
        <v>2123.60942084</v>
      </c>
    </row>
    <row r="681" spans="1:13">
      <c r="A681" s="1" t="s">
        <v>2918</v>
      </c>
      <c r="B681" s="1" t="s">
        <v>148</v>
      </c>
      <c r="C681" s="1" t="s">
        <v>2895</v>
      </c>
      <c r="D681" s="2">
        <v>2443.02</v>
      </c>
      <c r="E681" s="2">
        <v>153638.86</v>
      </c>
      <c r="F681" s="2">
        <v>13657749.85</v>
      </c>
      <c r="G681" s="2">
        <v>49394.05</v>
      </c>
      <c r="H681" s="2">
        <f t="shared" si="13"/>
        <v>13863225.78</v>
      </c>
      <c r="K681" t="s">
        <v>2901</v>
      </c>
      <c r="L681" s="20">
        <v>12957677.72</v>
      </c>
      <c r="M681" s="6"/>
    </row>
    <row r="682" spans="1:15">
      <c r="A682" s="1" t="s">
        <v>2918</v>
      </c>
      <c r="B682" s="1" t="s">
        <v>149</v>
      </c>
      <c r="C682" s="1" t="s">
        <v>2895</v>
      </c>
      <c r="E682" s="2">
        <v>60830.19</v>
      </c>
      <c r="F682" s="2">
        <v>6407493.14</v>
      </c>
      <c r="G682" s="2">
        <v>78.58</v>
      </c>
      <c r="H682" s="2">
        <f t="shared" si="13"/>
        <v>6468401.91</v>
      </c>
      <c r="K682" t="s">
        <v>2904</v>
      </c>
      <c r="L682" s="20">
        <v>207725.36</v>
      </c>
      <c r="M682" s="6">
        <f>GETPIVOTDATA("合计",$K$673,"收入组成项","推广服务收入")-GETPIVOTDATA("合计",$K$673,"收入组成项","推广服务收入（抵消）")</f>
        <v>-14.2800000000279</v>
      </c>
      <c r="N682" s="4">
        <f>M682</f>
        <v>-14.2800000000279</v>
      </c>
      <c r="O682" s="4">
        <f>N682*1.06</f>
        <v>-15.1368000000296</v>
      </c>
    </row>
    <row r="683" spans="1:13">
      <c r="A683" s="1" t="s">
        <v>2918</v>
      </c>
      <c r="B683" s="1" t="s">
        <v>150</v>
      </c>
      <c r="C683" s="1" t="s">
        <v>2895</v>
      </c>
      <c r="E683" s="2">
        <v>294055.85</v>
      </c>
      <c r="F683" s="2">
        <v>5272748.16</v>
      </c>
      <c r="G683" s="2">
        <v>157.17</v>
      </c>
      <c r="H683" s="2">
        <f t="shared" si="13"/>
        <v>5566961.18</v>
      </c>
      <c r="K683" t="s">
        <v>2907</v>
      </c>
      <c r="L683" s="20">
        <v>207739.64</v>
      </c>
      <c r="M683" s="6"/>
    </row>
    <row r="684" spans="1:15">
      <c r="A684" s="1" t="s">
        <v>2918</v>
      </c>
      <c r="B684" s="1" t="s">
        <v>151</v>
      </c>
      <c r="C684" s="1" t="s">
        <v>2895</v>
      </c>
      <c r="D684" s="2">
        <v>39466.37</v>
      </c>
      <c r="E684" s="2">
        <v>50</v>
      </c>
      <c r="F684" s="2">
        <v>5513518.58</v>
      </c>
      <c r="G684" s="2">
        <v>81058.92</v>
      </c>
      <c r="H684" s="2">
        <f t="shared" si="13"/>
        <v>5634093.87</v>
      </c>
      <c r="K684" t="s">
        <v>2902</v>
      </c>
      <c r="L684" s="20">
        <v>204300925.02</v>
      </c>
      <c r="M684" s="6">
        <f>GETPIVOTDATA("合计",$K$673,"收入组成项","佣金服务收入")-GETPIVOTDATA("合计",$K$673,"收入组成项","佣金服务收入（抵消）")</f>
        <v>200606444.44</v>
      </c>
      <c r="N684" s="4">
        <f>M684</f>
        <v>200606444.44</v>
      </c>
      <c r="O684" s="4">
        <f>N684*1.06</f>
        <v>212642831.1064</v>
      </c>
    </row>
    <row r="685" spans="1:13">
      <c r="A685" s="1" t="s">
        <v>2918</v>
      </c>
      <c r="B685" s="1" t="s">
        <v>152</v>
      </c>
      <c r="C685" s="1" t="s">
        <v>2895</v>
      </c>
      <c r="D685" s="2">
        <v>1131247.83</v>
      </c>
      <c r="E685" s="2">
        <v>298191.89</v>
      </c>
      <c r="F685" s="2">
        <v>7244950.96</v>
      </c>
      <c r="G685" s="2">
        <v>147640.04</v>
      </c>
      <c r="H685" s="2">
        <f t="shared" si="13"/>
        <v>8822030.72</v>
      </c>
      <c r="K685" t="s">
        <v>2903</v>
      </c>
      <c r="L685" s="20">
        <v>3694480.58</v>
      </c>
      <c r="M685" s="6"/>
    </row>
    <row r="686" spans="1:15">
      <c r="A686" s="1" t="s">
        <v>2918</v>
      </c>
      <c r="B686" s="1" t="s">
        <v>153</v>
      </c>
      <c r="C686" s="1" t="s">
        <v>2895</v>
      </c>
      <c r="D686" s="2">
        <v>3820.15</v>
      </c>
      <c r="E686" s="2">
        <v>782115.53</v>
      </c>
      <c r="F686" s="2">
        <v>13327917.68</v>
      </c>
      <c r="G686" s="2">
        <v>78.58</v>
      </c>
      <c r="H686" s="2">
        <f t="shared" si="13"/>
        <v>14113931.94</v>
      </c>
      <c r="K686" t="s">
        <v>2905</v>
      </c>
      <c r="L686" s="20">
        <v>229539.69</v>
      </c>
      <c r="M686" s="6">
        <f>GETPIVOTDATA("合计",$K$673,"收入组成项","逾期权益收入")</f>
        <v>229539.69</v>
      </c>
      <c r="N686" s="4">
        <f>M686</f>
        <v>229539.69</v>
      </c>
      <c r="O686" s="4">
        <f>N686*1.06</f>
        <v>243312.0714</v>
      </c>
    </row>
    <row r="687" spans="1:13">
      <c r="A687" s="1" t="s">
        <v>2918</v>
      </c>
      <c r="B687" s="1" t="s">
        <v>154</v>
      </c>
      <c r="C687" s="1" t="s">
        <v>2895</v>
      </c>
      <c r="D687" s="2">
        <v>1997244.72</v>
      </c>
      <c r="E687" s="2">
        <v>2408812.01</v>
      </c>
      <c r="F687" s="2">
        <v>7848099.34</v>
      </c>
      <c r="H687" s="2">
        <f t="shared" si="13"/>
        <v>12254156.07</v>
      </c>
      <c r="K687" t="s">
        <v>319</v>
      </c>
      <c r="L687" s="20">
        <v>37035812843.203</v>
      </c>
      <c r="M687" s="6"/>
    </row>
    <row r="688" spans="1:13">
      <c r="A688" s="1" t="s">
        <v>2918</v>
      </c>
      <c r="B688" s="1" t="s">
        <v>155</v>
      </c>
      <c r="C688" s="1" t="s">
        <v>2895</v>
      </c>
      <c r="D688" s="2">
        <v>249034.24</v>
      </c>
      <c r="E688" s="2">
        <v>212888.18</v>
      </c>
      <c r="F688" s="2">
        <v>20313796.45</v>
      </c>
      <c r="G688" s="2">
        <v>213995.72</v>
      </c>
      <c r="H688" s="2">
        <f t="shared" si="13"/>
        <v>20989714.59</v>
      </c>
      <c r="K688"/>
      <c r="L688" s="20"/>
      <c r="M688" s="6"/>
    </row>
    <row r="689" spans="1:13">
      <c r="A689" s="1" t="s">
        <v>2918</v>
      </c>
      <c r="B689" s="1" t="s">
        <v>156</v>
      </c>
      <c r="C689" s="1" t="s">
        <v>2895</v>
      </c>
      <c r="D689" s="2">
        <v>1240182.55</v>
      </c>
      <c r="E689" s="2">
        <v>156376.88</v>
      </c>
      <c r="F689" s="2">
        <v>9473153.16</v>
      </c>
      <c r="G689" s="2">
        <v>1933391.99</v>
      </c>
      <c r="H689" s="2">
        <f t="shared" si="13"/>
        <v>12803104.58</v>
      </c>
      <c r="K689"/>
      <c r="L689" s="20"/>
      <c r="M689" s="6"/>
    </row>
    <row r="690" spans="1:13">
      <c r="A690" s="1" t="s">
        <v>2918</v>
      </c>
      <c r="B690" s="1" t="s">
        <v>157</v>
      </c>
      <c r="C690" s="1" t="s">
        <v>2895</v>
      </c>
      <c r="D690" s="2">
        <v>890883.48</v>
      </c>
      <c r="E690" s="2">
        <v>545910.77</v>
      </c>
      <c r="F690" s="2">
        <v>8297271.32</v>
      </c>
      <c r="G690" s="2">
        <v>620183.37</v>
      </c>
      <c r="H690" s="2">
        <f t="shared" si="13"/>
        <v>10354248.94</v>
      </c>
      <c r="K690"/>
      <c r="L690" s="20"/>
      <c r="M690" s="6"/>
    </row>
    <row r="691" spans="1:12">
      <c r="A691" s="1" t="s">
        <v>2918</v>
      </c>
      <c r="B691" s="1" t="s">
        <v>158</v>
      </c>
      <c r="C691" s="1" t="s">
        <v>2895</v>
      </c>
      <c r="D691" s="2">
        <v>231345.44</v>
      </c>
      <c r="E691" s="2">
        <v>211104.05</v>
      </c>
      <c r="F691" s="2">
        <v>16390768.1</v>
      </c>
      <c r="G691" s="2">
        <v>821839.12</v>
      </c>
      <c r="H691" s="2">
        <f t="shared" si="13"/>
        <v>17655056.71</v>
      </c>
      <c r="L691" s="20"/>
    </row>
    <row r="692" spans="1:12">
      <c r="A692" s="1" t="s">
        <v>2918</v>
      </c>
      <c r="B692" s="1" t="s">
        <v>159</v>
      </c>
      <c r="C692" s="1" t="s">
        <v>2895</v>
      </c>
      <c r="D692" s="2">
        <v>159804.34</v>
      </c>
      <c r="E692" s="2">
        <v>932532.15</v>
      </c>
      <c r="F692" s="2">
        <v>6238316.35</v>
      </c>
      <c r="G692" s="2">
        <v>710463.6</v>
      </c>
      <c r="H692" s="2">
        <f t="shared" si="13"/>
        <v>8041116.44</v>
      </c>
      <c r="L692" s="20"/>
    </row>
    <row r="693" spans="12:12">
      <c r="L693" s="20"/>
    </row>
  </sheetData>
  <autoFilter xmlns:etc="http://www.wps.cn/officeDocument/2017/etCustomData" ref="A1:K692" etc:filterBottomFollowUsedRange="0">
    <extLst/>
  </autoFilter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pane ySplit="1" topLeftCell="A2" activePane="bottomLeft" state="frozen"/>
      <selection/>
      <selection pane="bottomLeft" activeCell="D64" sqref="D64"/>
    </sheetView>
  </sheetViews>
  <sheetFormatPr defaultColWidth="9" defaultRowHeight="13.5"/>
  <cols>
    <col min="2" max="2" width="5.25833333333333" customWidth="1"/>
    <col min="4" max="4" width="13.3833333333333" customWidth="1"/>
    <col min="8" max="8" width="11.8833333333333" customWidth="1"/>
    <col min="10" max="10" width="7.38333333333333" style="3"/>
    <col min="11" max="11" width="16.8833333333333" style="3" customWidth="1"/>
    <col min="12" max="12" width="15" style="4" customWidth="1"/>
    <col min="13" max="16" width="15" style="4" hidden="1" customWidth="1"/>
    <col min="17" max="17" width="9" style="4"/>
    <col min="18" max="18" width="9" style="21"/>
    <col min="19" max="19" width="9.63333333333333" style="20"/>
    <col min="20" max="20" width="9" style="21"/>
  </cols>
  <sheetData>
    <row r="1" spans="1:16">
      <c r="A1" s="7" t="s">
        <v>2885</v>
      </c>
      <c r="B1" s="7" t="s">
        <v>84</v>
      </c>
      <c r="C1" s="7" t="s">
        <v>2886</v>
      </c>
      <c r="D1" s="8" t="s">
        <v>12</v>
      </c>
      <c r="E1" s="8" t="s">
        <v>13</v>
      </c>
      <c r="F1" s="8" t="s">
        <v>14</v>
      </c>
      <c r="G1" s="8" t="s">
        <v>20</v>
      </c>
      <c r="H1" s="8" t="s">
        <v>15</v>
      </c>
      <c r="J1" s="3" t="s">
        <v>84</v>
      </c>
      <c r="K1" s="3" t="s">
        <v>2886</v>
      </c>
      <c r="L1" s="4" t="s">
        <v>2887</v>
      </c>
      <c r="M1" s="4" t="s">
        <v>2888</v>
      </c>
      <c r="N1" s="4" t="s">
        <v>2889</v>
      </c>
      <c r="O1" s="4" t="s">
        <v>2890</v>
      </c>
      <c r="P1" s="4" t="s">
        <v>2891</v>
      </c>
    </row>
    <row r="2" spans="1:19">
      <c r="A2" s="1" t="s">
        <v>369</v>
      </c>
      <c r="B2" s="1" t="s">
        <v>148</v>
      </c>
      <c r="C2" s="1" t="s">
        <v>2919</v>
      </c>
      <c r="D2" s="2"/>
      <c r="E2" s="2"/>
      <c r="F2" s="2"/>
      <c r="G2" s="2"/>
      <c r="H2" s="2">
        <v>0</v>
      </c>
      <c r="J2" s="3" t="s">
        <v>148</v>
      </c>
      <c r="L2" s="4">
        <v>0</v>
      </c>
      <c r="R2" s="21" t="s">
        <v>2920</v>
      </c>
      <c r="S2" s="20">
        <f>L3*1.06</f>
        <v>0</v>
      </c>
    </row>
    <row r="3" spans="1:12">
      <c r="A3" s="1" t="s">
        <v>369</v>
      </c>
      <c r="B3" s="1" t="s">
        <v>149</v>
      </c>
      <c r="C3" s="1" t="s">
        <v>2919</v>
      </c>
      <c r="D3" s="2">
        <v>1629620.75</v>
      </c>
      <c r="E3" s="2">
        <v>0</v>
      </c>
      <c r="F3" s="2">
        <v>0</v>
      </c>
      <c r="G3" s="2">
        <v>0</v>
      </c>
      <c r="H3" s="2">
        <v>1629620.75</v>
      </c>
      <c r="K3" s="3" t="s">
        <v>2919</v>
      </c>
      <c r="L3" s="4">
        <v>0</v>
      </c>
    </row>
    <row r="4" spans="1:19">
      <c r="A4" s="1" t="s">
        <v>369</v>
      </c>
      <c r="B4" s="1" t="s">
        <v>150</v>
      </c>
      <c r="C4" s="1" t="s">
        <v>2919</v>
      </c>
      <c r="D4" s="2"/>
      <c r="E4" s="2"/>
      <c r="F4" s="2"/>
      <c r="G4" s="2"/>
      <c r="H4" s="2">
        <v>0</v>
      </c>
      <c r="J4" s="3" t="s">
        <v>149</v>
      </c>
      <c r="L4" s="4">
        <v>1629620.75</v>
      </c>
      <c r="M4" s="4">
        <v>1629620.75</v>
      </c>
      <c r="N4" s="4">
        <v>0</v>
      </c>
      <c r="O4" s="4">
        <v>0</v>
      </c>
      <c r="P4" s="4">
        <v>0</v>
      </c>
      <c r="S4" s="20">
        <f>L4*1.06/10000</f>
        <v>172.7397995</v>
      </c>
    </row>
    <row r="5" spans="1:16">
      <c r="A5" s="1" t="s">
        <v>369</v>
      </c>
      <c r="B5" s="1" t="s">
        <v>151</v>
      </c>
      <c r="C5" s="1" t="s">
        <v>2919</v>
      </c>
      <c r="D5" s="2">
        <v>0</v>
      </c>
      <c r="E5" s="2">
        <v>0</v>
      </c>
      <c r="F5" s="2">
        <v>54573.43</v>
      </c>
      <c r="G5" s="2">
        <v>591.7</v>
      </c>
      <c r="H5" s="2">
        <v>55165.13</v>
      </c>
      <c r="K5" s="3" t="s">
        <v>2919</v>
      </c>
      <c r="L5" s="4">
        <v>1629620.75</v>
      </c>
      <c r="M5" s="4">
        <v>1629620.75</v>
      </c>
      <c r="N5" s="4">
        <v>0</v>
      </c>
      <c r="O5" s="4">
        <v>0</v>
      </c>
      <c r="P5" s="4">
        <v>0</v>
      </c>
    </row>
    <row r="6" spans="1:19">
      <c r="A6" s="1" t="s">
        <v>369</v>
      </c>
      <c r="B6" s="1" t="s">
        <v>152</v>
      </c>
      <c r="C6" s="1" t="s">
        <v>2919</v>
      </c>
      <c r="D6" s="2">
        <v>147643.4</v>
      </c>
      <c r="E6" s="2">
        <v>0</v>
      </c>
      <c r="F6" s="2">
        <v>0</v>
      </c>
      <c r="G6" s="2">
        <v>0</v>
      </c>
      <c r="H6" s="2">
        <v>147643.4</v>
      </c>
      <c r="J6" s="3" t="s">
        <v>150</v>
      </c>
      <c r="L6" s="4">
        <v>0</v>
      </c>
      <c r="S6" s="20">
        <f>L6*1.06/10000</f>
        <v>0</v>
      </c>
    </row>
    <row r="7" spans="1:12">
      <c r="A7" s="1" t="s">
        <v>369</v>
      </c>
      <c r="B7" s="1" t="s">
        <v>153</v>
      </c>
      <c r="C7" s="1" t="s">
        <v>2919</v>
      </c>
      <c r="D7" s="2">
        <v>94.34</v>
      </c>
      <c r="E7" s="2">
        <v>0</v>
      </c>
      <c r="F7" s="2">
        <v>0</v>
      </c>
      <c r="G7" s="2">
        <v>0</v>
      </c>
      <c r="H7" s="2">
        <v>94.34</v>
      </c>
      <c r="K7" s="3" t="s">
        <v>2919</v>
      </c>
      <c r="L7" s="4">
        <v>0</v>
      </c>
    </row>
    <row r="8" spans="1:19">
      <c r="A8" s="1" t="s">
        <v>369</v>
      </c>
      <c r="B8" s="1" t="s">
        <v>154</v>
      </c>
      <c r="C8" s="1" t="s">
        <v>2919</v>
      </c>
      <c r="D8" s="2"/>
      <c r="E8" s="2"/>
      <c r="F8" s="2"/>
      <c r="G8" s="2"/>
      <c r="H8" s="2">
        <v>0</v>
      </c>
      <c r="J8" s="3" t="s">
        <v>151</v>
      </c>
      <c r="L8" s="4">
        <v>55165.13</v>
      </c>
      <c r="M8" s="4">
        <v>0</v>
      </c>
      <c r="N8" s="4">
        <v>0</v>
      </c>
      <c r="O8" s="4">
        <v>54573.43</v>
      </c>
      <c r="P8" s="4">
        <v>591.7</v>
      </c>
      <c r="S8" s="20">
        <f>L8*1.06/10000</f>
        <v>5.84750378</v>
      </c>
    </row>
    <row r="9" spans="1:16">
      <c r="A9" s="1" t="s">
        <v>369</v>
      </c>
      <c r="B9" s="1" t="s">
        <v>155</v>
      </c>
      <c r="C9" s="1" t="s">
        <v>2919</v>
      </c>
      <c r="D9" s="2">
        <v>614150.94</v>
      </c>
      <c r="E9" s="2"/>
      <c r="F9" s="2"/>
      <c r="G9" s="2"/>
      <c r="H9" s="2">
        <v>614150.94</v>
      </c>
      <c r="K9" s="3" t="s">
        <v>2919</v>
      </c>
      <c r="L9" s="4">
        <v>55165.13</v>
      </c>
      <c r="M9" s="4">
        <v>0</v>
      </c>
      <c r="N9" s="4">
        <v>0</v>
      </c>
      <c r="O9" s="4">
        <v>54573.43</v>
      </c>
      <c r="P9" s="4">
        <v>591.7</v>
      </c>
    </row>
    <row r="10" spans="1:19">
      <c r="A10" s="1" t="s">
        <v>369</v>
      </c>
      <c r="B10" s="1" t="s">
        <v>156</v>
      </c>
      <c r="C10" s="1" t="s">
        <v>2919</v>
      </c>
      <c r="D10" s="2">
        <v>395283.02</v>
      </c>
      <c r="E10" s="2"/>
      <c r="F10" s="2"/>
      <c r="G10" s="2"/>
      <c r="H10" s="2">
        <v>395283.02</v>
      </c>
      <c r="J10" s="3" t="s">
        <v>152</v>
      </c>
      <c r="L10" s="4">
        <v>147643.4</v>
      </c>
      <c r="M10" s="4">
        <v>147643.4</v>
      </c>
      <c r="N10" s="4">
        <v>0</v>
      </c>
      <c r="O10" s="4">
        <v>0</v>
      </c>
      <c r="P10" s="4">
        <v>0</v>
      </c>
      <c r="S10" s="20">
        <f>L10*1.06/10000</f>
        <v>15.6502004</v>
      </c>
    </row>
    <row r="11" spans="1:16">
      <c r="A11" s="1" t="s">
        <v>369</v>
      </c>
      <c r="B11" s="1" t="s">
        <v>157</v>
      </c>
      <c r="C11" s="1" t="s">
        <v>2919</v>
      </c>
      <c r="D11" s="2">
        <v>592924.53</v>
      </c>
      <c r="E11" s="2">
        <v>0</v>
      </c>
      <c r="F11" s="2">
        <v>0</v>
      </c>
      <c r="G11" s="2">
        <v>0</v>
      </c>
      <c r="H11" s="2">
        <v>592924.53</v>
      </c>
      <c r="K11" s="3" t="s">
        <v>2919</v>
      </c>
      <c r="L11" s="4">
        <v>147643.4</v>
      </c>
      <c r="M11" s="4">
        <v>147643.4</v>
      </c>
      <c r="N11" s="4">
        <v>0</v>
      </c>
      <c r="O11" s="4">
        <v>0</v>
      </c>
      <c r="P11" s="4">
        <v>0</v>
      </c>
    </row>
    <row r="12" spans="1:19">
      <c r="A12" s="1" t="s">
        <v>369</v>
      </c>
      <c r="B12" s="1" t="s">
        <v>158</v>
      </c>
      <c r="C12" s="1" t="s">
        <v>2919</v>
      </c>
      <c r="D12" s="2"/>
      <c r="E12" s="2"/>
      <c r="F12" s="2"/>
      <c r="G12" s="2"/>
      <c r="H12" s="2">
        <v>0</v>
      </c>
      <c r="J12" s="3" t="s">
        <v>153</v>
      </c>
      <c r="L12" s="4">
        <v>94.34</v>
      </c>
      <c r="M12" s="4">
        <v>94.34</v>
      </c>
      <c r="N12" s="4">
        <v>0</v>
      </c>
      <c r="O12" s="4">
        <v>0</v>
      </c>
      <c r="P12" s="4">
        <v>0</v>
      </c>
      <c r="S12" s="20">
        <f>L12*1.06/10000</f>
        <v>0.01000004</v>
      </c>
    </row>
    <row r="13" spans="1:16">
      <c r="A13" s="1" t="s">
        <v>369</v>
      </c>
      <c r="B13" s="1" t="s">
        <v>159</v>
      </c>
      <c r="C13" s="1" t="s">
        <v>2919</v>
      </c>
      <c r="D13" s="2">
        <v>592924.53</v>
      </c>
      <c r="E13" s="2"/>
      <c r="F13" s="2"/>
      <c r="G13" s="2"/>
      <c r="H13" s="2">
        <v>592924.53</v>
      </c>
      <c r="K13" s="3" t="s">
        <v>2919</v>
      </c>
      <c r="L13" s="4">
        <v>94.34</v>
      </c>
      <c r="M13" s="4">
        <v>94.34</v>
      </c>
      <c r="N13" s="4">
        <v>0</v>
      </c>
      <c r="O13" s="4">
        <v>0</v>
      </c>
      <c r="P13" s="4">
        <v>0</v>
      </c>
    </row>
    <row r="14" spans="1:19">
      <c r="A14" s="1" t="s">
        <v>369</v>
      </c>
      <c r="B14" s="1" t="s">
        <v>159</v>
      </c>
      <c r="C14" s="1" t="s">
        <v>2921</v>
      </c>
      <c r="D14" s="2">
        <v>200396.21</v>
      </c>
      <c r="E14" s="2">
        <v>0</v>
      </c>
      <c r="F14" s="2">
        <v>0</v>
      </c>
      <c r="G14" s="2">
        <v>0</v>
      </c>
      <c r="H14" s="2">
        <v>200396.21</v>
      </c>
      <c r="J14" s="3" t="s">
        <v>154</v>
      </c>
      <c r="L14" s="4">
        <v>0</v>
      </c>
      <c r="S14" s="20">
        <f>L14*1.06/10000</f>
        <v>0</v>
      </c>
    </row>
    <row r="15" spans="1:12">
      <c r="A15" s="1" t="s">
        <v>2908</v>
      </c>
      <c r="B15" s="1" t="s">
        <v>148</v>
      </c>
      <c r="C15" s="1" t="s">
        <v>2919</v>
      </c>
      <c r="D15" s="2"/>
      <c r="E15" s="2"/>
      <c r="F15" s="2"/>
      <c r="G15" s="2"/>
      <c r="H15" s="2">
        <v>0</v>
      </c>
      <c r="K15" s="3" t="s">
        <v>2919</v>
      </c>
      <c r="L15" s="4">
        <v>0</v>
      </c>
    </row>
    <row r="16" spans="1:19">
      <c r="A16" s="1" t="s">
        <v>2908</v>
      </c>
      <c r="B16" s="1" t="s">
        <v>149</v>
      </c>
      <c r="C16" s="1" t="s">
        <v>2919</v>
      </c>
      <c r="D16" s="2"/>
      <c r="E16" s="2"/>
      <c r="F16" s="2"/>
      <c r="G16" s="2"/>
      <c r="H16" s="2">
        <v>0</v>
      </c>
      <c r="J16" s="3" t="s">
        <v>155</v>
      </c>
      <c r="L16" s="4">
        <v>614150.94</v>
      </c>
      <c r="M16" s="4">
        <v>614150.94</v>
      </c>
      <c r="S16" s="20">
        <f>L16*1.06/10000</f>
        <v>65.09999964</v>
      </c>
    </row>
    <row r="17" spans="1:13">
      <c r="A17" s="1" t="s">
        <v>2908</v>
      </c>
      <c r="B17" s="1" t="s">
        <v>150</v>
      </c>
      <c r="C17" s="1" t="s">
        <v>2919</v>
      </c>
      <c r="D17" s="2"/>
      <c r="E17" s="2"/>
      <c r="F17" s="2"/>
      <c r="G17" s="2"/>
      <c r="H17" s="2">
        <v>0</v>
      </c>
      <c r="K17" s="3" t="s">
        <v>2919</v>
      </c>
      <c r="L17" s="4">
        <v>614150.94</v>
      </c>
      <c r="M17" s="4">
        <v>614150.94</v>
      </c>
    </row>
    <row r="18" spans="1:19">
      <c r="A18" s="1" t="s">
        <v>2908</v>
      </c>
      <c r="B18" s="1" t="s">
        <v>151</v>
      </c>
      <c r="C18" s="1" t="s">
        <v>2919</v>
      </c>
      <c r="D18" s="2"/>
      <c r="E18" s="2"/>
      <c r="F18" s="2"/>
      <c r="G18" s="2"/>
      <c r="H18" s="2">
        <v>0</v>
      </c>
      <c r="J18" s="3" t="s">
        <v>156</v>
      </c>
      <c r="L18" s="4">
        <v>2512264.16</v>
      </c>
      <c r="M18" s="4">
        <v>2512264.16</v>
      </c>
      <c r="S18" s="20">
        <f>(L19-L20)*1.06/10000</f>
        <v>41.90000012</v>
      </c>
    </row>
    <row r="19" spans="1:13">
      <c r="A19" s="1" t="s">
        <v>2908</v>
      </c>
      <c r="B19" s="1" t="s">
        <v>152</v>
      </c>
      <c r="C19" s="1" t="s">
        <v>2919</v>
      </c>
      <c r="D19" s="2"/>
      <c r="E19" s="2"/>
      <c r="F19" s="2"/>
      <c r="G19" s="2"/>
      <c r="H19" s="2">
        <v>0</v>
      </c>
      <c r="K19" s="3" t="s">
        <v>2919</v>
      </c>
      <c r="L19" s="4">
        <v>1453773.59</v>
      </c>
      <c r="M19" s="4">
        <v>1453773.59</v>
      </c>
    </row>
    <row r="20" spans="1:13">
      <c r="A20" s="1" t="s">
        <v>2908</v>
      </c>
      <c r="B20" s="1" t="s">
        <v>153</v>
      </c>
      <c r="C20" s="1" t="s">
        <v>2919</v>
      </c>
      <c r="D20" s="2"/>
      <c r="E20" s="2"/>
      <c r="F20" s="2"/>
      <c r="G20" s="2"/>
      <c r="H20" s="2">
        <v>0</v>
      </c>
      <c r="K20" s="3" t="s">
        <v>2922</v>
      </c>
      <c r="L20" s="4">
        <v>1058490.57</v>
      </c>
      <c r="M20" s="4">
        <v>1058490.57</v>
      </c>
    </row>
    <row r="21" spans="1:19">
      <c r="A21" s="1" t="s">
        <v>2908</v>
      </c>
      <c r="B21" s="1" t="s">
        <v>154</v>
      </c>
      <c r="C21" s="1" t="s">
        <v>2919</v>
      </c>
      <c r="D21" s="2"/>
      <c r="E21" s="2"/>
      <c r="F21" s="2"/>
      <c r="G21" s="2"/>
      <c r="H21" s="2">
        <v>0</v>
      </c>
      <c r="J21" s="3" t="s">
        <v>157</v>
      </c>
      <c r="L21" s="4">
        <v>592924.53</v>
      </c>
      <c r="M21" s="4">
        <v>592924.53</v>
      </c>
      <c r="N21" s="4">
        <v>0</v>
      </c>
      <c r="O21" s="4">
        <v>0</v>
      </c>
      <c r="P21" s="4">
        <v>0</v>
      </c>
      <c r="S21" s="20">
        <f>(L22-L23)*1.06/10000</f>
        <v>62.85000018</v>
      </c>
    </row>
    <row r="22" spans="1:16">
      <c r="A22" s="1" t="s">
        <v>2908</v>
      </c>
      <c r="B22" s="1" t="s">
        <v>155</v>
      </c>
      <c r="C22" s="1" t="s">
        <v>2919</v>
      </c>
      <c r="D22" s="2"/>
      <c r="E22" s="2"/>
      <c r="F22" s="2"/>
      <c r="G22" s="2"/>
      <c r="H22" s="2">
        <v>0</v>
      </c>
      <c r="K22" s="3" t="s">
        <v>2919</v>
      </c>
      <c r="L22" s="4">
        <v>592924.53</v>
      </c>
      <c r="M22" s="4">
        <v>592924.53</v>
      </c>
      <c r="N22" s="4">
        <v>0</v>
      </c>
      <c r="O22" s="4">
        <v>0</v>
      </c>
      <c r="P22" s="4">
        <v>0</v>
      </c>
    </row>
    <row r="23" spans="1:12">
      <c r="A23" s="1" t="s">
        <v>2908</v>
      </c>
      <c r="B23" s="1" t="s">
        <v>156</v>
      </c>
      <c r="C23" s="1" t="s">
        <v>2919</v>
      </c>
      <c r="D23" s="2">
        <v>1058490.57</v>
      </c>
      <c r="E23" s="2"/>
      <c r="F23" s="2"/>
      <c r="G23" s="2"/>
      <c r="H23" s="2">
        <v>1058490.57</v>
      </c>
      <c r="K23" s="3" t="s">
        <v>2922</v>
      </c>
      <c r="L23" s="4">
        <v>0</v>
      </c>
    </row>
    <row r="24" spans="1:19">
      <c r="A24" s="1" t="s">
        <v>2908</v>
      </c>
      <c r="B24" s="1" t="s">
        <v>157</v>
      </c>
      <c r="C24" s="1" t="s">
        <v>2919</v>
      </c>
      <c r="D24" s="2"/>
      <c r="E24" s="2"/>
      <c r="F24" s="2"/>
      <c r="G24" s="2"/>
      <c r="H24" s="2">
        <v>0</v>
      </c>
      <c r="J24" s="3" t="s">
        <v>158</v>
      </c>
      <c r="L24" s="4">
        <v>0</v>
      </c>
      <c r="S24" s="20">
        <f>(L25-L26)*1.06/10000</f>
        <v>0</v>
      </c>
    </row>
    <row r="25" spans="1:12">
      <c r="A25" s="1" t="s">
        <v>2908</v>
      </c>
      <c r="B25" s="1" t="s">
        <v>158</v>
      </c>
      <c r="C25" s="1" t="s">
        <v>2919</v>
      </c>
      <c r="D25" s="2"/>
      <c r="E25" s="2"/>
      <c r="F25" s="2"/>
      <c r="G25" s="2"/>
      <c r="H25" s="2">
        <v>0</v>
      </c>
      <c r="K25" s="3" t="s">
        <v>2919</v>
      </c>
      <c r="L25" s="4">
        <v>0</v>
      </c>
    </row>
    <row r="26" spans="1:12">
      <c r="A26" s="1" t="s">
        <v>2908</v>
      </c>
      <c r="B26" s="1" t="s">
        <v>159</v>
      </c>
      <c r="C26" s="1" t="s">
        <v>2919</v>
      </c>
      <c r="D26" s="2">
        <v>2594339.62</v>
      </c>
      <c r="E26" s="2">
        <v>0</v>
      </c>
      <c r="F26" s="2">
        <v>0</v>
      </c>
      <c r="G26" s="2">
        <v>0</v>
      </c>
      <c r="H26" s="2">
        <v>2594339.62</v>
      </c>
      <c r="K26" s="3" t="s">
        <v>2922</v>
      </c>
      <c r="L26" s="4">
        <v>0</v>
      </c>
    </row>
    <row r="27" spans="1:19">
      <c r="A27" s="1" t="s">
        <v>2918</v>
      </c>
      <c r="B27" s="1" t="s">
        <v>156</v>
      </c>
      <c r="C27" s="1" t="s">
        <v>2922</v>
      </c>
      <c r="D27" s="2">
        <v>1058490.57</v>
      </c>
      <c r="E27" s="2"/>
      <c r="F27" s="2"/>
      <c r="G27" s="2"/>
      <c r="H27" s="2">
        <v>1058490.57</v>
      </c>
      <c r="J27" s="3" t="s">
        <v>159</v>
      </c>
      <c r="L27" s="4">
        <v>5981999.98</v>
      </c>
      <c r="M27" s="4">
        <v>5981999.98</v>
      </c>
      <c r="N27" s="4">
        <v>0</v>
      </c>
      <c r="O27" s="4">
        <v>0</v>
      </c>
      <c r="P27" s="4">
        <v>0</v>
      </c>
      <c r="S27" s="20">
        <f>(L28+L29-L30)*1.06/10000</f>
        <v>84.09199844</v>
      </c>
    </row>
    <row r="28" spans="1:16">
      <c r="A28" s="1" t="s">
        <v>2918</v>
      </c>
      <c r="B28" s="1" t="s">
        <v>157</v>
      </c>
      <c r="C28" s="1" t="s">
        <v>2922</v>
      </c>
      <c r="D28" s="2"/>
      <c r="E28" s="2"/>
      <c r="F28" s="2"/>
      <c r="G28" s="2"/>
      <c r="H28" s="2">
        <v>0</v>
      </c>
      <c r="K28" s="3" t="s">
        <v>2921</v>
      </c>
      <c r="L28" s="4">
        <v>200396.21</v>
      </c>
      <c r="M28" s="4">
        <v>200396.21</v>
      </c>
      <c r="N28" s="4">
        <v>0</v>
      </c>
      <c r="O28" s="4">
        <v>0</v>
      </c>
      <c r="P28" s="4">
        <v>0</v>
      </c>
    </row>
    <row r="29" spans="1:16">
      <c r="A29" s="1" t="s">
        <v>2918</v>
      </c>
      <c r="B29" s="1" t="s">
        <v>158</v>
      </c>
      <c r="C29" s="1" t="s">
        <v>2922</v>
      </c>
      <c r="D29" s="2"/>
      <c r="E29" s="2"/>
      <c r="F29" s="2"/>
      <c r="G29" s="2"/>
      <c r="H29" s="2">
        <v>0</v>
      </c>
      <c r="K29" s="3" t="s">
        <v>2919</v>
      </c>
      <c r="L29" s="4">
        <v>3187264.15</v>
      </c>
      <c r="M29" s="4">
        <v>3187264.15</v>
      </c>
      <c r="N29" s="4">
        <v>0</v>
      </c>
      <c r="O29" s="4">
        <v>0</v>
      </c>
      <c r="P29" s="4">
        <v>0</v>
      </c>
    </row>
    <row r="30" spans="1:13">
      <c r="A30" s="1" t="s">
        <v>2918</v>
      </c>
      <c r="B30" s="1" t="s">
        <v>159</v>
      </c>
      <c r="C30" s="1" t="s">
        <v>2922</v>
      </c>
      <c r="D30" s="2">
        <v>2594339.62</v>
      </c>
      <c r="E30" s="2"/>
      <c r="F30" s="2"/>
      <c r="G30" s="2"/>
      <c r="H30" s="2">
        <v>2594339.62</v>
      </c>
      <c r="K30" s="3" t="s">
        <v>2922</v>
      </c>
      <c r="L30" s="4">
        <v>2594339.62</v>
      </c>
      <c r="M30" s="4">
        <v>2594339.62</v>
      </c>
    </row>
    <row r="31" spans="10:16">
      <c r="J31" s="3" t="s">
        <v>319</v>
      </c>
      <c r="L31" s="4">
        <v>11533863.23</v>
      </c>
      <c r="M31" s="4">
        <v>11478698.1</v>
      </c>
      <c r="N31" s="4">
        <v>0</v>
      </c>
      <c r="O31" s="4">
        <v>54573.43</v>
      </c>
      <c r="P31" s="4">
        <v>591.7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workbookViewId="0">
      <selection activeCell="D64" sqref="D64"/>
    </sheetView>
  </sheetViews>
  <sheetFormatPr defaultColWidth="9" defaultRowHeight="13.5"/>
  <cols>
    <col min="4" max="4" width="23.2583333333333" customWidth="1"/>
    <col min="5" max="5" width="13.7583333333333"/>
    <col min="8" max="8" width="9.38333333333333" customWidth="1"/>
    <col min="9" max="9" width="22.1333333333333" style="6" customWidth="1"/>
    <col min="10" max="10" width="17.3833333333333" style="6" customWidth="1"/>
    <col min="11" max="12" width="16" style="6"/>
    <col min="13" max="13" width="12.6333333333333" style="6"/>
    <col min="14" max="14" width="15.6333333333333" style="6" customWidth="1"/>
    <col min="15" max="15" width="13.7583333333333" style="6"/>
  </cols>
  <sheetData>
    <row r="1" spans="1:15">
      <c r="A1" t="s">
        <v>149</v>
      </c>
      <c r="B1">
        <v>6051.01</v>
      </c>
      <c r="C1" t="s">
        <v>2923</v>
      </c>
      <c r="D1" t="s">
        <v>2924</v>
      </c>
      <c r="E1" s="22">
        <v>423280.18</v>
      </c>
      <c r="I1" s="6" t="s">
        <v>2925</v>
      </c>
      <c r="J1" s="6" t="s">
        <v>2926</v>
      </c>
      <c r="K1" s="6" t="s">
        <v>2927</v>
      </c>
      <c r="L1" s="6" t="s">
        <v>2928</v>
      </c>
      <c r="M1" s="6" t="s">
        <v>304</v>
      </c>
      <c r="N1" s="6" t="s">
        <v>2929</v>
      </c>
      <c r="O1" s="6" t="s">
        <v>36</v>
      </c>
    </row>
    <row r="2" spans="4:15">
      <c r="D2" t="s">
        <v>646</v>
      </c>
      <c r="E2" s="22">
        <v>423280.18</v>
      </c>
      <c r="H2" t="s">
        <v>149</v>
      </c>
      <c r="I2" s="6">
        <f>E1</f>
        <v>423280.18</v>
      </c>
      <c r="J2" s="6">
        <f>E3</f>
        <v>427913.87</v>
      </c>
      <c r="K2" s="6">
        <f t="shared" ref="K2:K12" si="0">I2-J2</f>
        <v>-4633.69</v>
      </c>
      <c r="L2" s="6">
        <f t="shared" ref="L2:L12" si="1">K2*1.06</f>
        <v>-4911.7114</v>
      </c>
      <c r="M2" s="6">
        <f t="shared" ref="M2:M12" si="2">L2/10000</f>
        <v>-0.49117114</v>
      </c>
      <c r="N2" s="6">
        <f t="shared" ref="N2:N12" si="3">I2*1.06</f>
        <v>448676.9908</v>
      </c>
      <c r="O2" s="6">
        <f t="shared" ref="O2:O12" si="4">N2/10000</f>
        <v>44.86769908</v>
      </c>
    </row>
    <row r="3" spans="2:15">
      <c r="B3">
        <v>6402.01</v>
      </c>
      <c r="C3" t="s">
        <v>2930</v>
      </c>
      <c r="D3" t="s">
        <v>2924</v>
      </c>
      <c r="E3" s="22">
        <v>427913.87</v>
      </c>
      <c r="H3" t="s">
        <v>150</v>
      </c>
      <c r="I3" s="6">
        <f>E6</f>
        <v>21712.26</v>
      </c>
      <c r="J3" s="6">
        <f>E8</f>
        <v>21170</v>
      </c>
      <c r="K3" s="6">
        <f t="shared" si="0"/>
        <v>542.259999999998</v>
      </c>
      <c r="L3" s="6">
        <f t="shared" si="1"/>
        <v>574.795599999998</v>
      </c>
      <c r="M3" s="6">
        <f t="shared" si="2"/>
        <v>0.0574795599999998</v>
      </c>
      <c r="N3" s="6">
        <f t="shared" si="3"/>
        <v>23014.9956</v>
      </c>
      <c r="O3" s="6">
        <f t="shared" si="4"/>
        <v>2.30149956</v>
      </c>
    </row>
    <row r="4" spans="4:15">
      <c r="D4" t="s">
        <v>646</v>
      </c>
      <c r="E4" s="22">
        <v>427913.87</v>
      </c>
      <c r="H4" t="s">
        <v>151</v>
      </c>
      <c r="I4" s="6">
        <f>E11</f>
        <v>289085.85</v>
      </c>
      <c r="J4" s="6">
        <f>E13</f>
        <v>243505</v>
      </c>
      <c r="K4" s="6">
        <f t="shared" si="0"/>
        <v>45580.85</v>
      </c>
      <c r="L4" s="6">
        <f t="shared" si="1"/>
        <v>48315.701</v>
      </c>
      <c r="M4" s="6">
        <f t="shared" si="2"/>
        <v>4.8315701</v>
      </c>
      <c r="N4" s="6">
        <f t="shared" si="3"/>
        <v>306431.001</v>
      </c>
      <c r="O4" s="6">
        <f t="shared" si="4"/>
        <v>30.6431001</v>
      </c>
    </row>
    <row r="5" spans="8:15">
      <c r="H5" t="s">
        <v>152</v>
      </c>
      <c r="I5" s="6">
        <f>E16</f>
        <v>885986.79</v>
      </c>
      <c r="J5" s="6">
        <f>E19</f>
        <v>512964.91</v>
      </c>
      <c r="K5" s="6">
        <f t="shared" si="0"/>
        <v>373021.88</v>
      </c>
      <c r="L5" s="6">
        <f t="shared" si="1"/>
        <v>395403.1928</v>
      </c>
      <c r="M5" s="6">
        <f t="shared" si="2"/>
        <v>39.54031928</v>
      </c>
      <c r="N5" s="6">
        <f t="shared" si="3"/>
        <v>939145.9974</v>
      </c>
      <c r="O5" s="6">
        <f t="shared" si="4"/>
        <v>93.91459974</v>
      </c>
    </row>
    <row r="6" spans="1:15">
      <c r="A6" t="s">
        <v>150</v>
      </c>
      <c r="B6">
        <v>6051.01</v>
      </c>
      <c r="C6" t="s">
        <v>2923</v>
      </c>
      <c r="D6" t="s">
        <v>2924</v>
      </c>
      <c r="E6" s="22">
        <v>21712.26</v>
      </c>
      <c r="H6" t="s">
        <v>153</v>
      </c>
      <c r="I6" s="6">
        <f>E22</f>
        <v>547989.62</v>
      </c>
      <c r="J6" s="6">
        <f>E25</f>
        <v>500497.45</v>
      </c>
      <c r="K6" s="6">
        <f t="shared" si="0"/>
        <v>47492.17</v>
      </c>
      <c r="L6" s="6">
        <f t="shared" si="1"/>
        <v>50341.7002</v>
      </c>
      <c r="M6" s="6">
        <f t="shared" si="2"/>
        <v>5.03417002</v>
      </c>
      <c r="N6" s="6">
        <f t="shared" si="3"/>
        <v>580868.9972</v>
      </c>
      <c r="O6" s="6">
        <f t="shared" si="4"/>
        <v>58.08689972</v>
      </c>
    </row>
    <row r="7" spans="4:15">
      <c r="D7" t="s">
        <v>646</v>
      </c>
      <c r="E7" s="22">
        <v>21712.26</v>
      </c>
      <c r="H7" t="s">
        <v>154</v>
      </c>
      <c r="I7" s="6">
        <f>E29</f>
        <v>1200218.4</v>
      </c>
      <c r="J7" s="6">
        <f>E33</f>
        <v>1101613.47</v>
      </c>
      <c r="K7" s="6">
        <f t="shared" si="0"/>
        <v>98604.9299999999</v>
      </c>
      <c r="L7" s="6">
        <f t="shared" si="1"/>
        <v>104521.2258</v>
      </c>
      <c r="M7" s="6">
        <f t="shared" si="2"/>
        <v>10.45212258</v>
      </c>
      <c r="N7" s="6">
        <f t="shared" si="3"/>
        <v>1272231.504</v>
      </c>
      <c r="O7" s="6">
        <f t="shared" si="4"/>
        <v>127.2231504</v>
      </c>
    </row>
    <row r="8" spans="2:15">
      <c r="B8">
        <v>6402.01</v>
      </c>
      <c r="C8" t="s">
        <v>2930</v>
      </c>
      <c r="D8" t="s">
        <v>2924</v>
      </c>
      <c r="E8" s="22">
        <v>21170</v>
      </c>
      <c r="H8" t="s">
        <v>155</v>
      </c>
      <c r="I8" s="6">
        <f>E38</f>
        <v>-206199.53</v>
      </c>
      <c r="J8" s="6">
        <f>E42</f>
        <v>-256544.08</v>
      </c>
      <c r="K8" s="6">
        <f t="shared" si="0"/>
        <v>50344.55</v>
      </c>
      <c r="L8" s="6">
        <f t="shared" si="1"/>
        <v>53365.223</v>
      </c>
      <c r="M8" s="6">
        <f t="shared" si="2"/>
        <v>5.3365223</v>
      </c>
      <c r="N8" s="6">
        <f t="shared" si="3"/>
        <v>-218571.5018</v>
      </c>
      <c r="O8" s="6">
        <f t="shared" si="4"/>
        <v>-21.85715018</v>
      </c>
    </row>
    <row r="9" spans="4:15">
      <c r="D9" t="s">
        <v>646</v>
      </c>
      <c r="E9" s="22">
        <v>21170</v>
      </c>
      <c r="H9" t="s">
        <v>156</v>
      </c>
      <c r="I9" s="6">
        <f>E47</f>
        <v>358853.67</v>
      </c>
      <c r="J9" s="6">
        <f>E51</f>
        <v>426996.16</v>
      </c>
      <c r="K9" s="6">
        <f t="shared" si="0"/>
        <v>-68142.49</v>
      </c>
      <c r="L9" s="6">
        <f t="shared" si="1"/>
        <v>-72231.0394</v>
      </c>
      <c r="M9" s="6">
        <f t="shared" si="2"/>
        <v>-7.22310394</v>
      </c>
      <c r="N9" s="6">
        <f t="shared" si="3"/>
        <v>380384.8902</v>
      </c>
      <c r="O9" s="6">
        <f t="shared" si="4"/>
        <v>38.03848902</v>
      </c>
    </row>
    <row r="10" spans="8:15">
      <c r="H10" t="s">
        <v>157</v>
      </c>
      <c r="I10" s="6">
        <f>E57</f>
        <v>76652.18</v>
      </c>
      <c r="J10" s="6">
        <f>E61</f>
        <v>52107.87</v>
      </c>
      <c r="K10" s="6">
        <f t="shared" si="0"/>
        <v>24544.31</v>
      </c>
      <c r="L10" s="6">
        <f t="shared" si="1"/>
        <v>26016.9686</v>
      </c>
      <c r="M10" s="6">
        <f t="shared" si="2"/>
        <v>2.60169686</v>
      </c>
      <c r="N10" s="6">
        <f t="shared" si="3"/>
        <v>81251.3108</v>
      </c>
      <c r="O10" s="6">
        <f t="shared" si="4"/>
        <v>8.12513108</v>
      </c>
    </row>
    <row r="11" spans="1:15">
      <c r="A11" t="s">
        <v>151</v>
      </c>
      <c r="B11">
        <v>6051.01</v>
      </c>
      <c r="C11" t="s">
        <v>2923</v>
      </c>
      <c r="D11" t="s">
        <v>2924</v>
      </c>
      <c r="E11" s="22">
        <v>289085.85</v>
      </c>
      <c r="H11" t="s">
        <v>158</v>
      </c>
      <c r="I11" s="6">
        <f>E67</f>
        <v>1158479.12</v>
      </c>
      <c r="J11" s="6">
        <f>E71</f>
        <v>1027294.8</v>
      </c>
      <c r="K11" s="6">
        <f t="shared" si="0"/>
        <v>131184.32</v>
      </c>
      <c r="L11" s="6">
        <f t="shared" si="1"/>
        <v>139055.3792</v>
      </c>
      <c r="M11" s="6">
        <f t="shared" si="2"/>
        <v>13.90553792</v>
      </c>
      <c r="N11" s="6">
        <f t="shared" si="3"/>
        <v>1227987.8672</v>
      </c>
      <c r="O11" s="6">
        <f t="shared" si="4"/>
        <v>122.79878672</v>
      </c>
    </row>
    <row r="12" spans="4:15">
      <c r="D12" t="s">
        <v>646</v>
      </c>
      <c r="E12" s="22">
        <v>289085.85</v>
      </c>
      <c r="H12" t="s">
        <v>159</v>
      </c>
      <c r="I12" s="6">
        <f>E77</f>
        <v>2275467.64</v>
      </c>
      <c r="J12" s="6">
        <f>E82</f>
        <v>1431036.94</v>
      </c>
      <c r="K12" s="6">
        <f t="shared" si="0"/>
        <v>844430.7</v>
      </c>
      <c r="L12" s="6">
        <f t="shared" si="1"/>
        <v>895096.542</v>
      </c>
      <c r="M12" s="6">
        <f t="shared" si="2"/>
        <v>89.5096542</v>
      </c>
      <c r="N12" s="6">
        <f t="shared" si="3"/>
        <v>2411995.6984</v>
      </c>
      <c r="O12" s="6">
        <f t="shared" si="4"/>
        <v>241.19956984</v>
      </c>
    </row>
    <row r="13" spans="2:15">
      <c r="B13">
        <v>6402.01</v>
      </c>
      <c r="C13" t="s">
        <v>2930</v>
      </c>
      <c r="D13" t="s">
        <v>2924</v>
      </c>
      <c r="E13" s="22">
        <v>243505</v>
      </c>
      <c r="H13" t="s">
        <v>71</v>
      </c>
      <c r="I13" s="6">
        <f t="shared" ref="I13:O13" si="5">SUM(I2:I12)</f>
        <v>7031526.18</v>
      </c>
      <c r="J13" s="6">
        <f t="shared" si="5"/>
        <v>5488556.39</v>
      </c>
      <c r="K13" s="6">
        <f t="shared" si="5"/>
        <v>1542969.79</v>
      </c>
      <c r="L13" s="6">
        <f t="shared" si="5"/>
        <v>1635547.9774</v>
      </c>
      <c r="M13" s="6">
        <f t="shared" si="5"/>
        <v>163.55479774</v>
      </c>
      <c r="N13" s="6">
        <f t="shared" si="5"/>
        <v>7453417.7508</v>
      </c>
      <c r="O13" s="6">
        <f t="shared" si="5"/>
        <v>745.34177508</v>
      </c>
    </row>
    <row r="14" spans="4:10">
      <c r="D14" t="s">
        <v>646</v>
      </c>
      <c r="E14" s="22">
        <v>243505</v>
      </c>
      <c r="I14" s="6">
        <f>I13-K18</f>
        <v>0</v>
      </c>
      <c r="J14" s="6">
        <f>J13-K19</f>
        <v>0</v>
      </c>
    </row>
    <row r="16" spans="1:5">
      <c r="A16" t="s">
        <v>152</v>
      </c>
      <c r="B16">
        <v>6051.01</v>
      </c>
      <c r="C16" t="s">
        <v>2923</v>
      </c>
      <c r="D16" t="s">
        <v>2924</v>
      </c>
      <c r="E16" s="22">
        <v>885986.79</v>
      </c>
    </row>
    <row r="17" spans="4:5">
      <c r="D17" t="s">
        <v>646</v>
      </c>
      <c r="E17" s="22">
        <v>577165.09</v>
      </c>
    </row>
    <row r="18" spans="4:11">
      <c r="D18" t="s">
        <v>730</v>
      </c>
      <c r="E18" s="22">
        <v>308821.7</v>
      </c>
      <c r="H18">
        <v>6051.01</v>
      </c>
      <c r="I18" s="6" t="s">
        <v>2923</v>
      </c>
      <c r="J18" s="6" t="s">
        <v>2924</v>
      </c>
      <c r="K18" s="6">
        <v>7031526.18</v>
      </c>
    </row>
    <row r="19" spans="2:11">
      <c r="B19">
        <v>6402.01</v>
      </c>
      <c r="C19" t="s">
        <v>2930</v>
      </c>
      <c r="D19" t="s">
        <v>2924</v>
      </c>
      <c r="E19" s="22">
        <v>512964.91</v>
      </c>
      <c r="H19">
        <v>6402.01</v>
      </c>
      <c r="I19" s="6" t="s">
        <v>2930</v>
      </c>
      <c r="J19" s="6" t="s">
        <v>2924</v>
      </c>
      <c r="K19" s="6">
        <v>5488556.39</v>
      </c>
    </row>
    <row r="20" spans="4:5">
      <c r="D20" t="s">
        <v>646</v>
      </c>
      <c r="E20" s="22">
        <v>512964.91</v>
      </c>
    </row>
    <row r="22" spans="1:5">
      <c r="A22" t="s">
        <v>153</v>
      </c>
      <c r="B22">
        <v>6051.01</v>
      </c>
      <c r="C22" t="s">
        <v>2923</v>
      </c>
      <c r="D22" t="s">
        <v>2924</v>
      </c>
      <c r="E22" s="22">
        <v>547989.62</v>
      </c>
    </row>
    <row r="23" spans="4:5">
      <c r="D23" t="s">
        <v>646</v>
      </c>
      <c r="E23" s="22">
        <v>547989.62</v>
      </c>
    </row>
    <row r="24" spans="4:5">
      <c r="D24" t="s">
        <v>730</v>
      </c>
      <c r="E24">
        <v>0</v>
      </c>
    </row>
    <row r="25" spans="2:5">
      <c r="B25">
        <v>6402.01</v>
      </c>
      <c r="C25" t="s">
        <v>2930</v>
      </c>
      <c r="D25" t="s">
        <v>2924</v>
      </c>
      <c r="E25" s="22">
        <v>500497.45</v>
      </c>
    </row>
    <row r="26" spans="4:5">
      <c r="D26" t="s">
        <v>646</v>
      </c>
      <c r="E26" s="22">
        <v>500497.45</v>
      </c>
    </row>
    <row r="29" spans="1:5">
      <c r="A29" t="s">
        <v>154</v>
      </c>
      <c r="B29">
        <v>6051.01</v>
      </c>
      <c r="C29" t="s">
        <v>2923</v>
      </c>
      <c r="D29" t="s">
        <v>2924</v>
      </c>
      <c r="E29" s="22">
        <v>1200218.4</v>
      </c>
    </row>
    <row r="30" spans="4:5">
      <c r="D30" t="s">
        <v>646</v>
      </c>
      <c r="E30" s="22">
        <v>92425.95</v>
      </c>
    </row>
    <row r="31" spans="4:5">
      <c r="D31" t="s">
        <v>730</v>
      </c>
      <c r="E31">
        <v>0</v>
      </c>
    </row>
    <row r="32" spans="4:5">
      <c r="D32" t="s">
        <v>748</v>
      </c>
      <c r="E32" s="22">
        <v>1107792.45</v>
      </c>
    </row>
    <row r="33" spans="2:5">
      <c r="B33">
        <v>6402.01</v>
      </c>
      <c r="C33" t="s">
        <v>2930</v>
      </c>
      <c r="D33" t="s">
        <v>2924</v>
      </c>
      <c r="E33" s="22">
        <v>1101613.47</v>
      </c>
    </row>
    <row r="34" spans="4:5">
      <c r="D34" t="s">
        <v>646</v>
      </c>
      <c r="E34" s="22">
        <v>10302.15</v>
      </c>
    </row>
    <row r="35" spans="4:5">
      <c r="D35" t="s">
        <v>748</v>
      </c>
      <c r="E35" s="22">
        <v>1091311.32</v>
      </c>
    </row>
    <row r="38" spans="1:5">
      <c r="A38" t="s">
        <v>155</v>
      </c>
      <c r="B38">
        <v>6051.01</v>
      </c>
      <c r="C38" t="s">
        <v>2923</v>
      </c>
      <c r="D38" t="s">
        <v>2924</v>
      </c>
      <c r="E38" s="22">
        <v>-206199.53</v>
      </c>
    </row>
    <row r="39" spans="4:5">
      <c r="D39" t="s">
        <v>646</v>
      </c>
      <c r="E39" s="22">
        <v>-945141.98</v>
      </c>
    </row>
    <row r="40" spans="4:5">
      <c r="D40" t="s">
        <v>730</v>
      </c>
      <c r="E40" s="22">
        <v>720989.62</v>
      </c>
    </row>
    <row r="41" spans="4:5">
      <c r="D41" t="s">
        <v>748</v>
      </c>
      <c r="E41" s="22">
        <v>17952.83</v>
      </c>
    </row>
    <row r="42" spans="2:5">
      <c r="B42">
        <v>6402.01</v>
      </c>
      <c r="C42" t="s">
        <v>2930</v>
      </c>
      <c r="D42" t="s">
        <v>2924</v>
      </c>
      <c r="E42" s="22">
        <v>-256544.08</v>
      </c>
    </row>
    <row r="43" spans="4:5">
      <c r="D43" t="s">
        <v>646</v>
      </c>
      <c r="E43" s="22">
        <v>-273603.51</v>
      </c>
    </row>
    <row r="44" spans="4:5">
      <c r="D44" t="s">
        <v>748</v>
      </c>
      <c r="E44" s="22">
        <v>17059.43</v>
      </c>
    </row>
    <row r="47" spans="1:5">
      <c r="A47" t="s">
        <v>156</v>
      </c>
      <c r="B47">
        <v>6051.01</v>
      </c>
      <c r="C47" t="s">
        <v>2923</v>
      </c>
      <c r="D47" t="s">
        <v>2924</v>
      </c>
      <c r="E47" s="22">
        <v>358853.67</v>
      </c>
    </row>
    <row r="48" spans="4:5">
      <c r="D48" t="s">
        <v>646</v>
      </c>
      <c r="E48" s="22">
        <v>64721.59</v>
      </c>
    </row>
    <row r="49" spans="4:5">
      <c r="D49" t="s">
        <v>730</v>
      </c>
      <c r="E49">
        <v>0</v>
      </c>
    </row>
    <row r="50" spans="4:5">
      <c r="D50" t="s">
        <v>748</v>
      </c>
      <c r="E50" s="22">
        <v>294132.08</v>
      </c>
    </row>
    <row r="51" spans="2:5">
      <c r="B51">
        <v>6402.01</v>
      </c>
      <c r="C51" t="s">
        <v>2930</v>
      </c>
      <c r="D51" t="s">
        <v>2924</v>
      </c>
      <c r="E51" s="22">
        <v>426996.16</v>
      </c>
    </row>
    <row r="52" spans="4:5">
      <c r="D52" t="s">
        <v>646</v>
      </c>
      <c r="E52" s="22">
        <v>134963.07</v>
      </c>
    </row>
    <row r="53" spans="4:5">
      <c r="D53" t="s">
        <v>725</v>
      </c>
      <c r="E53" s="22">
        <v>1310.68</v>
      </c>
    </row>
    <row r="54" spans="4:5">
      <c r="D54" t="s">
        <v>748</v>
      </c>
      <c r="E54" s="22">
        <v>290722.41</v>
      </c>
    </row>
    <row r="57" spans="1:5">
      <c r="A57" t="s">
        <v>157</v>
      </c>
      <c r="B57">
        <v>6051.01</v>
      </c>
      <c r="C57" t="s">
        <v>2923</v>
      </c>
      <c r="D57" t="s">
        <v>2924</v>
      </c>
      <c r="E57" s="22">
        <v>76652.18</v>
      </c>
    </row>
    <row r="58" spans="4:5">
      <c r="D58" t="s">
        <v>646</v>
      </c>
      <c r="E58" s="22">
        <v>76652.18</v>
      </c>
    </row>
    <row r="59" spans="4:5">
      <c r="D59" t="s">
        <v>730</v>
      </c>
      <c r="E59">
        <v>0</v>
      </c>
    </row>
    <row r="60" spans="4:5">
      <c r="D60" t="s">
        <v>748</v>
      </c>
      <c r="E60">
        <v>0</v>
      </c>
    </row>
    <row r="61" spans="2:5">
      <c r="B61">
        <v>6402.01</v>
      </c>
      <c r="C61" t="s">
        <v>2930</v>
      </c>
      <c r="D61" t="s">
        <v>2924</v>
      </c>
      <c r="E61" s="22">
        <v>52107.87</v>
      </c>
    </row>
    <row r="62" spans="4:5">
      <c r="D62" t="s">
        <v>646</v>
      </c>
      <c r="E62" s="22">
        <v>52107.87</v>
      </c>
    </row>
    <row r="63" spans="4:5">
      <c r="D63" t="s">
        <v>725</v>
      </c>
      <c r="E63">
        <v>0</v>
      </c>
    </row>
    <row r="64" spans="4:5">
      <c r="D64" t="s">
        <v>748</v>
      </c>
      <c r="E64">
        <v>0</v>
      </c>
    </row>
    <row r="67" spans="1:5">
      <c r="A67" t="s">
        <v>158</v>
      </c>
      <c r="B67">
        <v>6051.01</v>
      </c>
      <c r="C67" t="s">
        <v>2923</v>
      </c>
      <c r="D67" t="s">
        <v>2924</v>
      </c>
      <c r="E67" s="22">
        <v>1158479.12</v>
      </c>
    </row>
    <row r="68" spans="4:5">
      <c r="D68" t="s">
        <v>646</v>
      </c>
      <c r="E68" s="22">
        <v>1143540.56</v>
      </c>
    </row>
    <row r="69" spans="4:5">
      <c r="D69" t="s">
        <v>730</v>
      </c>
      <c r="E69" s="22">
        <v>14938.56</v>
      </c>
    </row>
    <row r="70" spans="4:5">
      <c r="D70" t="s">
        <v>748</v>
      </c>
      <c r="E70">
        <v>0</v>
      </c>
    </row>
    <row r="71" spans="2:5">
      <c r="B71">
        <v>6402.01</v>
      </c>
      <c r="C71" t="s">
        <v>2930</v>
      </c>
      <c r="D71" t="s">
        <v>2924</v>
      </c>
      <c r="E71" s="22">
        <v>1027294.8</v>
      </c>
    </row>
    <row r="72" spans="4:5">
      <c r="D72" t="s">
        <v>646</v>
      </c>
      <c r="E72" s="22">
        <v>1026857.91</v>
      </c>
    </row>
    <row r="73" spans="4:5">
      <c r="D73" t="s">
        <v>725</v>
      </c>
      <c r="E73">
        <v>0</v>
      </c>
    </row>
    <row r="74" spans="4:5">
      <c r="D74" t="s">
        <v>748</v>
      </c>
      <c r="E74">
        <v>436.89</v>
      </c>
    </row>
    <row r="77" spans="1:5">
      <c r="A77" t="s">
        <v>159</v>
      </c>
      <c r="B77">
        <v>6051.01</v>
      </c>
      <c r="C77" t="s">
        <v>2923</v>
      </c>
      <c r="D77" t="s">
        <v>2924</v>
      </c>
      <c r="E77" s="22">
        <v>2275467.64</v>
      </c>
    </row>
    <row r="78" spans="4:5">
      <c r="D78" t="s">
        <v>646</v>
      </c>
      <c r="E78" s="22">
        <v>1615509.15</v>
      </c>
    </row>
    <row r="79" spans="4:5">
      <c r="D79" t="s">
        <v>730</v>
      </c>
      <c r="E79">
        <v>0</v>
      </c>
    </row>
    <row r="80" spans="4:5">
      <c r="D80" t="s">
        <v>710</v>
      </c>
      <c r="E80" s="22">
        <v>659958.49</v>
      </c>
    </row>
    <row r="81" spans="4:5">
      <c r="D81" t="s">
        <v>748</v>
      </c>
      <c r="E81">
        <v>0</v>
      </c>
    </row>
    <row r="82" spans="2:5">
      <c r="B82">
        <v>6402.01</v>
      </c>
      <c r="C82" t="s">
        <v>2930</v>
      </c>
      <c r="D82" t="s">
        <v>2924</v>
      </c>
      <c r="E82" s="22">
        <v>1431036.94</v>
      </c>
    </row>
    <row r="83" spans="4:5">
      <c r="D83" t="s">
        <v>646</v>
      </c>
      <c r="E83" s="22">
        <v>1433901.13</v>
      </c>
    </row>
    <row r="84" spans="4:5">
      <c r="D84" t="s">
        <v>725</v>
      </c>
      <c r="E84">
        <v>0</v>
      </c>
    </row>
    <row r="85" spans="4:5">
      <c r="D85" t="s">
        <v>748</v>
      </c>
      <c r="E85" s="22">
        <v>-2864.19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57"/>
  <sheetViews>
    <sheetView topLeftCell="I1" workbookViewId="0">
      <pane ySplit="1" topLeftCell="A1017" activePane="bottomLeft" state="frozen"/>
      <selection/>
      <selection pane="bottomLeft" activeCell="D64" sqref="D64"/>
    </sheetView>
  </sheetViews>
  <sheetFormatPr defaultColWidth="9" defaultRowHeight="13.5"/>
  <cols>
    <col min="1" max="2" width="9" style="1"/>
    <col min="3" max="3" width="15.7583333333333" style="1" customWidth="1"/>
    <col min="4" max="4" width="13.3833333333333" style="2" customWidth="1"/>
    <col min="5" max="5" width="14" style="2" customWidth="1"/>
    <col min="6" max="6" width="14.7583333333333" style="2" customWidth="1"/>
    <col min="7" max="7" width="13.1333333333333" style="2" customWidth="1"/>
    <col min="8" max="8" width="17.4416666666667" style="2" customWidth="1"/>
    <col min="9" max="9" width="9" style="21"/>
    <col min="10" max="10" width="7.38333333333333" style="3"/>
    <col min="11" max="11" width="21.2583333333333" style="3"/>
    <col min="12" max="12" width="17.8833333333333" style="3" customWidth="1"/>
    <col min="13" max="13" width="17.8833333333333" style="4"/>
    <col min="14" max="15" width="18.8833333333333" style="4"/>
    <col min="16" max="16" width="17.8833333333333" style="4"/>
    <col min="17" max="17" width="19" style="4" customWidth="1"/>
    <col min="18" max="18" width="11.5" style="4" customWidth="1"/>
    <col min="19" max="19" width="14.5" style="4" customWidth="1"/>
    <col min="20" max="20" width="14"/>
    <col min="21" max="22" width="15"/>
    <col min="23" max="23" width="15" style="4"/>
    <col min="24" max="24" width="9" style="3"/>
    <col min="25" max="28" width="12.6333333333333" style="4"/>
  </cols>
  <sheetData>
    <row r="1" spans="1:25">
      <c r="A1" s="7" t="s">
        <v>2885</v>
      </c>
      <c r="B1" s="7" t="s">
        <v>84</v>
      </c>
      <c r="C1" s="7" t="s">
        <v>2886</v>
      </c>
      <c r="D1" s="8" t="s">
        <v>12</v>
      </c>
      <c r="E1" s="8" t="s">
        <v>13</v>
      </c>
      <c r="F1" s="8" t="s">
        <v>14</v>
      </c>
      <c r="G1" s="8" t="s">
        <v>20</v>
      </c>
      <c r="H1" s="8" t="s">
        <v>15</v>
      </c>
      <c r="J1" s="3" t="s">
        <v>84</v>
      </c>
      <c r="K1" s="3" t="s">
        <v>2886</v>
      </c>
      <c r="L1" s="3" t="s">
        <v>15</v>
      </c>
      <c r="M1" s="4" t="s">
        <v>2888</v>
      </c>
      <c r="N1" s="4" t="s">
        <v>2889</v>
      </c>
      <c r="O1" s="4" t="s">
        <v>2890</v>
      </c>
      <c r="P1" s="4" t="s">
        <v>2891</v>
      </c>
      <c r="Y1" s="4" t="s">
        <v>304</v>
      </c>
    </row>
    <row r="2" spans="1:28">
      <c r="A2" s="1" t="s">
        <v>369</v>
      </c>
      <c r="B2" s="1" t="s">
        <v>148</v>
      </c>
      <c r="C2" s="1" t="s">
        <v>2892</v>
      </c>
      <c r="D2" s="2">
        <v>83391186.34</v>
      </c>
      <c r="E2" s="2">
        <v>722362958.34</v>
      </c>
      <c r="F2" s="2">
        <v>139996284.84</v>
      </c>
      <c r="G2" s="2">
        <v>78570643.2199999</v>
      </c>
      <c r="H2" s="2">
        <f t="shared" ref="H2:H65" si="0">SUM(D2:G2)</f>
        <v>1024321072.74</v>
      </c>
      <c r="I2"/>
      <c r="J2" s="3" t="s">
        <v>148</v>
      </c>
      <c r="M2" s="4">
        <v>298018759.3038</v>
      </c>
      <c r="N2" s="4">
        <v>1723569128.2014</v>
      </c>
      <c r="O2" s="4">
        <v>791394078.0212</v>
      </c>
      <c r="P2" s="4">
        <v>368263651.5038</v>
      </c>
      <c r="S2" s="4" t="s">
        <v>12</v>
      </c>
      <c r="T2" t="s">
        <v>13</v>
      </c>
      <c r="U2" t="s">
        <v>14</v>
      </c>
      <c r="V2" s="3" t="s">
        <v>20</v>
      </c>
      <c r="X2" s="4"/>
      <c r="Y2" s="4" t="s">
        <v>12</v>
      </c>
      <c r="Z2" s="4" t="s">
        <v>13</v>
      </c>
      <c r="AA2" s="4" t="s">
        <v>14</v>
      </c>
      <c r="AB2" s="4" t="s">
        <v>20</v>
      </c>
    </row>
    <row r="3" spans="1:28">
      <c r="A3" s="1" t="s">
        <v>369</v>
      </c>
      <c r="B3" s="1" t="s">
        <v>149</v>
      </c>
      <c r="C3" s="1" t="s">
        <v>2892</v>
      </c>
      <c r="D3" s="2">
        <v>104226378.37</v>
      </c>
      <c r="E3" s="2">
        <v>757780650.870001</v>
      </c>
      <c r="F3" s="2">
        <v>146588377.62</v>
      </c>
      <c r="G3" s="2">
        <v>44878029.71</v>
      </c>
      <c r="H3" s="2">
        <f t="shared" si="0"/>
        <v>1053473436.57</v>
      </c>
      <c r="I3"/>
      <c r="K3" s="3" t="s">
        <v>1901</v>
      </c>
      <c r="L3" s="4">
        <f t="shared" ref="L3:L66" si="1">SUM(M3:P3)</f>
        <v>711389.2</v>
      </c>
      <c r="M3" s="4">
        <v>711389.2</v>
      </c>
      <c r="Q3" s="4">
        <f>(L10-L9)+(L7-L8-L5+L6+L15-L16+L4-L3+L13-L14-L11+L12)*1.06</f>
        <v>32676353.0448</v>
      </c>
      <c r="R3" s="4" t="s">
        <v>2894</v>
      </c>
      <c r="S3" s="4">
        <f>(M10-M9)+(M7-M8-M5+M6+M15-M16)*1.06</f>
        <v>4022782.28699999</v>
      </c>
      <c r="T3" s="4">
        <f>(N10-N9)+(N7-N8-N5+N6+N15-N16)*1.06</f>
        <v>5595192.40400001</v>
      </c>
      <c r="U3" s="4">
        <f>(O10-O9)+(O7-O8-O5+O6+O15-O16)*1.06</f>
        <v>16076582.581</v>
      </c>
      <c r="V3" s="4">
        <f>(P10-P9)+(P7-P8-P5+P6+P15-P16)*1.06</f>
        <v>5076808.84400002</v>
      </c>
      <c r="X3" s="4" t="s">
        <v>2894</v>
      </c>
      <c r="Y3" s="4">
        <f>S3/10000</f>
        <v>402.278228699999</v>
      </c>
      <c r="Z3" s="4">
        <f>T3/10000</f>
        <v>559.519240400001</v>
      </c>
      <c r="AA3" s="4">
        <f>U3/10000</f>
        <v>1607.6582581</v>
      </c>
      <c r="AB3" s="4">
        <f>V3/10000</f>
        <v>507.680884400002</v>
      </c>
    </row>
    <row r="4" spans="1:28">
      <c r="A4" s="1" t="s">
        <v>369</v>
      </c>
      <c r="B4" s="1" t="s">
        <v>150</v>
      </c>
      <c r="C4" s="1" t="s">
        <v>2892</v>
      </c>
      <c r="D4" s="2">
        <v>74054577.99</v>
      </c>
      <c r="E4" s="2">
        <v>1094204504.58</v>
      </c>
      <c r="F4" s="2">
        <v>135318105.23</v>
      </c>
      <c r="G4" s="2">
        <v>86180034.78</v>
      </c>
      <c r="H4" s="2">
        <f t="shared" si="0"/>
        <v>1389757222.58</v>
      </c>
      <c r="I4"/>
      <c r="K4" s="3" t="s">
        <v>2931</v>
      </c>
      <c r="L4" s="4">
        <f t="shared" si="1"/>
        <v>2328230.32</v>
      </c>
      <c r="M4" s="4">
        <v>845198.75</v>
      </c>
      <c r="O4" s="4">
        <v>1473464.98</v>
      </c>
      <c r="P4" s="4">
        <v>9566.59</v>
      </c>
      <c r="Q4" s="4">
        <f>Q3-W5</f>
        <v>-2.98023223876953e-8</v>
      </c>
      <c r="R4" s="4" t="s">
        <v>583</v>
      </c>
      <c r="S4" s="4">
        <f>(M4-M3)*1.06</f>
        <v>141838.123</v>
      </c>
      <c r="T4" s="4">
        <f>(N4-N3)*1.06</f>
        <v>0</v>
      </c>
      <c r="U4" s="4">
        <f>(O4-O3)*1.06</f>
        <v>1561872.8788</v>
      </c>
      <c r="V4" s="4">
        <f>(P4-P3)*1.06</f>
        <v>10140.5854</v>
      </c>
      <c r="X4" s="4" t="s">
        <v>583</v>
      </c>
      <c r="Y4" s="4">
        <f>S4/10000</f>
        <v>14.1838123</v>
      </c>
      <c r="Z4" s="4">
        <f>T4/10000</f>
        <v>0</v>
      </c>
      <c r="AA4" s="4">
        <f>U4/10000</f>
        <v>156.18728788</v>
      </c>
      <c r="AB4" s="4">
        <f>V4/10000</f>
        <v>1.01405854</v>
      </c>
    </row>
    <row r="5" spans="1:28">
      <c r="A5" s="1" t="s">
        <v>369</v>
      </c>
      <c r="B5" s="1" t="s">
        <v>151</v>
      </c>
      <c r="C5" s="1" t="s">
        <v>2892</v>
      </c>
      <c r="D5" s="2">
        <v>78588831.4</v>
      </c>
      <c r="E5" s="2">
        <v>995483307.64</v>
      </c>
      <c r="F5" s="2">
        <v>140585515.8</v>
      </c>
      <c r="G5" s="2">
        <v>67331394.55</v>
      </c>
      <c r="H5" s="2">
        <f t="shared" si="0"/>
        <v>1281989049.39</v>
      </c>
      <c r="I5"/>
      <c r="K5" s="3" t="s">
        <v>2893</v>
      </c>
      <c r="L5" s="4">
        <f t="shared" si="1"/>
        <v>112532577.61</v>
      </c>
      <c r="M5" s="4">
        <v>8878547.25</v>
      </c>
      <c r="N5" s="4">
        <v>3969974.99</v>
      </c>
      <c r="O5" s="4">
        <v>78613857.87</v>
      </c>
      <c r="P5" s="4">
        <v>21070197.5</v>
      </c>
      <c r="R5" s="4" t="s">
        <v>2897</v>
      </c>
      <c r="S5" s="4">
        <f>(M13-M14-M11+M12)*1.06</f>
        <v>0</v>
      </c>
      <c r="T5" s="4">
        <f>(N13-N14-N11+N12)*1.06</f>
        <v>0</v>
      </c>
      <c r="U5" s="4">
        <f>(O13-O14-O11+O12)*1.06</f>
        <v>0</v>
      </c>
      <c r="V5" s="4">
        <f>(P13-P14-P11+P12)*1.06</f>
        <v>191135.3416</v>
      </c>
      <c r="W5" s="4">
        <f>SUM(S3:V5)</f>
        <v>32676353.0448</v>
      </c>
      <c r="X5" s="4" t="s">
        <v>2897</v>
      </c>
      <c r="Y5" s="4">
        <f>S5/10000</f>
        <v>0</v>
      </c>
      <c r="Z5" s="4">
        <f>T5/10000</f>
        <v>0</v>
      </c>
      <c r="AA5" s="4">
        <f>U5/10000</f>
        <v>0</v>
      </c>
      <c r="AB5" s="4">
        <f>V5/10000</f>
        <v>19.11353416</v>
      </c>
    </row>
    <row r="6" spans="1:16">
      <c r="A6" s="1" t="s">
        <v>369</v>
      </c>
      <c r="B6" s="1" t="s">
        <v>152</v>
      </c>
      <c r="C6" s="1" t="s">
        <v>2892</v>
      </c>
      <c r="D6" s="2">
        <v>110654596.9</v>
      </c>
      <c r="E6" s="2">
        <v>1280978338.58</v>
      </c>
      <c r="F6" s="2">
        <v>133285495.88</v>
      </c>
      <c r="G6" s="2">
        <v>42522187.15</v>
      </c>
      <c r="H6" s="2">
        <f t="shared" si="0"/>
        <v>1567440618.51</v>
      </c>
      <c r="I6"/>
      <c r="K6" s="3" t="s">
        <v>2895</v>
      </c>
      <c r="L6" s="4">
        <f t="shared" si="1"/>
        <v>2033776.68</v>
      </c>
      <c r="N6" s="4">
        <v>388271.89</v>
      </c>
      <c r="O6" s="4">
        <v>1640033.09</v>
      </c>
      <c r="P6" s="4">
        <v>5471.7</v>
      </c>
    </row>
    <row r="7" spans="1:28">
      <c r="A7" s="1" t="s">
        <v>369</v>
      </c>
      <c r="B7" s="1" t="s">
        <v>153</v>
      </c>
      <c r="C7" s="1" t="s">
        <v>2892</v>
      </c>
      <c r="D7" s="2">
        <v>66141046.75</v>
      </c>
      <c r="E7" s="2">
        <v>1403158022.77</v>
      </c>
      <c r="F7" s="2">
        <v>134105688.34</v>
      </c>
      <c r="G7" s="2">
        <v>39058584.4</v>
      </c>
      <c r="H7" s="2">
        <f t="shared" si="0"/>
        <v>1642463342.26</v>
      </c>
      <c r="I7"/>
      <c r="K7" s="3" t="s">
        <v>2896</v>
      </c>
      <c r="L7" s="4">
        <f t="shared" si="1"/>
        <v>122210207.21</v>
      </c>
      <c r="M7" s="4">
        <v>10391711.69</v>
      </c>
      <c r="N7" s="4">
        <v>4059171.78</v>
      </c>
      <c r="O7" s="4">
        <v>84497686.53</v>
      </c>
      <c r="P7" s="4">
        <v>23261637.21</v>
      </c>
      <c r="R7" s="4" t="s">
        <v>2932</v>
      </c>
      <c r="S7" s="4">
        <f>(M13-M14)*1.06</f>
        <v>0</v>
      </c>
      <c r="T7" s="4">
        <f>(N13-N14)*1.06</f>
        <v>0</v>
      </c>
      <c r="U7" s="4">
        <f>(O13-O14)*1.06</f>
        <v>0</v>
      </c>
      <c r="V7" s="4">
        <f>(P13-P14)*1.06</f>
        <v>1310789.9898</v>
      </c>
      <c r="X7" s="4" t="s">
        <v>2932</v>
      </c>
      <c r="Y7" s="4">
        <f>S7/10000</f>
        <v>0</v>
      </c>
      <c r="Z7" s="4">
        <f>T7/10000</f>
        <v>0</v>
      </c>
      <c r="AA7" s="4">
        <f>U7/10000</f>
        <v>0</v>
      </c>
      <c r="AB7" s="4">
        <f>V7/10000</f>
        <v>131.07899898</v>
      </c>
    </row>
    <row r="8" spans="1:16">
      <c r="A8" s="1" t="s">
        <v>369</v>
      </c>
      <c r="B8" s="1" t="s">
        <v>154</v>
      </c>
      <c r="C8" s="1" t="s">
        <v>2892</v>
      </c>
      <c r="D8" s="2">
        <v>100143833.96</v>
      </c>
      <c r="E8" s="2">
        <v>1454848240.5</v>
      </c>
      <c r="F8" s="2">
        <v>134237845.27</v>
      </c>
      <c r="G8" s="2">
        <v>39694579.25</v>
      </c>
      <c r="H8" s="2">
        <f t="shared" si="0"/>
        <v>1728924498.98</v>
      </c>
      <c r="I8"/>
      <c r="K8" s="3" t="s">
        <v>2898</v>
      </c>
      <c r="L8" s="4">
        <f t="shared" si="1"/>
        <v>2034380.54</v>
      </c>
      <c r="N8" s="4">
        <v>388679.52</v>
      </c>
      <c r="O8" s="4">
        <v>1640229.32</v>
      </c>
      <c r="P8" s="4">
        <v>5471.7</v>
      </c>
    </row>
    <row r="9" spans="1:16">
      <c r="A9" s="1" t="s">
        <v>369</v>
      </c>
      <c r="B9" s="1" t="s">
        <v>155</v>
      </c>
      <c r="C9" s="1" t="s">
        <v>2892</v>
      </c>
      <c r="D9" s="2">
        <v>72400538.67</v>
      </c>
      <c r="E9" s="2">
        <v>1838760478.25</v>
      </c>
      <c r="F9" s="2">
        <v>138950476.2</v>
      </c>
      <c r="G9" s="2">
        <v>48071614.55</v>
      </c>
      <c r="H9" s="2">
        <f t="shared" si="0"/>
        <v>2098183107.67</v>
      </c>
      <c r="K9" s="3" t="s">
        <v>2899</v>
      </c>
      <c r="L9" s="4">
        <f t="shared" si="1"/>
        <v>1457902770.3202</v>
      </c>
      <c r="M9" s="4">
        <v>137392526.4438</v>
      </c>
      <c r="N9" s="4">
        <v>854630857.4214</v>
      </c>
      <c r="O9" s="4">
        <v>306912718.7212</v>
      </c>
      <c r="P9" s="4">
        <v>158966667.7338</v>
      </c>
    </row>
    <row r="10" spans="1:16">
      <c r="A10" s="1" t="s">
        <v>369</v>
      </c>
      <c r="B10" s="1" t="s">
        <v>156</v>
      </c>
      <c r="C10" s="1" t="s">
        <v>2892</v>
      </c>
      <c r="D10" s="2">
        <v>47237988.4499999</v>
      </c>
      <c r="E10" s="2">
        <v>849304691</v>
      </c>
      <c r="F10" s="2">
        <v>120594601.77</v>
      </c>
      <c r="G10" s="2">
        <v>48635263.82</v>
      </c>
      <c r="H10" s="2">
        <f t="shared" si="0"/>
        <v>1065772545.04</v>
      </c>
      <c r="I10"/>
      <c r="K10" s="3" t="s">
        <v>2892</v>
      </c>
      <c r="L10" s="4">
        <f t="shared" si="1"/>
        <v>1475024836.8</v>
      </c>
      <c r="M10" s="4">
        <v>139599911.73</v>
      </c>
      <c r="N10" s="4">
        <v>860136160.67</v>
      </c>
      <c r="O10" s="4">
        <v>314340030.57</v>
      </c>
      <c r="P10" s="4">
        <v>160948733.83</v>
      </c>
    </row>
    <row r="11" spans="1:16">
      <c r="A11" s="1" t="s">
        <v>369</v>
      </c>
      <c r="B11" s="1" t="s">
        <v>157</v>
      </c>
      <c r="C11" s="1" t="s">
        <v>2892</v>
      </c>
      <c r="D11" s="2">
        <v>46548086.97</v>
      </c>
      <c r="E11" s="2">
        <v>746414894.930004</v>
      </c>
      <c r="F11" s="2">
        <v>127832452.56</v>
      </c>
      <c r="G11" s="2">
        <v>50165141.76</v>
      </c>
      <c r="H11" s="2">
        <f t="shared" si="0"/>
        <v>970960576.220004</v>
      </c>
      <c r="I11"/>
      <c r="K11" s="3" t="s">
        <v>2926</v>
      </c>
      <c r="L11" s="4">
        <f t="shared" si="1"/>
        <v>1264216.24</v>
      </c>
      <c r="P11" s="4">
        <v>1264216.24</v>
      </c>
    </row>
    <row r="12" spans="1:16">
      <c r="A12" s="1" t="s">
        <v>369</v>
      </c>
      <c r="B12" s="1" t="s">
        <v>158</v>
      </c>
      <c r="C12" s="1" t="s">
        <v>2892</v>
      </c>
      <c r="D12" s="9">
        <v>43305894.5</v>
      </c>
      <c r="E12" s="9">
        <v>918215246.870001</v>
      </c>
      <c r="F12" s="9">
        <v>185659885.74</v>
      </c>
      <c r="G12" s="9">
        <v>42573941.87</v>
      </c>
      <c r="H12" s="2">
        <f t="shared" si="0"/>
        <v>1189754968.98</v>
      </c>
      <c r="I12"/>
      <c r="K12" s="3" t="s">
        <v>2933</v>
      </c>
      <c r="L12" s="4">
        <f t="shared" si="1"/>
        <v>207938.27</v>
      </c>
      <c r="P12" s="4">
        <v>207938.27</v>
      </c>
    </row>
    <row r="13" spans="1:16">
      <c r="A13" s="1" t="s">
        <v>369</v>
      </c>
      <c r="B13" s="1" t="s">
        <v>159</v>
      </c>
      <c r="C13" s="1" t="s">
        <v>2892</v>
      </c>
      <c r="D13" s="2">
        <v>83734917</v>
      </c>
      <c r="E13" s="2">
        <v>626414207.12</v>
      </c>
      <c r="F13" s="2">
        <v>145175434</v>
      </c>
      <c r="G13" s="2">
        <v>31080444.15</v>
      </c>
      <c r="H13" s="2">
        <f t="shared" si="0"/>
        <v>886405002.27</v>
      </c>
      <c r="I13"/>
      <c r="K13" s="3" t="s">
        <v>2904</v>
      </c>
      <c r="L13" s="4">
        <f t="shared" si="1"/>
        <v>1516108.07</v>
      </c>
      <c r="P13" s="4">
        <v>1516108.07</v>
      </c>
    </row>
    <row r="14" spans="1:16">
      <c r="A14" s="1" t="s">
        <v>369</v>
      </c>
      <c r="B14" s="1" t="s">
        <v>148</v>
      </c>
      <c r="C14" s="1" t="s">
        <v>2899</v>
      </c>
      <c r="D14" s="2">
        <v>82089980.6072</v>
      </c>
      <c r="E14" s="2">
        <v>717478536.3014</v>
      </c>
      <c r="F14" s="2">
        <v>134281785.9998</v>
      </c>
      <c r="G14" s="2">
        <v>76945765.3622</v>
      </c>
      <c r="H14" s="2">
        <f t="shared" si="0"/>
        <v>1010796068.2706</v>
      </c>
      <c r="I14"/>
      <c r="K14" s="3" t="s">
        <v>2907</v>
      </c>
      <c r="L14" s="4">
        <f t="shared" si="1"/>
        <v>279513.74</v>
      </c>
      <c r="P14" s="4">
        <v>279513.74</v>
      </c>
    </row>
    <row r="15" spans="1:16">
      <c r="A15" s="1" t="s">
        <v>369</v>
      </c>
      <c r="B15" s="1" t="s">
        <v>149</v>
      </c>
      <c r="C15" s="1" t="s">
        <v>2899</v>
      </c>
      <c r="D15" s="2">
        <v>102839406.517</v>
      </c>
      <c r="E15" s="2">
        <v>752686158.23</v>
      </c>
      <c r="F15" s="2">
        <v>141949754.904</v>
      </c>
      <c r="G15" s="2">
        <v>44322054.9</v>
      </c>
      <c r="H15" s="2">
        <f t="shared" si="0"/>
        <v>1041797374.551</v>
      </c>
      <c r="I15"/>
      <c r="K15" s="3" t="s">
        <v>2902</v>
      </c>
      <c r="L15" s="4">
        <f t="shared" si="1"/>
        <v>3199672.03</v>
      </c>
      <c r="M15" s="4">
        <v>199474.24</v>
      </c>
      <c r="N15" s="4">
        <v>-3988.07</v>
      </c>
      <c r="O15" s="4">
        <v>2276056.94</v>
      </c>
      <c r="P15" s="4">
        <v>728128.92</v>
      </c>
    </row>
    <row r="16" spans="1:12">
      <c r="A16" s="1" t="s">
        <v>369</v>
      </c>
      <c r="B16" s="1" t="s">
        <v>150</v>
      </c>
      <c r="C16" s="1" t="s">
        <v>2899</v>
      </c>
      <c r="D16" s="2">
        <v>73059310.94</v>
      </c>
      <c r="E16" s="2">
        <v>1087741495.68</v>
      </c>
      <c r="F16" s="2">
        <v>131803830.01</v>
      </c>
      <c r="G16" s="2">
        <v>85210929.12</v>
      </c>
      <c r="H16" s="2">
        <f t="shared" si="0"/>
        <v>1377815565.75</v>
      </c>
      <c r="I16"/>
      <c r="K16" s="3" t="s">
        <v>2903</v>
      </c>
      <c r="L16" s="4">
        <f t="shared" si="1"/>
        <v>0</v>
      </c>
    </row>
    <row r="17" spans="1:12">
      <c r="A17" s="1" t="s">
        <v>369</v>
      </c>
      <c r="B17" s="1" t="s">
        <v>151</v>
      </c>
      <c r="C17" s="1" t="s">
        <v>2899</v>
      </c>
      <c r="D17" s="2">
        <v>77799842.1842</v>
      </c>
      <c r="E17" s="2">
        <v>988082592.5728</v>
      </c>
      <c r="F17" s="2">
        <v>136202035.1</v>
      </c>
      <c r="G17" s="2">
        <v>66985944.8</v>
      </c>
      <c r="H17" s="2">
        <f t="shared" si="0"/>
        <v>1269070414.657</v>
      </c>
      <c r="I17"/>
      <c r="K17" s="3" t="s">
        <v>2905</v>
      </c>
      <c r="L17" s="4">
        <f t="shared" si="1"/>
        <v>0</v>
      </c>
    </row>
    <row r="18" spans="1:28">
      <c r="A18" s="1" t="s">
        <v>369</v>
      </c>
      <c r="B18" s="1" t="s">
        <v>152</v>
      </c>
      <c r="C18" s="1" t="s">
        <v>2899</v>
      </c>
      <c r="D18" s="2">
        <v>109561245</v>
      </c>
      <c r="E18" s="2">
        <v>1270698639.4</v>
      </c>
      <c r="F18" s="2">
        <v>130481624.1</v>
      </c>
      <c r="G18" s="2">
        <v>41050572.1796</v>
      </c>
      <c r="H18" s="2">
        <f t="shared" si="0"/>
        <v>1551792080.6796</v>
      </c>
      <c r="I18"/>
      <c r="J18" s="3" t="s">
        <v>149</v>
      </c>
      <c r="L18" s="4">
        <f t="shared" si="1"/>
        <v>2993849168.7184</v>
      </c>
      <c r="M18" s="4">
        <v>365721559.2594</v>
      </c>
      <c r="N18" s="4">
        <v>1651094502.786</v>
      </c>
      <c r="O18" s="4">
        <v>767397905.187</v>
      </c>
      <c r="P18" s="4">
        <v>209635201.486</v>
      </c>
      <c r="S18" s="4" t="s">
        <v>12</v>
      </c>
      <c r="T18" t="s">
        <v>13</v>
      </c>
      <c r="U18" t="s">
        <v>14</v>
      </c>
      <c r="V18" s="3" t="s">
        <v>20</v>
      </c>
      <c r="X18" s="4"/>
      <c r="Y18" s="4" t="s">
        <v>12</v>
      </c>
      <c r="Z18" s="4" t="s">
        <v>13</v>
      </c>
      <c r="AA18" s="4" t="s">
        <v>14</v>
      </c>
      <c r="AB18" s="4" t="s">
        <v>20</v>
      </c>
    </row>
    <row r="19" spans="1:28">
      <c r="A19" s="1" t="s">
        <v>369</v>
      </c>
      <c r="B19" s="1" t="s">
        <v>153</v>
      </c>
      <c r="C19" s="1" t="s">
        <v>2899</v>
      </c>
      <c r="D19" s="2">
        <v>68211133.75</v>
      </c>
      <c r="E19" s="2">
        <v>1392627417.23</v>
      </c>
      <c r="F19" s="2">
        <v>131568804.54</v>
      </c>
      <c r="G19" s="2">
        <v>38823687.48</v>
      </c>
      <c r="H19" s="2">
        <f t="shared" si="0"/>
        <v>1631231043</v>
      </c>
      <c r="I19"/>
      <c r="K19" s="3" t="s">
        <v>1901</v>
      </c>
      <c r="L19" s="4">
        <f t="shared" si="1"/>
        <v>1256614.37</v>
      </c>
      <c r="M19" s="4">
        <v>1256614.37</v>
      </c>
      <c r="Q19" s="4">
        <f>(L26-L25)+(L23-L24-L21+L22+L31-L32+L20-L19+L29-L30-L27+L28)*1.06</f>
        <v>31841152.3058013</v>
      </c>
      <c r="R19" s="4" t="s">
        <v>2894</v>
      </c>
      <c r="S19" s="4">
        <f>(M26-M25)+(M23-M24-M21+M22+M31-M32)*1.06</f>
        <v>4885887.53479998</v>
      </c>
      <c r="T19" s="4">
        <f>(N26-N25)+(N23-N24-N21+N22+N31-N32)*1.06</f>
        <v>5421039.76720104</v>
      </c>
      <c r="U19" s="4">
        <f>(O26-O25)+(O23-O24-O21+O22+O31-O32)*1.06</f>
        <v>11371924.499</v>
      </c>
      <c r="V19" s="4">
        <f>(P26-P25)+(P23-P24-P21+P22+P31-P32)*1.06</f>
        <v>2820537.9282</v>
      </c>
      <c r="X19" s="4" t="s">
        <v>2894</v>
      </c>
      <c r="Y19" s="4">
        <f>S19/10000</f>
        <v>488.588753479998</v>
      </c>
      <c r="Z19" s="4">
        <f>T19/10000</f>
        <v>542.103976720104</v>
      </c>
      <c r="AA19" s="4">
        <f>U19/10000</f>
        <v>1137.1924499</v>
      </c>
      <c r="AB19" s="4">
        <f>V19/10000</f>
        <v>282.05379282</v>
      </c>
    </row>
    <row r="20" spans="1:28">
      <c r="A20" s="1" t="s">
        <v>369</v>
      </c>
      <c r="B20" s="1" t="s">
        <v>154</v>
      </c>
      <c r="C20" s="1" t="s">
        <v>2899</v>
      </c>
      <c r="D20" s="2">
        <v>99700306.5</v>
      </c>
      <c r="E20" s="2">
        <v>1446752973.2</v>
      </c>
      <c r="F20" s="2">
        <v>131048608.93</v>
      </c>
      <c r="G20" s="2">
        <v>39450331.65</v>
      </c>
      <c r="H20" s="2">
        <f t="shared" si="0"/>
        <v>1716952220.28</v>
      </c>
      <c r="I20"/>
      <c r="K20" s="3" t="s">
        <v>2931</v>
      </c>
      <c r="L20" s="4">
        <f t="shared" si="1"/>
        <v>8325285.86</v>
      </c>
      <c r="M20" s="4">
        <v>6412111.91</v>
      </c>
      <c r="O20" s="4">
        <v>1905051.63</v>
      </c>
      <c r="P20" s="4">
        <v>8122.32</v>
      </c>
      <c r="Q20" s="4">
        <f>Q19-W21</f>
        <v>2.98023223876953e-7</v>
      </c>
      <c r="R20" s="4" t="s">
        <v>583</v>
      </c>
      <c r="S20" s="4">
        <f>(M20-M19)*1.06</f>
        <v>5464827.3924</v>
      </c>
      <c r="T20" s="4">
        <f>(N20-N19)*1.06</f>
        <v>0</v>
      </c>
      <c r="U20" s="4">
        <f>(O20-O19)*1.06</f>
        <v>2019354.7278</v>
      </c>
      <c r="V20" s="4">
        <f>(P20-P19)*1.06</f>
        <v>8609.6592</v>
      </c>
      <c r="X20" s="4" t="s">
        <v>583</v>
      </c>
      <c r="Y20" s="4">
        <f>S20/10000</f>
        <v>546.48273924</v>
      </c>
      <c r="Z20" s="4">
        <f>T20/10000</f>
        <v>0</v>
      </c>
      <c r="AA20" s="4">
        <f>U20/10000</f>
        <v>201.93547278</v>
      </c>
      <c r="AB20" s="4">
        <f>V20/10000</f>
        <v>0.86096592</v>
      </c>
    </row>
    <row r="21" spans="1:28">
      <c r="A21" s="1" t="s">
        <v>369</v>
      </c>
      <c r="B21" s="1" t="s">
        <v>155</v>
      </c>
      <c r="C21" s="1" t="s">
        <v>2899</v>
      </c>
      <c r="D21" s="2">
        <v>71873527.7</v>
      </c>
      <c r="E21" s="2">
        <v>1828430667.65</v>
      </c>
      <c r="F21" s="2">
        <v>134582430.65</v>
      </c>
      <c r="G21" s="2">
        <v>47639866</v>
      </c>
      <c r="H21" s="2">
        <f t="shared" si="0"/>
        <v>2082526492</v>
      </c>
      <c r="K21" s="3" t="s">
        <v>2893</v>
      </c>
      <c r="L21" s="4">
        <f t="shared" si="1"/>
        <v>113228802.29</v>
      </c>
      <c r="M21" s="4">
        <v>10353219.26</v>
      </c>
      <c r="N21" s="4">
        <v>3451680.36</v>
      </c>
      <c r="O21" s="4">
        <v>88185503.97</v>
      </c>
      <c r="P21" s="4">
        <v>11238398.7</v>
      </c>
      <c r="R21" s="4" t="s">
        <v>2897</v>
      </c>
      <c r="S21" s="4">
        <f>(M29-M30-M27+M28)*1.06</f>
        <v>0</v>
      </c>
      <c r="T21" s="4">
        <f>(N29-N30-N27+N28)*1.06</f>
        <v>0</v>
      </c>
      <c r="U21" s="4">
        <f>(O29-O30-O27+O28)*1.06</f>
        <v>0</v>
      </c>
      <c r="V21" s="4">
        <f>(P29-P30-P27+P28)*1.06</f>
        <v>-151029.2028</v>
      </c>
      <c r="W21" s="4">
        <f>SUM(S19:V21)</f>
        <v>31841152.305801</v>
      </c>
      <c r="X21" s="4" t="s">
        <v>2897</v>
      </c>
      <c r="Y21" s="4">
        <f>S21/10000</f>
        <v>0</v>
      </c>
      <c r="Z21" s="4">
        <f>T21/10000</f>
        <v>0</v>
      </c>
      <c r="AA21" s="4">
        <f>U21/10000</f>
        <v>0</v>
      </c>
      <c r="AB21" s="4">
        <f>V21/10000</f>
        <v>-15.10292028</v>
      </c>
    </row>
    <row r="22" spans="1:16">
      <c r="A22" s="1" t="s">
        <v>369</v>
      </c>
      <c r="B22" s="1" t="s">
        <v>156</v>
      </c>
      <c r="C22" s="1" t="s">
        <v>2899</v>
      </c>
      <c r="D22" s="2">
        <v>46873956.6874</v>
      </c>
      <c r="E22" s="2">
        <v>844188502.5292</v>
      </c>
      <c r="F22" s="2">
        <v>116982516.5612</v>
      </c>
      <c r="G22" s="2">
        <v>48632219.5464</v>
      </c>
      <c r="H22" s="2">
        <f t="shared" si="0"/>
        <v>1056677195.3242</v>
      </c>
      <c r="I22"/>
      <c r="K22" s="3" t="s">
        <v>2895</v>
      </c>
      <c r="L22" s="4">
        <f t="shared" si="1"/>
        <v>2423681.42</v>
      </c>
      <c r="N22" s="4">
        <v>626197.07</v>
      </c>
      <c r="O22" s="4">
        <v>1542442.84</v>
      </c>
      <c r="P22" s="4">
        <v>255041.51</v>
      </c>
    </row>
    <row r="23" spans="1:28">
      <c r="A23" s="1" t="s">
        <v>369</v>
      </c>
      <c r="B23" s="1" t="s">
        <v>157</v>
      </c>
      <c r="C23" s="1" t="s">
        <v>2899</v>
      </c>
      <c r="D23" s="2">
        <v>46398379.2276</v>
      </c>
      <c r="E23" s="2">
        <v>742169366.05</v>
      </c>
      <c r="F23" s="2">
        <v>122440567.1796</v>
      </c>
      <c r="G23" s="2">
        <v>49991101.85</v>
      </c>
      <c r="H23" s="2">
        <f t="shared" si="0"/>
        <v>960999414.3072</v>
      </c>
      <c r="I23"/>
      <c r="K23" s="3" t="s">
        <v>2896</v>
      </c>
      <c r="L23" s="4">
        <f t="shared" si="1"/>
        <v>119236118.15</v>
      </c>
      <c r="M23" s="4">
        <v>11650995.81</v>
      </c>
      <c r="N23" s="4">
        <v>3495335.58</v>
      </c>
      <c r="O23" s="4">
        <v>91453151.72</v>
      </c>
      <c r="P23" s="4">
        <v>12636635.04</v>
      </c>
      <c r="R23" s="4" t="s">
        <v>2932</v>
      </c>
      <c r="S23" s="4">
        <f>(M29-M30)*1.06</f>
        <v>0</v>
      </c>
      <c r="T23" s="4">
        <f>(N29-N30)*1.06</f>
        <v>0</v>
      </c>
      <c r="U23" s="4">
        <f>(O29-O30)*1.06</f>
        <v>0</v>
      </c>
      <c r="V23" s="4">
        <f>(P29-P30)*1.06</f>
        <v>328302.1082</v>
      </c>
      <c r="X23" s="4" t="s">
        <v>2932</v>
      </c>
      <c r="Y23" s="4">
        <f>S23/10000</f>
        <v>0</v>
      </c>
      <c r="Z23" s="4">
        <f>T23/10000</f>
        <v>0</v>
      </c>
      <c r="AA23" s="4">
        <f>U23/10000</f>
        <v>0</v>
      </c>
      <c r="AB23" s="4">
        <f>V23/10000</f>
        <v>32.83021082</v>
      </c>
    </row>
    <row r="24" spans="1:16">
      <c r="A24" s="1" t="s">
        <v>369</v>
      </c>
      <c r="B24" s="1" t="s">
        <v>158</v>
      </c>
      <c r="C24" s="1" t="s">
        <v>2899</v>
      </c>
      <c r="D24" s="2">
        <v>42886801</v>
      </c>
      <c r="E24" s="2">
        <v>915186595.14</v>
      </c>
      <c r="F24" s="2">
        <v>181893587.79</v>
      </c>
      <c r="G24" s="2">
        <v>42425059.2</v>
      </c>
      <c r="H24" s="2">
        <f t="shared" si="0"/>
        <v>1182392043.13</v>
      </c>
      <c r="I24"/>
      <c r="K24" s="3" t="s">
        <v>2898</v>
      </c>
      <c r="L24" s="4">
        <f t="shared" si="1"/>
        <v>2423681.42</v>
      </c>
      <c r="N24" s="4">
        <v>626197.07</v>
      </c>
      <c r="O24" s="4">
        <v>1542442.84</v>
      </c>
      <c r="P24" s="4">
        <v>255041.51</v>
      </c>
    </row>
    <row r="25" spans="1:16">
      <c r="A25" s="1" t="s">
        <v>369</v>
      </c>
      <c r="B25" s="1" t="s">
        <v>159</v>
      </c>
      <c r="C25" s="1" t="s">
        <v>2899</v>
      </c>
      <c r="D25" s="2">
        <v>83284799.152</v>
      </c>
      <c r="E25" s="2">
        <v>624711242.599</v>
      </c>
      <c r="F25" s="2">
        <v>142340235.8108</v>
      </c>
      <c r="G25" s="2">
        <v>30109802.7922</v>
      </c>
      <c r="H25" s="2">
        <f t="shared" si="0"/>
        <v>880446080.354</v>
      </c>
      <c r="I25"/>
      <c r="K25" s="3" t="s">
        <v>2899</v>
      </c>
      <c r="L25" s="4">
        <f t="shared" si="1"/>
        <v>1363789616.9184</v>
      </c>
      <c r="M25" s="4">
        <v>166322977.5694</v>
      </c>
      <c r="N25" s="4">
        <v>818760163.736</v>
      </c>
      <c r="O25" s="4">
        <v>287532185.977</v>
      </c>
      <c r="P25" s="4">
        <v>91174289.636</v>
      </c>
    </row>
    <row r="26" spans="1:16">
      <c r="A26" s="1" t="s">
        <v>369</v>
      </c>
      <c r="B26" s="1" t="s">
        <v>148</v>
      </c>
      <c r="C26" s="1" t="s">
        <v>2896</v>
      </c>
      <c r="D26" s="2">
        <v>2855.76</v>
      </c>
      <c r="E26" s="2">
        <v>400727.59</v>
      </c>
      <c r="F26" s="2">
        <v>195860.7</v>
      </c>
      <c r="G26" s="2">
        <v>469301.7</v>
      </c>
      <c r="H26" s="2">
        <f t="shared" si="0"/>
        <v>1068745.75</v>
      </c>
      <c r="I26"/>
      <c r="K26" s="3" t="s">
        <v>2892</v>
      </c>
      <c r="L26" s="4">
        <f t="shared" si="1"/>
        <v>1375966539.55</v>
      </c>
      <c r="M26" s="4">
        <v>167932613.32</v>
      </c>
      <c r="N26" s="4">
        <v>824134928.970001</v>
      </c>
      <c r="O26" s="4">
        <v>291849165.36</v>
      </c>
      <c r="P26" s="4">
        <v>92049831.9</v>
      </c>
    </row>
    <row r="27" spans="1:16">
      <c r="A27" s="1" t="s">
        <v>369</v>
      </c>
      <c r="B27" s="1" t="s">
        <v>149</v>
      </c>
      <c r="C27" s="1" t="s">
        <v>2896</v>
      </c>
      <c r="D27" s="2">
        <v>-10285.42</v>
      </c>
      <c r="E27" s="2">
        <v>733035.9</v>
      </c>
      <c r="F27" s="2">
        <v>299966.51</v>
      </c>
      <c r="G27" s="2">
        <v>216368.44</v>
      </c>
      <c r="H27" s="2">
        <f t="shared" si="0"/>
        <v>1239085.43</v>
      </c>
      <c r="I27"/>
      <c r="K27" s="3" t="s">
        <v>2926</v>
      </c>
      <c r="L27" s="4">
        <f t="shared" si="1"/>
        <v>657013.68</v>
      </c>
      <c r="P27" s="4">
        <v>657013.68</v>
      </c>
    </row>
    <row r="28" spans="1:16">
      <c r="A28" s="1" t="s">
        <v>369</v>
      </c>
      <c r="B28" s="1" t="s">
        <v>150</v>
      </c>
      <c r="C28" s="1" t="s">
        <v>2896</v>
      </c>
      <c r="D28" s="2">
        <v>-477.36</v>
      </c>
      <c r="E28" s="2">
        <v>807095.78</v>
      </c>
      <c r="F28" s="2">
        <v>2994153.99</v>
      </c>
      <c r="G28" s="2">
        <v>325965.87</v>
      </c>
      <c r="H28" s="2">
        <f t="shared" si="0"/>
        <v>4126738.28</v>
      </c>
      <c r="I28"/>
      <c r="K28" s="3" t="s">
        <v>2933</v>
      </c>
      <c r="L28" s="4">
        <f t="shared" si="1"/>
        <v>204814.33</v>
      </c>
      <c r="P28" s="4">
        <v>204814.33</v>
      </c>
    </row>
    <row r="29" spans="1:16">
      <c r="A29" s="1" t="s">
        <v>369</v>
      </c>
      <c r="B29" s="1" t="s">
        <v>151</v>
      </c>
      <c r="C29" s="1" t="s">
        <v>2896</v>
      </c>
      <c r="D29" s="2">
        <v>201.89</v>
      </c>
      <c r="E29" s="2">
        <v>293340.59</v>
      </c>
      <c r="F29" s="2">
        <v>1084248.9</v>
      </c>
      <c r="G29" s="2">
        <v>273763.99</v>
      </c>
      <c r="H29" s="2">
        <f t="shared" si="0"/>
        <v>1651555.37</v>
      </c>
      <c r="I29"/>
      <c r="K29" s="3" t="s">
        <v>2904</v>
      </c>
      <c r="L29" s="4">
        <f t="shared" si="1"/>
        <v>514533.3</v>
      </c>
      <c r="P29" s="4">
        <v>514533.3</v>
      </c>
    </row>
    <row r="30" spans="1:16">
      <c r="A30" s="1" t="s">
        <v>369</v>
      </c>
      <c r="B30" s="1" t="s">
        <v>152</v>
      </c>
      <c r="C30" s="1" t="s">
        <v>2896</v>
      </c>
      <c r="D30" s="2">
        <v>-13114.28</v>
      </c>
      <c r="E30" s="2">
        <v>181741.8</v>
      </c>
      <c r="F30" s="2">
        <v>920736.3</v>
      </c>
      <c r="G30" s="2">
        <v>244227.16</v>
      </c>
      <c r="H30" s="2">
        <f t="shared" si="0"/>
        <v>1333590.98</v>
      </c>
      <c r="I30"/>
      <c r="K30" s="3" t="s">
        <v>2907</v>
      </c>
      <c r="L30" s="4">
        <f t="shared" si="1"/>
        <v>204814.33</v>
      </c>
      <c r="P30" s="4">
        <v>204814.33</v>
      </c>
    </row>
    <row r="31" spans="1:16">
      <c r="A31" s="1" t="s">
        <v>369</v>
      </c>
      <c r="B31" s="1" t="s">
        <v>153</v>
      </c>
      <c r="C31" s="1" t="s">
        <v>2896</v>
      </c>
      <c r="D31" s="2">
        <v>6690.49</v>
      </c>
      <c r="E31" s="2">
        <v>280331.36</v>
      </c>
      <c r="F31" s="2">
        <v>11872421.37</v>
      </c>
      <c r="G31" s="2">
        <v>325819.34</v>
      </c>
      <c r="H31" s="2">
        <f t="shared" si="0"/>
        <v>12485262.56</v>
      </c>
      <c r="I31"/>
      <c r="K31" s="3" t="s">
        <v>2902</v>
      </c>
      <c r="L31" s="4">
        <f t="shared" si="1"/>
        <v>5617653.1</v>
      </c>
      <c r="M31" s="4">
        <v>1793027.02</v>
      </c>
      <c r="O31" s="4">
        <v>3387960.85</v>
      </c>
      <c r="P31" s="4">
        <v>436665.23</v>
      </c>
    </row>
    <row r="32" spans="1:12">
      <c r="A32" s="1" t="s">
        <v>369</v>
      </c>
      <c r="B32" s="1" t="s">
        <v>154</v>
      </c>
      <c r="C32" s="1" t="s">
        <v>2896</v>
      </c>
      <c r="D32" s="2">
        <v>14095.79</v>
      </c>
      <c r="E32" s="2">
        <v>481539.26</v>
      </c>
      <c r="F32" s="2">
        <v>2630529.74</v>
      </c>
      <c r="G32" s="2">
        <v>188047.29</v>
      </c>
      <c r="H32" s="2">
        <f t="shared" si="0"/>
        <v>3314212.08</v>
      </c>
      <c r="I32"/>
      <c r="K32" s="3" t="s">
        <v>2903</v>
      </c>
      <c r="L32" s="4">
        <f t="shared" si="1"/>
        <v>0</v>
      </c>
    </row>
    <row r="33" spans="1:12">
      <c r="A33" s="1" t="s">
        <v>369</v>
      </c>
      <c r="B33" s="1" t="s">
        <v>155</v>
      </c>
      <c r="C33" s="1" t="s">
        <v>2896</v>
      </c>
      <c r="D33" s="2">
        <v>25263.78</v>
      </c>
      <c r="E33" s="2">
        <v>540776.09</v>
      </c>
      <c r="F33" s="2">
        <v>1837968.09</v>
      </c>
      <c r="G33" s="2">
        <v>587676.28</v>
      </c>
      <c r="H33" s="2">
        <f t="shared" si="0"/>
        <v>2991684.24</v>
      </c>
      <c r="K33" s="3" t="s">
        <v>2905</v>
      </c>
      <c r="L33" s="4">
        <f t="shared" si="1"/>
        <v>0</v>
      </c>
    </row>
    <row r="34" spans="1:28">
      <c r="A34" s="1" t="s">
        <v>369</v>
      </c>
      <c r="B34" s="1" t="s">
        <v>156</v>
      </c>
      <c r="C34" s="1" t="s">
        <v>2896</v>
      </c>
      <c r="D34" s="2">
        <v>10654.48</v>
      </c>
      <c r="E34" s="2">
        <v>476880.35</v>
      </c>
      <c r="F34" s="2">
        <v>1586707.66</v>
      </c>
      <c r="G34" s="2">
        <v>507505.32</v>
      </c>
      <c r="H34" s="2">
        <f t="shared" si="0"/>
        <v>2581747.81</v>
      </c>
      <c r="I34"/>
      <c r="J34" s="3" t="s">
        <v>150</v>
      </c>
      <c r="L34" s="4">
        <f t="shared" si="1"/>
        <v>3921744180.15</v>
      </c>
      <c r="M34" s="4">
        <v>265549508.65</v>
      </c>
      <c r="N34" s="4">
        <v>2417333190.22</v>
      </c>
      <c r="O34" s="4">
        <v>832848514.24</v>
      </c>
      <c r="P34" s="4">
        <v>406012967.04</v>
      </c>
      <c r="S34" s="4" t="s">
        <v>12</v>
      </c>
      <c r="T34" t="s">
        <v>13</v>
      </c>
      <c r="U34" t="s">
        <v>14</v>
      </c>
      <c r="V34" s="3" t="s">
        <v>20</v>
      </c>
      <c r="X34" s="4"/>
      <c r="Y34" s="4" t="s">
        <v>12</v>
      </c>
      <c r="Z34" s="4" t="s">
        <v>13</v>
      </c>
      <c r="AA34" s="4" t="s">
        <v>14</v>
      </c>
      <c r="AB34" s="4" t="s">
        <v>20</v>
      </c>
    </row>
    <row r="35" spans="1:28">
      <c r="A35" s="1" t="s">
        <v>369</v>
      </c>
      <c r="B35" s="1" t="s">
        <v>157</v>
      </c>
      <c r="C35" s="1" t="s">
        <v>2896</v>
      </c>
      <c r="D35" s="2">
        <v>12894.04</v>
      </c>
      <c r="E35" s="2">
        <v>417490.03</v>
      </c>
      <c r="F35" s="2">
        <v>607571.41</v>
      </c>
      <c r="G35" s="2">
        <v>444828.95</v>
      </c>
      <c r="H35" s="2">
        <f t="shared" si="0"/>
        <v>1482784.43</v>
      </c>
      <c r="I35"/>
      <c r="K35" s="3" t="s">
        <v>1901</v>
      </c>
      <c r="L35" s="4">
        <f t="shared" si="1"/>
        <v>1526005.18</v>
      </c>
      <c r="M35" s="4">
        <v>1069304.56</v>
      </c>
      <c r="O35" s="4">
        <v>456700.62</v>
      </c>
      <c r="Q35" s="4">
        <f>(L42-L41)+(L39-L40-L37+L38+L47-L48+L36-L35+L45-L46-L43+L44)*1.06</f>
        <v>47144304.5615998</v>
      </c>
      <c r="R35" s="4" t="s">
        <v>2894</v>
      </c>
      <c r="S35" s="4">
        <f>(M42-M41)+(M39-M40-M37+M38+M47-M48)*1.06</f>
        <v>3565352.95740001</v>
      </c>
      <c r="T35" s="4">
        <f>(N42-N41)+(N39-N40-N37+N38+N47-N48)*1.06</f>
        <v>7281322.20999991</v>
      </c>
      <c r="U35" s="4">
        <f>(O42-O41)+(O39-O40-O37+O38+O47-O48)*1.06</f>
        <v>27870570.5628</v>
      </c>
      <c r="V35" s="4">
        <f>(P42-P41)+(P39-P40-P37+P38+P47-P48)*1.06</f>
        <v>3657230.94359997</v>
      </c>
      <c r="X35" s="4" t="s">
        <v>2894</v>
      </c>
      <c r="Y35" s="4">
        <f>S35/10000</f>
        <v>356.535295740001</v>
      </c>
      <c r="Z35" s="4">
        <f>T35/10000</f>
        <v>728.132220999991</v>
      </c>
      <c r="AA35" s="4">
        <f>U35/10000</f>
        <v>2787.05705628</v>
      </c>
      <c r="AB35" s="4">
        <f>V35/10000</f>
        <v>365.723094359997</v>
      </c>
    </row>
    <row r="36" spans="1:28">
      <c r="A36" s="1" t="s">
        <v>369</v>
      </c>
      <c r="B36" s="1" t="s">
        <v>158</v>
      </c>
      <c r="C36" s="1" t="s">
        <v>2896</v>
      </c>
      <c r="D36" s="2">
        <v>15001.74</v>
      </c>
      <c r="E36" s="2">
        <v>202796.1</v>
      </c>
      <c r="F36" s="2">
        <v>9118867.83</v>
      </c>
      <c r="G36" s="2">
        <v>483089.78</v>
      </c>
      <c r="H36" s="2">
        <f t="shared" si="0"/>
        <v>9819755.45</v>
      </c>
      <c r="I36"/>
      <c r="K36" s="3" t="s">
        <v>2931</v>
      </c>
      <c r="L36" s="4">
        <f t="shared" si="1"/>
        <v>6191840.84</v>
      </c>
      <c r="M36" s="4">
        <v>4185599.46</v>
      </c>
      <c r="O36" s="4">
        <v>1912621.46</v>
      </c>
      <c r="P36" s="4">
        <v>93619.92</v>
      </c>
      <c r="Q36" s="4">
        <f>Q35-W37</f>
        <v>-7.45058059692383e-8</v>
      </c>
      <c r="R36" s="4" t="s">
        <v>583</v>
      </c>
      <c r="S36" s="4">
        <f>(M36-M35)*1.06</f>
        <v>3303272.594</v>
      </c>
      <c r="T36" s="4">
        <f>(N36-N35)*1.06</f>
        <v>0</v>
      </c>
      <c r="U36" s="4">
        <f>(O36-O35)*1.06</f>
        <v>1543276.0904</v>
      </c>
      <c r="V36" s="4">
        <f>(P36-P35)*1.06</f>
        <v>99237.1152</v>
      </c>
      <c r="X36" s="4" t="s">
        <v>583</v>
      </c>
      <c r="Y36" s="4">
        <f>S36/10000</f>
        <v>330.3272594</v>
      </c>
      <c r="Z36" s="4">
        <f>T36/10000</f>
        <v>0</v>
      </c>
      <c r="AA36" s="4">
        <f>U36/10000</f>
        <v>154.32760904</v>
      </c>
      <c r="AB36" s="4">
        <f>V36/10000</f>
        <v>9.92371152</v>
      </c>
    </row>
    <row r="37" spans="1:28">
      <c r="A37" s="1" t="s">
        <v>369</v>
      </c>
      <c r="B37" s="1" t="s">
        <v>159</v>
      </c>
      <c r="C37" s="1" t="s">
        <v>2896</v>
      </c>
      <c r="D37" s="2">
        <v>13797.14</v>
      </c>
      <c r="E37" s="2">
        <v>1886371.56</v>
      </c>
      <c r="F37" s="2">
        <v>1850418.32</v>
      </c>
      <c r="G37" s="2">
        <v>783413.72</v>
      </c>
      <c r="H37" s="2">
        <f t="shared" si="0"/>
        <v>4534000.74</v>
      </c>
      <c r="I37"/>
      <c r="K37" s="3" t="s">
        <v>2893</v>
      </c>
      <c r="L37" s="4">
        <f t="shared" si="1"/>
        <v>151330307.87</v>
      </c>
      <c r="M37" s="4">
        <v>8254590.52</v>
      </c>
      <c r="N37" s="4">
        <v>6669540.95</v>
      </c>
      <c r="O37" s="4">
        <v>115375606.87</v>
      </c>
      <c r="P37" s="4">
        <v>21030569.53</v>
      </c>
      <c r="R37" s="4" t="s">
        <v>2897</v>
      </c>
      <c r="S37" s="4">
        <f>(M45-M46-M43+M44)*1.06</f>
        <v>0</v>
      </c>
      <c r="T37" s="4">
        <f>(N45-N46-N43+N44)*1.06</f>
        <v>0</v>
      </c>
      <c r="U37" s="4">
        <f>(O45-O46-O43+O44)*1.06</f>
        <v>0</v>
      </c>
      <c r="V37" s="4">
        <f>(P45-P46-P43+P44)*1.06</f>
        <v>-175957.9118</v>
      </c>
      <c r="W37" s="4">
        <f>SUM(S35:V37)</f>
        <v>47144304.5615999</v>
      </c>
      <c r="X37" s="4" t="s">
        <v>2897</v>
      </c>
      <c r="Y37" s="4">
        <f>S37/10000</f>
        <v>0</v>
      </c>
      <c r="Z37" s="4">
        <f>T37/10000</f>
        <v>0</v>
      </c>
      <c r="AA37" s="4">
        <f>U37/10000</f>
        <v>0</v>
      </c>
      <c r="AB37" s="4">
        <f>V37/10000</f>
        <v>-17.59579118</v>
      </c>
    </row>
    <row r="38" spans="1:16">
      <c r="A38" s="1" t="s">
        <v>369</v>
      </c>
      <c r="B38" s="1" t="s">
        <v>148</v>
      </c>
      <c r="C38" s="1" t="s">
        <v>2893</v>
      </c>
      <c r="D38" s="2">
        <v>10259.47</v>
      </c>
      <c r="E38" s="2">
        <v>408291.83</v>
      </c>
      <c r="F38" s="2">
        <v>244375.35</v>
      </c>
      <c r="G38" s="2">
        <v>475037.34</v>
      </c>
      <c r="H38" s="2">
        <f t="shared" si="0"/>
        <v>1137963.99</v>
      </c>
      <c r="I38"/>
      <c r="K38" s="3" t="s">
        <v>2895</v>
      </c>
      <c r="L38" s="4">
        <f t="shared" si="1"/>
        <v>2664229.34</v>
      </c>
      <c r="N38" s="4">
        <v>644672.74</v>
      </c>
      <c r="O38" s="4">
        <v>2012803</v>
      </c>
      <c r="P38" s="4">
        <v>6753.6</v>
      </c>
    </row>
    <row r="39" spans="1:28">
      <c r="A39" s="1" t="s">
        <v>369</v>
      </c>
      <c r="B39" s="1" t="s">
        <v>149</v>
      </c>
      <c r="C39" s="1" t="s">
        <v>2893</v>
      </c>
      <c r="D39" s="2">
        <v>221.56</v>
      </c>
      <c r="E39" s="2">
        <v>727382.17</v>
      </c>
      <c r="F39" s="2">
        <v>262236.23</v>
      </c>
      <c r="G39" s="2">
        <v>212805.29</v>
      </c>
      <c r="H39" s="2">
        <f t="shared" si="0"/>
        <v>1202645.25</v>
      </c>
      <c r="I39"/>
      <c r="K39" s="3" t="s">
        <v>2896</v>
      </c>
      <c r="L39" s="4">
        <f t="shared" si="1"/>
        <v>148166737.35</v>
      </c>
      <c r="M39" s="4">
        <v>7905435.44</v>
      </c>
      <c r="N39" s="4">
        <v>6901830.45</v>
      </c>
      <c r="O39" s="4">
        <v>111441362.38</v>
      </c>
      <c r="P39" s="4">
        <v>21918109.08</v>
      </c>
      <c r="R39" s="4" t="s">
        <v>2932</v>
      </c>
      <c r="S39" s="4">
        <f>(M45-M46)*1.06</f>
        <v>0</v>
      </c>
      <c r="T39" s="4">
        <f>(N45-N46)*1.06</f>
        <v>0</v>
      </c>
      <c r="U39" s="4">
        <f>(O45-O46)*1.06</f>
        <v>0</v>
      </c>
      <c r="V39" s="4">
        <f>(P45-P46)*1.06</f>
        <v>1728632.524</v>
      </c>
      <c r="X39" s="4" t="s">
        <v>2932</v>
      </c>
      <c r="Y39" s="4">
        <f>S39/10000</f>
        <v>0</v>
      </c>
      <c r="Z39" s="4">
        <f>T39/10000</f>
        <v>0</v>
      </c>
      <c r="AA39" s="4">
        <f>U39/10000</f>
        <v>0</v>
      </c>
      <c r="AB39" s="4">
        <f>V39/10000</f>
        <v>172.8632524</v>
      </c>
    </row>
    <row r="40" spans="1:16">
      <c r="A40" s="1" t="s">
        <v>369</v>
      </c>
      <c r="B40" s="1" t="s">
        <v>150</v>
      </c>
      <c r="C40" s="1" t="s">
        <v>2893</v>
      </c>
      <c r="E40" s="2">
        <v>625934.28</v>
      </c>
      <c r="F40" s="2">
        <v>4291140.46</v>
      </c>
      <c r="G40" s="2">
        <v>324397.09</v>
      </c>
      <c r="H40" s="2">
        <f t="shared" si="0"/>
        <v>5241471.83</v>
      </c>
      <c r="I40"/>
      <c r="K40" s="3" t="s">
        <v>2898</v>
      </c>
      <c r="L40" s="4">
        <f t="shared" si="1"/>
        <v>2664229.34</v>
      </c>
      <c r="N40" s="4">
        <v>644672.74</v>
      </c>
      <c r="O40" s="4">
        <v>2012803</v>
      </c>
      <c r="P40" s="4">
        <v>6753.6</v>
      </c>
    </row>
    <row r="41" spans="1:16">
      <c r="A41" s="1" t="s">
        <v>369</v>
      </c>
      <c r="B41" s="1" t="s">
        <v>151</v>
      </c>
      <c r="C41" s="1" t="s">
        <v>2893</v>
      </c>
      <c r="D41" s="2">
        <v>184</v>
      </c>
      <c r="E41" s="2">
        <v>293253.97</v>
      </c>
      <c r="F41" s="2">
        <v>1275962.02</v>
      </c>
      <c r="G41" s="2">
        <v>272833.15</v>
      </c>
      <c r="H41" s="2">
        <f t="shared" si="0"/>
        <v>1842233.14</v>
      </c>
      <c r="I41"/>
      <c r="K41" s="3" t="s">
        <v>2899</v>
      </c>
      <c r="L41" s="4">
        <f t="shared" si="1"/>
        <v>1778295119.99</v>
      </c>
      <c r="M41" s="4">
        <v>120170513.6</v>
      </c>
      <c r="N41" s="4">
        <v>1197718689</v>
      </c>
      <c r="O41" s="4">
        <v>284498126.15</v>
      </c>
      <c r="P41" s="4">
        <v>175907791.24</v>
      </c>
    </row>
    <row r="42" spans="1:16">
      <c r="A42" s="1" t="s">
        <v>369</v>
      </c>
      <c r="B42" s="1" t="s">
        <v>152</v>
      </c>
      <c r="C42" s="1" t="s">
        <v>2893</v>
      </c>
      <c r="D42" s="2">
        <v>3659.43</v>
      </c>
      <c r="E42" s="2">
        <v>181948.43</v>
      </c>
      <c r="F42" s="2">
        <v>1182878.16</v>
      </c>
      <c r="G42" s="2">
        <v>238706.19</v>
      </c>
      <c r="H42" s="2">
        <f t="shared" si="0"/>
        <v>1607192.21</v>
      </c>
      <c r="I42"/>
      <c r="K42" s="3" t="s">
        <v>2892</v>
      </c>
      <c r="L42" s="4">
        <f t="shared" si="1"/>
        <v>1795996987.66</v>
      </c>
      <c r="M42" s="4">
        <v>121598967.2</v>
      </c>
      <c r="N42" s="4">
        <v>1204753784.34</v>
      </c>
      <c r="O42" s="4">
        <v>291796738.89</v>
      </c>
      <c r="P42" s="4">
        <v>177847497.23</v>
      </c>
    </row>
    <row r="43" spans="1:16">
      <c r="A43" s="1" t="s">
        <v>369</v>
      </c>
      <c r="B43" s="1" t="s">
        <v>153</v>
      </c>
      <c r="C43" s="1" t="s">
        <v>2893</v>
      </c>
      <c r="D43" s="2">
        <v>4042.94</v>
      </c>
      <c r="E43" s="2">
        <v>280411.2</v>
      </c>
      <c r="F43" s="2">
        <v>16194543.17</v>
      </c>
      <c r="G43" s="2">
        <v>327190.98</v>
      </c>
      <c r="H43" s="2">
        <f t="shared" si="0"/>
        <v>16806188.29</v>
      </c>
      <c r="I43"/>
      <c r="K43" s="3" t="s">
        <v>2926</v>
      </c>
      <c r="L43" s="4">
        <f t="shared" si="1"/>
        <v>3057167.68</v>
      </c>
      <c r="P43" s="4">
        <v>3057167.68</v>
      </c>
    </row>
    <row r="44" spans="1:16">
      <c r="A44" s="1" t="s">
        <v>369</v>
      </c>
      <c r="B44" s="1" t="s">
        <v>154</v>
      </c>
      <c r="C44" s="1" t="s">
        <v>2893</v>
      </c>
      <c r="D44" s="2">
        <v>9988.77</v>
      </c>
      <c r="E44" s="2">
        <v>516550.13</v>
      </c>
      <c r="F44" s="2">
        <v>3520851.17</v>
      </c>
      <c r="G44" s="2">
        <v>191801.2</v>
      </c>
      <c r="H44" s="2">
        <f t="shared" si="0"/>
        <v>4239191.27</v>
      </c>
      <c r="I44"/>
      <c r="K44" s="3" t="s">
        <v>2933</v>
      </c>
      <c r="L44" s="4">
        <f t="shared" si="1"/>
        <v>1260384.25</v>
      </c>
      <c r="P44" s="4">
        <v>1260384.25</v>
      </c>
    </row>
    <row r="45" spans="1:16">
      <c r="A45" s="1" t="s">
        <v>369</v>
      </c>
      <c r="B45" s="1" t="s">
        <v>155</v>
      </c>
      <c r="C45" s="1" t="s">
        <v>2893</v>
      </c>
      <c r="D45" s="2">
        <v>20649.7</v>
      </c>
      <c r="E45" s="2">
        <v>537333.31</v>
      </c>
      <c r="F45" s="2">
        <v>2334540</v>
      </c>
      <c r="G45" s="2">
        <v>535283.93</v>
      </c>
      <c r="H45" s="2">
        <f t="shared" si="0"/>
        <v>3427806.94</v>
      </c>
      <c r="K45" s="3" t="s">
        <v>2904</v>
      </c>
      <c r="L45" s="4">
        <f t="shared" si="1"/>
        <v>2891169.65</v>
      </c>
      <c r="P45" s="4">
        <v>2891169.65</v>
      </c>
    </row>
    <row r="46" spans="1:16">
      <c r="A46" s="1" t="s">
        <v>369</v>
      </c>
      <c r="B46" s="1" t="s">
        <v>156</v>
      </c>
      <c r="C46" s="1" t="s">
        <v>2893</v>
      </c>
      <c r="D46" s="2">
        <v>8219.73</v>
      </c>
      <c r="E46" s="2">
        <v>470659.61</v>
      </c>
      <c r="F46" s="2">
        <v>1974136.62</v>
      </c>
      <c r="G46" s="2">
        <v>484815.55</v>
      </c>
      <c r="H46" s="2">
        <f t="shared" si="0"/>
        <v>2937831.51</v>
      </c>
      <c r="I46"/>
      <c r="K46" s="3" t="s">
        <v>2907</v>
      </c>
      <c r="L46" s="4">
        <f t="shared" si="1"/>
        <v>1260384.25</v>
      </c>
      <c r="P46" s="4">
        <v>1260384.25</v>
      </c>
    </row>
    <row r="47" spans="1:16">
      <c r="A47" s="1" t="s">
        <v>369</v>
      </c>
      <c r="B47" s="1" t="s">
        <v>157</v>
      </c>
      <c r="C47" s="1" t="s">
        <v>2893</v>
      </c>
      <c r="D47" s="2">
        <v>4850.04</v>
      </c>
      <c r="E47" s="2">
        <v>410146.9</v>
      </c>
      <c r="F47" s="2">
        <v>422318.27</v>
      </c>
      <c r="G47" s="2">
        <v>443927.87</v>
      </c>
      <c r="H47" s="2">
        <f t="shared" si="0"/>
        <v>1281243.08</v>
      </c>
      <c r="I47"/>
      <c r="K47" s="3" t="s">
        <v>2902</v>
      </c>
      <c r="L47" s="4">
        <f t="shared" si="1"/>
        <v>26439616.75</v>
      </c>
      <c r="M47" s="4">
        <v>2365097.87</v>
      </c>
      <c r="O47" s="4">
        <v>23341751.87</v>
      </c>
      <c r="P47" s="4">
        <v>732767.01</v>
      </c>
    </row>
    <row r="48" spans="1:12">
      <c r="A48" s="1" t="s">
        <v>369</v>
      </c>
      <c r="B48" s="1" t="s">
        <v>158</v>
      </c>
      <c r="C48" s="1" t="s">
        <v>2893</v>
      </c>
      <c r="D48" s="2">
        <v>11422.28</v>
      </c>
      <c r="E48" s="2">
        <v>199937.32</v>
      </c>
      <c r="F48" s="2">
        <v>12544436.52</v>
      </c>
      <c r="G48" s="2">
        <v>473719.95</v>
      </c>
      <c r="H48" s="2">
        <f t="shared" si="0"/>
        <v>13229516.07</v>
      </c>
      <c r="I48"/>
      <c r="K48" s="3" t="s">
        <v>2903</v>
      </c>
      <c r="L48" s="4">
        <f t="shared" si="1"/>
        <v>0</v>
      </c>
    </row>
    <row r="49" spans="1:12">
      <c r="A49" s="1" t="s">
        <v>369</v>
      </c>
      <c r="B49" s="1" t="s">
        <v>159</v>
      </c>
      <c r="C49" s="1" t="s">
        <v>2893</v>
      </c>
      <c r="D49" s="2">
        <v>11377.46</v>
      </c>
      <c r="E49" s="2">
        <v>1861690.3</v>
      </c>
      <c r="F49" s="2">
        <v>1376792.34</v>
      </c>
      <c r="G49" s="2">
        <v>759703.23</v>
      </c>
      <c r="H49" s="2">
        <f t="shared" si="0"/>
        <v>4009563.33</v>
      </c>
      <c r="I49"/>
      <c r="K49" s="3" t="s">
        <v>2905</v>
      </c>
      <c r="L49" s="4">
        <f t="shared" si="1"/>
        <v>0</v>
      </c>
    </row>
    <row r="50" spans="1:28">
      <c r="A50" s="1" t="s">
        <v>369</v>
      </c>
      <c r="B50" s="1" t="s">
        <v>148</v>
      </c>
      <c r="C50" s="1" t="s">
        <v>2902</v>
      </c>
      <c r="D50" s="2">
        <v>-153402.17</v>
      </c>
      <c r="E50" s="2">
        <v>-3988.07</v>
      </c>
      <c r="F50" s="2">
        <v>-5712.41</v>
      </c>
      <c r="G50" s="2">
        <v>707344.72</v>
      </c>
      <c r="H50" s="2">
        <f t="shared" si="0"/>
        <v>544242.07</v>
      </c>
      <c r="I50"/>
      <c r="J50" s="3" t="s">
        <v>151</v>
      </c>
      <c r="L50" s="4">
        <f t="shared" si="1"/>
        <v>3720304866.0734</v>
      </c>
      <c r="M50" s="4">
        <v>284838934.9516</v>
      </c>
      <c r="N50" s="4">
        <v>2234412450.4216</v>
      </c>
      <c r="O50" s="4">
        <v>931018162.8606</v>
      </c>
      <c r="P50" s="4">
        <v>270035317.8396</v>
      </c>
      <c r="S50" s="4" t="s">
        <v>12</v>
      </c>
      <c r="T50" t="s">
        <v>13</v>
      </c>
      <c r="U50" t="s">
        <v>14</v>
      </c>
      <c r="V50" s="3" t="s">
        <v>20</v>
      </c>
      <c r="X50" s="4"/>
      <c r="Y50" s="4" t="s">
        <v>12</v>
      </c>
      <c r="Z50" s="4" t="s">
        <v>13</v>
      </c>
      <c r="AA50" s="4" t="s">
        <v>14</v>
      </c>
      <c r="AB50" s="4" t="s">
        <v>20</v>
      </c>
    </row>
    <row r="51" spans="1:28">
      <c r="A51" s="1" t="s">
        <v>369</v>
      </c>
      <c r="B51" s="1" t="s">
        <v>149</v>
      </c>
      <c r="C51" s="1" t="s">
        <v>2902</v>
      </c>
      <c r="D51" s="2">
        <v>24472.54</v>
      </c>
      <c r="G51" s="2">
        <v>427747.55</v>
      </c>
      <c r="H51" s="2">
        <f t="shared" si="0"/>
        <v>452220.09</v>
      </c>
      <c r="I51"/>
      <c r="K51" s="3" t="s">
        <v>1901</v>
      </c>
      <c r="L51" s="4">
        <f t="shared" si="1"/>
        <v>705754.33</v>
      </c>
      <c r="M51" s="4">
        <v>705754.33</v>
      </c>
      <c r="Q51" s="4">
        <f>(L58-L57)+(L55-L56-L53+L54+L63-L64+L52-L51+L61-L62-L59+L60)*1.06</f>
        <v>22295675.9445998</v>
      </c>
      <c r="R51" s="4" t="s">
        <v>2894</v>
      </c>
      <c r="S51" s="4">
        <f>(M58-M57)+(M55-M56-M53+M54+M63-M64)*1.06</f>
        <v>2365216.33060001</v>
      </c>
      <c r="T51" s="4">
        <f>(N58-N57)+(N55-N56-N53+N54+N63-N64)*1.06</f>
        <v>8132129.64559978</v>
      </c>
      <c r="U51" s="4">
        <f>(O58-O57)+(O55-O56-O53+O54+O63-O64)*1.06</f>
        <v>6399324.19660001</v>
      </c>
      <c r="V51" s="4">
        <f>(P58-P57)+(P55-P56-P53+P54+P63-P64)*1.06</f>
        <v>3295863.49240001</v>
      </c>
      <c r="X51" s="4" t="s">
        <v>2894</v>
      </c>
      <c r="Y51" s="4">
        <f>S51/10000</f>
        <v>236.521633060001</v>
      </c>
      <c r="Z51" s="4">
        <f>T51/10000</f>
        <v>813.212964559978</v>
      </c>
      <c r="AA51" s="4">
        <f>U51/10000</f>
        <v>639.932419660001</v>
      </c>
      <c r="AB51" s="4">
        <f>V51/10000</f>
        <v>329.586349240001</v>
      </c>
    </row>
    <row r="52" spans="1:28">
      <c r="A52" s="1" t="s">
        <v>369</v>
      </c>
      <c r="B52" s="1" t="s">
        <v>150</v>
      </c>
      <c r="C52" s="1" t="s">
        <v>2902</v>
      </c>
      <c r="D52" s="2">
        <v>26099.84</v>
      </c>
      <c r="F52" s="2">
        <v>1815270.49</v>
      </c>
      <c r="G52" s="2">
        <v>729141.74</v>
      </c>
      <c r="H52" s="2">
        <f t="shared" si="0"/>
        <v>2570512.07</v>
      </c>
      <c r="I52"/>
      <c r="K52" s="3" t="s">
        <v>2931</v>
      </c>
      <c r="L52" s="4">
        <f t="shared" si="1"/>
        <v>2426398.84</v>
      </c>
      <c r="M52" s="4">
        <v>974422.3</v>
      </c>
      <c r="O52" s="4">
        <v>1448431.4</v>
      </c>
      <c r="P52" s="4">
        <v>3545.14</v>
      </c>
      <c r="Q52" s="4">
        <f>Q51-W53</f>
        <v>-4.84287738800049e-8</v>
      </c>
      <c r="R52" s="4" t="s">
        <v>583</v>
      </c>
      <c r="S52" s="4">
        <f>(M52-M51)*1.06</f>
        <v>284788.0482</v>
      </c>
      <c r="T52" s="4">
        <f>(N52-N51)*1.06</f>
        <v>0</v>
      </c>
      <c r="U52" s="4">
        <f>(O52-O51)*1.06</f>
        <v>1535337.284</v>
      </c>
      <c r="V52" s="4">
        <f>(P52-P51)*1.06</f>
        <v>3757.8484</v>
      </c>
      <c r="X52" s="4" t="s">
        <v>583</v>
      </c>
      <c r="Y52" s="4">
        <f>S52/10000</f>
        <v>28.47880482</v>
      </c>
      <c r="Z52" s="4">
        <f>T52/10000</f>
        <v>0</v>
      </c>
      <c r="AA52" s="4">
        <f>U52/10000</f>
        <v>153.5337284</v>
      </c>
      <c r="AB52" s="4">
        <f>V52/10000</f>
        <v>0.37578484</v>
      </c>
    </row>
    <row r="53" spans="1:28">
      <c r="A53" s="1" t="s">
        <v>369</v>
      </c>
      <c r="B53" s="1" t="s">
        <v>151</v>
      </c>
      <c r="C53" s="1" t="s">
        <v>2902</v>
      </c>
      <c r="D53" s="2">
        <v>26479.38</v>
      </c>
      <c r="F53" s="2">
        <v>-72913.49</v>
      </c>
      <c r="G53" s="2">
        <v>666930.27</v>
      </c>
      <c r="H53" s="2">
        <f t="shared" si="0"/>
        <v>620496.16</v>
      </c>
      <c r="I53"/>
      <c r="K53" s="3" t="s">
        <v>2893</v>
      </c>
      <c r="L53" s="4">
        <f t="shared" si="1"/>
        <v>169934149.89</v>
      </c>
      <c r="M53" s="4">
        <v>7669131.31</v>
      </c>
      <c r="N53" s="4">
        <v>5938290.47</v>
      </c>
      <c r="O53" s="4">
        <v>143738287.49</v>
      </c>
      <c r="P53" s="4">
        <v>12588440.62</v>
      </c>
      <c r="R53" s="4" t="s">
        <v>2897</v>
      </c>
      <c r="S53" s="4">
        <f>(M61-M62-M59+M60)*1.06</f>
        <v>0</v>
      </c>
      <c r="T53" s="4">
        <f>(N61-N62-N59+N60)*1.06</f>
        <v>0</v>
      </c>
      <c r="U53" s="4">
        <f>(O61-O62-O59+O60)*1.06</f>
        <v>0</v>
      </c>
      <c r="V53" s="4">
        <f>(P61-P62-P59+P60)*1.06</f>
        <v>279259.098800001</v>
      </c>
      <c r="W53" s="4">
        <f>SUM(S51:V53)</f>
        <v>22295675.9445998</v>
      </c>
      <c r="X53" s="4" t="s">
        <v>2897</v>
      </c>
      <c r="Y53" s="4">
        <f>S53/10000</f>
        <v>0</v>
      </c>
      <c r="Z53" s="4">
        <f>T53/10000</f>
        <v>0</v>
      </c>
      <c r="AA53" s="4">
        <f>U53/10000</f>
        <v>0</v>
      </c>
      <c r="AB53" s="4">
        <f>V53/10000</f>
        <v>27.92590988</v>
      </c>
    </row>
    <row r="54" spans="1:16">
      <c r="A54" s="1" t="s">
        <v>369</v>
      </c>
      <c r="B54" s="1" t="s">
        <v>152</v>
      </c>
      <c r="C54" s="1" t="s">
        <v>2902</v>
      </c>
      <c r="D54" s="2">
        <v>61963.04</v>
      </c>
      <c r="F54" s="2">
        <v>340149.32</v>
      </c>
      <c r="G54" s="2">
        <v>230249.13</v>
      </c>
      <c r="H54" s="2">
        <f t="shared" si="0"/>
        <v>632361.49</v>
      </c>
      <c r="I54"/>
      <c r="K54" s="3" t="s">
        <v>2895</v>
      </c>
      <c r="L54" s="4">
        <f t="shared" si="1"/>
        <v>12118205.45</v>
      </c>
      <c r="N54" s="4">
        <v>523075.03</v>
      </c>
      <c r="O54" s="4">
        <v>11542608.43</v>
      </c>
      <c r="P54" s="4">
        <v>52521.99</v>
      </c>
    </row>
    <row r="55" spans="1:28">
      <c r="A55" s="1" t="s">
        <v>369</v>
      </c>
      <c r="B55" s="1" t="s">
        <v>153</v>
      </c>
      <c r="C55" s="1" t="s">
        <v>2902</v>
      </c>
      <c r="D55" s="2">
        <v>105660.7</v>
      </c>
      <c r="F55" s="2">
        <v>6089422.11</v>
      </c>
      <c r="G55" s="2">
        <v>308942.36</v>
      </c>
      <c r="H55" s="2">
        <f t="shared" si="0"/>
        <v>6504025.17</v>
      </c>
      <c r="I55"/>
      <c r="K55" s="3" t="s">
        <v>2896</v>
      </c>
      <c r="L55" s="4">
        <f t="shared" si="1"/>
        <v>170365544.19</v>
      </c>
      <c r="M55" s="4">
        <v>8486193.98</v>
      </c>
      <c r="N55" s="4">
        <v>5991364.98</v>
      </c>
      <c r="O55" s="4">
        <v>141229305.52</v>
      </c>
      <c r="P55" s="4">
        <v>14658679.71</v>
      </c>
      <c r="R55" s="4" t="s">
        <v>2932</v>
      </c>
      <c r="S55" s="4">
        <f>(M61-M62)*1.06</f>
        <v>0</v>
      </c>
      <c r="T55" s="4">
        <f>(N61-N62)*1.06</f>
        <v>0</v>
      </c>
      <c r="U55" s="4">
        <f>(O61-O62)*1.06</f>
        <v>0</v>
      </c>
      <c r="V55" s="4">
        <f>(P61-P62)*1.06</f>
        <v>4516607.1166</v>
      </c>
      <c r="X55" s="4" t="s">
        <v>2932</v>
      </c>
      <c r="Y55" s="4">
        <f>S55/10000</f>
        <v>0</v>
      </c>
      <c r="Z55" s="4">
        <f>T55/10000</f>
        <v>0</v>
      </c>
      <c r="AA55" s="4">
        <f>U55/10000</f>
        <v>0</v>
      </c>
      <c r="AB55" s="4">
        <f>V55/10000</f>
        <v>451.66071166</v>
      </c>
    </row>
    <row r="56" spans="1:16">
      <c r="A56" s="1" t="s">
        <v>369</v>
      </c>
      <c r="B56" s="1" t="s">
        <v>154</v>
      </c>
      <c r="C56" s="1" t="s">
        <v>2902</v>
      </c>
      <c r="D56" s="2">
        <v>151604.99</v>
      </c>
      <c r="F56" s="2">
        <v>1066810.05</v>
      </c>
      <c r="G56" s="2">
        <v>324864.72</v>
      </c>
      <c r="H56" s="2">
        <f t="shared" si="0"/>
        <v>1543279.76</v>
      </c>
      <c r="I56"/>
      <c r="K56" s="3" t="s">
        <v>2898</v>
      </c>
      <c r="L56" s="4">
        <f t="shared" si="1"/>
        <v>12124382.84</v>
      </c>
      <c r="N56" s="4">
        <v>529252.42</v>
      </c>
      <c r="O56" s="4">
        <v>11542608.43</v>
      </c>
      <c r="P56" s="4">
        <v>52521.99</v>
      </c>
    </row>
    <row r="57" spans="1:16">
      <c r="A57" s="1" t="s">
        <v>369</v>
      </c>
      <c r="B57" s="1" t="s">
        <v>155</v>
      </c>
      <c r="C57" s="1" t="s">
        <v>2902</v>
      </c>
      <c r="D57" s="2">
        <v>151212.51</v>
      </c>
      <c r="E57" s="2">
        <v>327.35</v>
      </c>
      <c r="F57" s="2">
        <v>512949.31</v>
      </c>
      <c r="G57" s="2">
        <v>485446.05</v>
      </c>
      <c r="H57" s="2">
        <f t="shared" si="0"/>
        <v>1149935.22</v>
      </c>
      <c r="K57" s="3" t="s">
        <v>2899</v>
      </c>
      <c r="L57" s="4">
        <f t="shared" si="1"/>
        <v>1657439368.3634</v>
      </c>
      <c r="M57" s="4">
        <v>132770381.1616</v>
      </c>
      <c r="N57" s="4">
        <v>1106674024.4116</v>
      </c>
      <c r="O57" s="4">
        <v>306322227.0906</v>
      </c>
      <c r="P57" s="4">
        <v>111672735.6996</v>
      </c>
    </row>
    <row r="58" spans="1:16">
      <c r="A58" s="1" t="s">
        <v>369</v>
      </c>
      <c r="B58" s="1" t="s">
        <v>156</v>
      </c>
      <c r="C58" s="1" t="s">
        <v>2902</v>
      </c>
      <c r="D58" s="2">
        <v>129643.77</v>
      </c>
      <c r="E58" s="2">
        <v>4867.92</v>
      </c>
      <c r="F58" s="2">
        <v>553813.79</v>
      </c>
      <c r="G58" s="2">
        <v>551788.19</v>
      </c>
      <c r="H58" s="2">
        <f t="shared" si="0"/>
        <v>1240113.67</v>
      </c>
      <c r="I58"/>
      <c r="K58" s="3" t="s">
        <v>2892</v>
      </c>
      <c r="L58" s="4">
        <f t="shared" si="1"/>
        <v>1673738448.03</v>
      </c>
      <c r="M58" s="4">
        <v>133625398.67</v>
      </c>
      <c r="N58" s="4">
        <v>1114756443.11</v>
      </c>
      <c r="O58" s="4">
        <v>312088399.91</v>
      </c>
      <c r="P58" s="4">
        <v>113268206.34</v>
      </c>
    </row>
    <row r="59" spans="1:16">
      <c r="A59" s="1" t="s">
        <v>369</v>
      </c>
      <c r="B59" s="1" t="s">
        <v>157</v>
      </c>
      <c r="C59" s="1" t="s">
        <v>2902</v>
      </c>
      <c r="D59" s="2">
        <v>202795.4</v>
      </c>
      <c r="E59" s="2">
        <v>245.28</v>
      </c>
      <c r="F59" s="2">
        <v>47766.37</v>
      </c>
      <c r="G59" s="2">
        <v>694030.17</v>
      </c>
      <c r="H59" s="2">
        <f t="shared" si="0"/>
        <v>944837.22</v>
      </c>
      <c r="I59"/>
      <c r="K59" s="3" t="s">
        <v>2926</v>
      </c>
      <c r="L59" s="4">
        <f t="shared" si="1"/>
        <v>6484076.38</v>
      </c>
      <c r="P59" s="4">
        <v>6484076.38</v>
      </c>
    </row>
    <row r="60" spans="1:16">
      <c r="A60" s="1" t="s">
        <v>369</v>
      </c>
      <c r="B60" s="1" t="s">
        <v>158</v>
      </c>
      <c r="C60" s="1" t="s">
        <v>2902</v>
      </c>
      <c r="D60" s="2">
        <v>175146.79</v>
      </c>
      <c r="E60" s="2">
        <v>591.51</v>
      </c>
      <c r="F60" s="2">
        <v>4360485.84</v>
      </c>
      <c r="G60" s="2">
        <v>150076.02</v>
      </c>
      <c r="H60" s="2">
        <f t="shared" si="0"/>
        <v>4686300.16</v>
      </c>
      <c r="I60"/>
      <c r="K60" s="3" t="s">
        <v>2933</v>
      </c>
      <c r="L60" s="4">
        <f t="shared" si="1"/>
        <v>2486578.25</v>
      </c>
      <c r="P60" s="4">
        <v>2486578.25</v>
      </c>
    </row>
    <row r="61" spans="1:16">
      <c r="A61" s="1" t="s">
        <v>369</v>
      </c>
      <c r="B61" s="1" t="s">
        <v>159</v>
      </c>
      <c r="C61" s="1" t="s">
        <v>2902</v>
      </c>
      <c r="D61" s="2">
        <v>266496.77</v>
      </c>
      <c r="E61" s="2">
        <v>66.04</v>
      </c>
      <c r="F61" s="2">
        <v>109064.2</v>
      </c>
      <c r="G61" s="2">
        <v>184883.88</v>
      </c>
      <c r="H61" s="2">
        <f t="shared" si="0"/>
        <v>560510.89</v>
      </c>
      <c r="I61"/>
      <c r="K61" s="3" t="s">
        <v>2904</v>
      </c>
      <c r="L61" s="4">
        <f t="shared" si="1"/>
        <v>6747528.36</v>
      </c>
      <c r="P61" s="4">
        <v>6747528.36</v>
      </c>
    </row>
    <row r="62" spans="1:16">
      <c r="A62" s="1" t="s">
        <v>369</v>
      </c>
      <c r="B62" s="1" t="s">
        <v>148</v>
      </c>
      <c r="C62" s="1" t="s">
        <v>2931</v>
      </c>
      <c r="F62" s="2">
        <v>710941.44</v>
      </c>
      <c r="G62" s="2">
        <v>614.73</v>
      </c>
      <c r="H62" s="2">
        <f t="shared" si="0"/>
        <v>711556.17</v>
      </c>
      <c r="I62"/>
      <c r="K62" s="3" t="s">
        <v>2907</v>
      </c>
      <c r="L62" s="4">
        <f t="shared" si="1"/>
        <v>2486578.25</v>
      </c>
      <c r="P62" s="4">
        <v>2486578.25</v>
      </c>
    </row>
    <row r="63" spans="1:16">
      <c r="A63" s="1" t="s">
        <v>369</v>
      </c>
      <c r="B63" s="1" t="s">
        <v>149</v>
      </c>
      <c r="C63" s="1" t="s">
        <v>2931</v>
      </c>
      <c r="F63" s="2">
        <v>287492.91</v>
      </c>
      <c r="G63" s="2">
        <v>-507.68</v>
      </c>
      <c r="H63" s="2">
        <f t="shared" si="0"/>
        <v>286985.23</v>
      </c>
      <c r="I63"/>
      <c r="K63" s="3" t="s">
        <v>2902</v>
      </c>
      <c r="L63" s="4">
        <f t="shared" si="1"/>
        <v>3247852.9</v>
      </c>
      <c r="M63" s="4">
        <v>607653.2</v>
      </c>
      <c r="O63" s="4">
        <v>3106294.59</v>
      </c>
      <c r="P63" s="4">
        <v>-466094.89</v>
      </c>
    </row>
    <row r="64" spans="1:12">
      <c r="A64" s="1" t="s">
        <v>369</v>
      </c>
      <c r="B64" s="1" t="s">
        <v>150</v>
      </c>
      <c r="C64" s="1" t="s">
        <v>2931</v>
      </c>
      <c r="F64" s="2">
        <v>525899.19</v>
      </c>
      <c r="G64" s="2">
        <v>78903.51</v>
      </c>
      <c r="H64" s="2">
        <f t="shared" si="0"/>
        <v>604802.7</v>
      </c>
      <c r="I64"/>
      <c r="K64" s="3" t="s">
        <v>2903</v>
      </c>
      <c r="L64" s="4">
        <f t="shared" si="1"/>
        <v>0</v>
      </c>
    </row>
    <row r="65" spans="1:12">
      <c r="A65" s="1" t="s">
        <v>369</v>
      </c>
      <c r="B65" s="1" t="s">
        <v>151</v>
      </c>
      <c r="C65" s="1" t="s">
        <v>2931</v>
      </c>
      <c r="F65" s="2">
        <v>142044.85</v>
      </c>
      <c r="H65" s="2">
        <f t="shared" si="0"/>
        <v>142044.85</v>
      </c>
      <c r="I65"/>
      <c r="K65" s="3" t="s">
        <v>2905</v>
      </c>
      <c r="L65" s="4">
        <f t="shared" si="1"/>
        <v>0</v>
      </c>
    </row>
    <row r="66" spans="1:28">
      <c r="A66" s="1" t="s">
        <v>369</v>
      </c>
      <c r="B66" s="1" t="s">
        <v>152</v>
      </c>
      <c r="C66" s="1" t="s">
        <v>2931</v>
      </c>
      <c r="F66" s="2">
        <v>409170.78</v>
      </c>
      <c r="G66" s="2">
        <v>43657.77</v>
      </c>
      <c r="H66" s="2">
        <f t="shared" ref="H66:H129" si="2">SUM(D66:G66)</f>
        <v>452828.55</v>
      </c>
      <c r="I66"/>
      <c r="J66" s="3" t="s">
        <v>152</v>
      </c>
      <c r="L66" s="4">
        <f t="shared" si="1"/>
        <v>4517559279.3796</v>
      </c>
      <c r="M66" s="4">
        <v>409339619.56</v>
      </c>
      <c r="N66" s="4">
        <v>2791959846.94</v>
      </c>
      <c r="O66" s="4">
        <v>1065465373.89</v>
      </c>
      <c r="P66" s="4">
        <v>250794438.9896</v>
      </c>
      <c r="S66" s="4" t="s">
        <v>12</v>
      </c>
      <c r="T66" t="s">
        <v>13</v>
      </c>
      <c r="U66" t="s">
        <v>14</v>
      </c>
      <c r="V66" s="3" t="s">
        <v>20</v>
      </c>
      <c r="X66" s="4"/>
      <c r="Y66" s="4" t="s">
        <v>12</v>
      </c>
      <c r="Z66" s="4" t="s">
        <v>13</v>
      </c>
      <c r="AA66" s="4" t="s">
        <v>14</v>
      </c>
      <c r="AB66" s="4" t="s">
        <v>20</v>
      </c>
    </row>
    <row r="67" spans="1:28">
      <c r="A67" s="1" t="s">
        <v>369</v>
      </c>
      <c r="B67" s="1" t="s">
        <v>153</v>
      </c>
      <c r="C67" s="1" t="s">
        <v>2931</v>
      </c>
      <c r="F67" s="2">
        <v>983825.75</v>
      </c>
      <c r="G67" s="2">
        <v>9029.7</v>
      </c>
      <c r="H67" s="2">
        <f t="shared" si="2"/>
        <v>992855.45</v>
      </c>
      <c r="I67"/>
      <c r="K67" s="3" t="s">
        <v>1901</v>
      </c>
      <c r="L67" s="4">
        <f t="shared" ref="L67:L130" si="3">SUM(M67:P67)</f>
        <v>1052515.46</v>
      </c>
      <c r="M67" s="4">
        <v>1052515.46</v>
      </c>
      <c r="Q67" s="4">
        <f>(L74-L73)+(L71-L72-L69+L70+L79-L80+L68-L67+L77-L78-L75+L76)*1.06</f>
        <v>32040261.4549999</v>
      </c>
      <c r="R67" s="4" t="s">
        <v>2894</v>
      </c>
      <c r="S67" s="4">
        <f>(M74-M73)+(M71-M72-M69+M70+M79-M80)*1.06</f>
        <v>2566498.0436</v>
      </c>
      <c r="T67" s="4">
        <f>(N74-N73)+(N71-N72-N69+N70+N79-N80)*1.06</f>
        <v>11012378.5261999</v>
      </c>
      <c r="U67" s="4">
        <f>(O74-O73)+(O71-O72-O69+O70+O79-O80)*1.06</f>
        <v>11114885.4272</v>
      </c>
      <c r="V67" s="4">
        <f>(P74-P73)+(P71-P72-P69+P70+P79-P80)*1.06</f>
        <v>3403755.10959999</v>
      </c>
      <c r="X67" s="4" t="s">
        <v>2894</v>
      </c>
      <c r="Y67" s="4">
        <f>S67/10000</f>
        <v>256.64980436</v>
      </c>
      <c r="Z67" s="4">
        <f>T67/10000</f>
        <v>1101.23785261999</v>
      </c>
      <c r="AA67" s="4">
        <f>U67/10000</f>
        <v>1111.48854272</v>
      </c>
      <c r="AB67" s="4">
        <f>V67/10000</f>
        <v>340.375510959999</v>
      </c>
    </row>
    <row r="68" spans="1:28">
      <c r="A68" s="1" t="s">
        <v>369</v>
      </c>
      <c r="B68" s="1" t="s">
        <v>154</v>
      </c>
      <c r="C68" s="1" t="s">
        <v>2931</v>
      </c>
      <c r="F68" s="2">
        <v>294517.53</v>
      </c>
      <c r="G68" s="2">
        <v>4843.74</v>
      </c>
      <c r="H68" s="2">
        <f t="shared" si="2"/>
        <v>299361.27</v>
      </c>
      <c r="I68"/>
      <c r="K68" s="3" t="s">
        <v>2931</v>
      </c>
      <c r="L68" s="4">
        <f t="shared" si="3"/>
        <v>4676507.37</v>
      </c>
      <c r="M68" s="4">
        <v>3189996.61</v>
      </c>
      <c r="O68" s="4">
        <v>1385300.17</v>
      </c>
      <c r="P68" s="4">
        <v>101210.59</v>
      </c>
      <c r="Q68" s="4">
        <f>Q67-W69</f>
        <v>3.35276126861572e-8</v>
      </c>
      <c r="R68" s="4" t="s">
        <v>583</v>
      </c>
      <c r="S68" s="4">
        <f>(M68-M67)*1.06</f>
        <v>2265730.019</v>
      </c>
      <c r="T68" s="4">
        <f>(N68-N67)*1.06</f>
        <v>0</v>
      </c>
      <c r="U68" s="4">
        <f>(O68-O67)*1.06</f>
        <v>1468418.1802</v>
      </c>
      <c r="V68" s="4">
        <f>(P68-P67)*1.06</f>
        <v>107283.2254</v>
      </c>
      <c r="X68" s="4" t="s">
        <v>583</v>
      </c>
      <c r="Y68" s="4">
        <f>S68/10000</f>
        <v>226.5730019</v>
      </c>
      <c r="Z68" s="4">
        <f>T68/10000</f>
        <v>0</v>
      </c>
      <c r="AA68" s="4">
        <f>U68/10000</f>
        <v>146.84181802</v>
      </c>
      <c r="AB68" s="4">
        <f>V68/10000</f>
        <v>10.72832254</v>
      </c>
    </row>
    <row r="69" spans="1:28">
      <c r="A69" s="1" t="s">
        <v>369</v>
      </c>
      <c r="B69" s="1" t="s">
        <v>155</v>
      </c>
      <c r="C69" s="1" t="s">
        <v>2931</v>
      </c>
      <c r="F69" s="2">
        <v>597008.14</v>
      </c>
      <c r="G69" s="2">
        <v>7406.03</v>
      </c>
      <c r="H69" s="2">
        <f t="shared" si="2"/>
        <v>604414.17</v>
      </c>
      <c r="K69" s="3" t="s">
        <v>2893</v>
      </c>
      <c r="L69" s="4">
        <f t="shared" si="3"/>
        <v>227876147.24</v>
      </c>
      <c r="M69" s="4">
        <v>10577120.28</v>
      </c>
      <c r="N69" s="4">
        <v>5816446.76</v>
      </c>
      <c r="O69" s="4">
        <v>194701932.8</v>
      </c>
      <c r="P69" s="4">
        <v>16780647.4</v>
      </c>
      <c r="R69" s="4" t="s">
        <v>2897</v>
      </c>
      <c r="S69" s="4">
        <f>(M77-M78-M75+M76)*1.06</f>
        <v>0</v>
      </c>
      <c r="T69" s="4">
        <f>(N77-N78-N75+N76)*1.06</f>
        <v>0</v>
      </c>
      <c r="U69" s="4">
        <f>(O77-O78-O75+O76)*1.06</f>
        <v>0</v>
      </c>
      <c r="V69" s="4">
        <f>(P77-P78-P75+P76)*1.06</f>
        <v>101312.9238</v>
      </c>
      <c r="W69" s="4">
        <f>SUM(S67:V69)</f>
        <v>32040261.4549998</v>
      </c>
      <c r="X69" s="4" t="s">
        <v>2897</v>
      </c>
      <c r="Y69" s="4">
        <f>S69/10000</f>
        <v>0</v>
      </c>
      <c r="Z69" s="4">
        <f>T69/10000</f>
        <v>0</v>
      </c>
      <c r="AA69" s="4">
        <f>U69/10000</f>
        <v>0</v>
      </c>
      <c r="AB69" s="4">
        <f>V69/10000</f>
        <v>10.13129238</v>
      </c>
    </row>
    <row r="70" spans="1:16">
      <c r="A70" s="1" t="s">
        <v>369</v>
      </c>
      <c r="B70" s="1" t="s">
        <v>156</v>
      </c>
      <c r="C70" s="1" t="s">
        <v>2931</v>
      </c>
      <c r="D70" s="2">
        <v>0</v>
      </c>
      <c r="F70" s="2">
        <v>644609.76</v>
      </c>
      <c r="G70" s="2">
        <v>82092.74</v>
      </c>
      <c r="H70" s="2">
        <f t="shared" si="2"/>
        <v>726702.5</v>
      </c>
      <c r="I70"/>
      <c r="K70" s="3" t="s">
        <v>2895</v>
      </c>
      <c r="L70" s="4">
        <f t="shared" si="3"/>
        <v>24864408.29</v>
      </c>
      <c r="N70" s="4">
        <v>298748.08</v>
      </c>
      <c r="O70" s="4">
        <v>24538059.68</v>
      </c>
      <c r="P70" s="4">
        <v>27600.53</v>
      </c>
    </row>
    <row r="71" spans="1:28">
      <c r="A71" s="1" t="s">
        <v>369</v>
      </c>
      <c r="B71" s="1" t="s">
        <v>157</v>
      </c>
      <c r="C71" s="1" t="s">
        <v>2931</v>
      </c>
      <c r="D71" s="2">
        <v>0</v>
      </c>
      <c r="F71" s="2">
        <v>621939.76</v>
      </c>
      <c r="G71" s="2">
        <v>-51270.59</v>
      </c>
      <c r="H71" s="2">
        <f t="shared" si="2"/>
        <v>570669.17</v>
      </c>
      <c r="I71"/>
      <c r="K71" s="3" t="s">
        <v>2896</v>
      </c>
      <c r="L71" s="4">
        <f t="shared" si="3"/>
        <v>228454714.7</v>
      </c>
      <c r="M71" s="4">
        <v>11221949.66</v>
      </c>
      <c r="N71" s="4">
        <v>5882740.53</v>
      </c>
      <c r="O71" s="4">
        <v>193178634.22</v>
      </c>
      <c r="P71" s="4">
        <v>18171390.29</v>
      </c>
      <c r="R71" s="4" t="s">
        <v>2932</v>
      </c>
      <c r="S71" s="4">
        <f>(M77-M78)*1.06</f>
        <v>0</v>
      </c>
      <c r="T71" s="4">
        <f>(N77-N78)*1.06</f>
        <v>0</v>
      </c>
      <c r="U71" s="4">
        <f>(O77-O78)*1.06</f>
        <v>0</v>
      </c>
      <c r="V71" s="4">
        <f>(P77-P78)*1.06</f>
        <v>4291202.7594</v>
      </c>
      <c r="X71" s="4" t="s">
        <v>2932</v>
      </c>
      <c r="Y71" s="4">
        <f>S71/10000</f>
        <v>0</v>
      </c>
      <c r="Z71" s="4">
        <f>T71/10000</f>
        <v>0</v>
      </c>
      <c r="AA71" s="4">
        <f>U71/10000</f>
        <v>0</v>
      </c>
      <c r="AB71" s="4">
        <f>V71/10000</f>
        <v>429.12027594</v>
      </c>
    </row>
    <row r="72" spans="1:16">
      <c r="A72" s="1" t="s">
        <v>369</v>
      </c>
      <c r="B72" s="1" t="s">
        <v>158</v>
      </c>
      <c r="C72" s="1" t="s">
        <v>2931</v>
      </c>
      <c r="D72" s="2">
        <v>0</v>
      </c>
      <c r="F72" s="2">
        <v>7894669.2</v>
      </c>
      <c r="G72" s="2">
        <v>4435.11</v>
      </c>
      <c r="H72" s="2">
        <f t="shared" si="2"/>
        <v>7899104.31</v>
      </c>
      <c r="I72"/>
      <c r="K72" s="3" t="s">
        <v>2898</v>
      </c>
      <c r="L72" s="4">
        <f t="shared" si="3"/>
        <v>24864408.29</v>
      </c>
      <c r="N72" s="4">
        <v>298748.08</v>
      </c>
      <c r="O72" s="4">
        <v>24538059.68</v>
      </c>
      <c r="P72" s="4">
        <v>27600.53</v>
      </c>
    </row>
    <row r="73" spans="1:16">
      <c r="A73" s="1" t="s">
        <v>369</v>
      </c>
      <c r="B73" s="1" t="s">
        <v>159</v>
      </c>
      <c r="C73" s="1" t="s">
        <v>2931</v>
      </c>
      <c r="D73" s="2">
        <v>4167.1</v>
      </c>
      <c r="F73" s="2">
        <v>281880.24</v>
      </c>
      <c r="G73" s="2">
        <v>17243.27</v>
      </c>
      <c r="H73" s="2">
        <f t="shared" si="2"/>
        <v>303290.61</v>
      </c>
      <c r="I73"/>
      <c r="K73" s="3" t="s">
        <v>2899</v>
      </c>
      <c r="L73" s="4">
        <f t="shared" si="3"/>
        <v>1983173539.5196</v>
      </c>
      <c r="M73" s="4">
        <v>190745313.31</v>
      </c>
      <c r="N73" s="4">
        <v>1384360528.18</v>
      </c>
      <c r="O73" s="4">
        <v>307437677.63</v>
      </c>
      <c r="P73" s="4">
        <v>100630020.3996</v>
      </c>
    </row>
    <row r="74" spans="1:16">
      <c r="A74" s="1" t="s">
        <v>369</v>
      </c>
      <c r="B74" s="1" t="s">
        <v>148</v>
      </c>
      <c r="C74" s="1" t="s">
        <v>2904</v>
      </c>
      <c r="G74" s="2">
        <v>1191041.08</v>
      </c>
      <c r="H74" s="2">
        <f t="shared" si="2"/>
        <v>1191041.08</v>
      </c>
      <c r="I74"/>
      <c r="K74" s="3" t="s">
        <v>2892</v>
      </c>
      <c r="L74" s="4">
        <f t="shared" si="3"/>
        <v>2000570720.45</v>
      </c>
      <c r="M74" s="4">
        <v>191293258.06</v>
      </c>
      <c r="N74" s="4">
        <v>1395302635.31</v>
      </c>
      <c r="O74" s="4">
        <v>311659879.01</v>
      </c>
      <c r="P74" s="4">
        <v>102314948.07</v>
      </c>
    </row>
    <row r="75" spans="1:16">
      <c r="A75" s="1" t="s">
        <v>369</v>
      </c>
      <c r="B75" s="1" t="s">
        <v>149</v>
      </c>
      <c r="C75" s="1" t="s">
        <v>2904</v>
      </c>
      <c r="G75" s="2">
        <v>513215.37</v>
      </c>
      <c r="H75" s="2">
        <f t="shared" si="2"/>
        <v>513215.37</v>
      </c>
      <c r="I75"/>
      <c r="K75" s="3" t="s">
        <v>2926</v>
      </c>
      <c r="L75" s="4">
        <f t="shared" si="3"/>
        <v>5080025.76</v>
      </c>
      <c r="P75" s="4">
        <v>5080025.76</v>
      </c>
    </row>
    <row r="76" spans="1:16">
      <c r="A76" s="1" t="s">
        <v>369</v>
      </c>
      <c r="B76" s="1" t="s">
        <v>150</v>
      </c>
      <c r="C76" s="1" t="s">
        <v>2904</v>
      </c>
      <c r="G76" s="2">
        <v>2075144.86</v>
      </c>
      <c r="H76" s="2">
        <f t="shared" si="2"/>
        <v>2075144.86</v>
      </c>
      <c r="I76"/>
      <c r="K76" s="3" t="s">
        <v>2933</v>
      </c>
      <c r="L76" s="4">
        <f t="shared" si="3"/>
        <v>1127299.5</v>
      </c>
      <c r="P76" s="4">
        <v>1127299.5</v>
      </c>
    </row>
    <row r="77" spans="1:16">
      <c r="A77" s="1" t="s">
        <v>369</v>
      </c>
      <c r="B77" s="1" t="s">
        <v>151</v>
      </c>
      <c r="C77" s="1" t="s">
        <v>2904</v>
      </c>
      <c r="G77" s="2">
        <v>4411510.82</v>
      </c>
      <c r="H77" s="2">
        <f t="shared" si="2"/>
        <v>4411510.82</v>
      </c>
      <c r="I77"/>
      <c r="K77" s="3" t="s">
        <v>2904</v>
      </c>
      <c r="L77" s="4">
        <f t="shared" si="3"/>
        <v>5175603.99</v>
      </c>
      <c r="P77" s="4">
        <v>5175603.99</v>
      </c>
    </row>
    <row r="78" spans="1:16">
      <c r="A78" s="1" t="s">
        <v>369</v>
      </c>
      <c r="B78" s="1" t="s">
        <v>152</v>
      </c>
      <c r="C78" s="1" t="s">
        <v>2904</v>
      </c>
      <c r="G78" s="2">
        <v>4046661.09</v>
      </c>
      <c r="H78" s="2">
        <f t="shared" si="2"/>
        <v>4046661.09</v>
      </c>
      <c r="I78"/>
      <c r="K78" s="3" t="s">
        <v>2907</v>
      </c>
      <c r="L78" s="4">
        <f t="shared" si="3"/>
        <v>1127299.5</v>
      </c>
      <c r="P78" s="4">
        <v>1127299.5</v>
      </c>
    </row>
    <row r="79" spans="1:16">
      <c r="A79" s="1" t="s">
        <v>369</v>
      </c>
      <c r="B79" s="1" t="s">
        <v>153</v>
      </c>
      <c r="C79" s="1" t="s">
        <v>2904</v>
      </c>
      <c r="G79" s="2">
        <v>4960211.58</v>
      </c>
      <c r="H79" s="2">
        <f t="shared" si="2"/>
        <v>4960211.58</v>
      </c>
      <c r="I79"/>
      <c r="K79" s="3" t="s">
        <v>2902</v>
      </c>
      <c r="L79" s="4">
        <f t="shared" si="3"/>
        <v>9516089.31</v>
      </c>
      <c r="M79" s="4">
        <v>1259466.18</v>
      </c>
      <c r="O79" s="4">
        <v>8025830.7</v>
      </c>
      <c r="P79" s="4">
        <v>230792.43</v>
      </c>
    </row>
    <row r="80" spans="1:12">
      <c r="A80" s="1" t="s">
        <v>369</v>
      </c>
      <c r="B80" s="1" t="s">
        <v>154</v>
      </c>
      <c r="C80" s="1" t="s">
        <v>2904</v>
      </c>
      <c r="G80" s="2">
        <v>3822308.51</v>
      </c>
      <c r="H80" s="2">
        <f t="shared" si="2"/>
        <v>3822308.51</v>
      </c>
      <c r="I80"/>
      <c r="K80" s="3" t="s">
        <v>2903</v>
      </c>
      <c r="L80" s="4">
        <f t="shared" si="3"/>
        <v>0</v>
      </c>
    </row>
    <row r="81" spans="1:12">
      <c r="A81" s="1" t="s">
        <v>369</v>
      </c>
      <c r="B81" s="1" t="s">
        <v>155</v>
      </c>
      <c r="C81" s="1" t="s">
        <v>2904</v>
      </c>
      <c r="G81" s="2">
        <v>36983.5</v>
      </c>
      <c r="H81" s="2">
        <f t="shared" si="2"/>
        <v>36983.5</v>
      </c>
      <c r="K81" s="3" t="s">
        <v>2905</v>
      </c>
      <c r="L81" s="4">
        <f t="shared" si="3"/>
        <v>0</v>
      </c>
    </row>
    <row r="82" spans="1:28">
      <c r="A82" s="1" t="s">
        <v>369</v>
      </c>
      <c r="B82" s="1" t="s">
        <v>156</v>
      </c>
      <c r="C82" s="1" t="s">
        <v>2904</v>
      </c>
      <c r="G82" s="2">
        <v>382332.72</v>
      </c>
      <c r="H82" s="2">
        <f t="shared" si="2"/>
        <v>382332.72</v>
      </c>
      <c r="I82"/>
      <c r="J82" s="3" t="s">
        <v>153</v>
      </c>
      <c r="L82" s="4">
        <f t="shared" si="3"/>
        <v>5164484195.8298</v>
      </c>
      <c r="M82" s="4">
        <v>290802684.48</v>
      </c>
      <c r="N82" s="4">
        <v>3017382063.127</v>
      </c>
      <c r="O82" s="4">
        <v>1542346660.3208</v>
      </c>
      <c r="P82" s="4">
        <v>313952787.902</v>
      </c>
      <c r="S82" s="4" t="s">
        <v>12</v>
      </c>
      <c r="T82" t="s">
        <v>13</v>
      </c>
      <c r="U82" t="s">
        <v>14</v>
      </c>
      <c r="V82" s="3" t="s">
        <v>20</v>
      </c>
      <c r="X82" s="4"/>
      <c r="Y82" s="4" t="s">
        <v>12</v>
      </c>
      <c r="Z82" s="4" t="s">
        <v>13</v>
      </c>
      <c r="AA82" s="4" t="s">
        <v>14</v>
      </c>
      <c r="AB82" s="4" t="s">
        <v>20</v>
      </c>
    </row>
    <row r="83" spans="1:28">
      <c r="A83" s="1" t="s">
        <v>369</v>
      </c>
      <c r="B83" s="1" t="s">
        <v>157</v>
      </c>
      <c r="C83" s="1" t="s">
        <v>2904</v>
      </c>
      <c r="G83" s="2">
        <v>769324.95</v>
      </c>
      <c r="H83" s="2">
        <f t="shared" si="2"/>
        <v>769324.95</v>
      </c>
      <c r="I83"/>
      <c r="K83" s="3" t="s">
        <v>1901</v>
      </c>
      <c r="L83" s="4">
        <f t="shared" si="3"/>
        <v>2763395.34</v>
      </c>
      <c r="M83" s="4">
        <v>1660768.21</v>
      </c>
      <c r="O83" s="4">
        <v>1102627.13</v>
      </c>
      <c r="Q83" s="4">
        <f>(L90-L89)+(L87-L88-L85+L86+L95-L96+L84-L83+L93-L94-L91+L92)*1.06</f>
        <v>47425143.8286002</v>
      </c>
      <c r="R83" s="4" t="s">
        <v>2894</v>
      </c>
      <c r="S83" s="4">
        <f>(M90-M89)+(M87-M88-M85+M86+M95-M96)*1.06</f>
        <v>4604561.986</v>
      </c>
      <c r="T83" s="4">
        <f>(N90-N89)+(N87-N88-N85+N86+N95-N96)*1.06</f>
        <v>11074281.3784002</v>
      </c>
      <c r="U83" s="4">
        <f>(O90-O89)+(O87-O88-O85+O86+O95-O96)*1.06</f>
        <v>22480556.5680001</v>
      </c>
      <c r="V83" s="4">
        <f>(P90-P89)+(P87-P88-P85+P86+P95-P96)*1.06</f>
        <v>2679308.94339999</v>
      </c>
      <c r="X83" s="4" t="s">
        <v>2894</v>
      </c>
      <c r="Y83" s="4">
        <f>S83/10000</f>
        <v>460.4561986</v>
      </c>
      <c r="Z83" s="4">
        <f>T83/10000</f>
        <v>1107.42813784002</v>
      </c>
      <c r="AA83" s="4">
        <f>U83/10000</f>
        <v>2248.05565680001</v>
      </c>
      <c r="AB83" s="4">
        <f>V83/10000</f>
        <v>267.930894339999</v>
      </c>
    </row>
    <row r="84" spans="1:28">
      <c r="A84" s="1" t="s">
        <v>369</v>
      </c>
      <c r="B84" s="1" t="s">
        <v>158</v>
      </c>
      <c r="C84" s="1" t="s">
        <v>2904</v>
      </c>
      <c r="D84" s="2">
        <v>0</v>
      </c>
      <c r="G84" s="2">
        <v>659489.64</v>
      </c>
      <c r="H84" s="2">
        <f t="shared" si="2"/>
        <v>659489.64</v>
      </c>
      <c r="I84"/>
      <c r="K84" s="3" t="s">
        <v>2931</v>
      </c>
      <c r="L84" s="4">
        <f t="shared" si="3"/>
        <v>8267276.33</v>
      </c>
      <c r="M84" s="4">
        <v>5316501.68</v>
      </c>
      <c r="O84" s="4">
        <v>2941744.95</v>
      </c>
      <c r="P84" s="4">
        <v>9029.7</v>
      </c>
      <c r="Q84" s="4">
        <f>Q83-W85</f>
        <v>-8.19563865661621e-8</v>
      </c>
      <c r="R84" s="4" t="s">
        <v>583</v>
      </c>
      <c r="S84" s="4">
        <f>(M84-M83)*1.06</f>
        <v>3875077.4782</v>
      </c>
      <c r="T84" s="4">
        <f>(N84-N83)*1.06</f>
        <v>0</v>
      </c>
      <c r="U84" s="4">
        <f>(O84-O83)*1.06</f>
        <v>1949464.8892</v>
      </c>
      <c r="V84" s="4">
        <f>(P84-P83)*1.06</f>
        <v>9571.482</v>
      </c>
      <c r="X84" s="4" t="s">
        <v>583</v>
      </c>
      <c r="Y84" s="4">
        <f>S84/10000</f>
        <v>387.50774782</v>
      </c>
      <c r="Z84" s="4">
        <f>T84/10000</f>
        <v>0</v>
      </c>
      <c r="AA84" s="4">
        <f>U84/10000</f>
        <v>194.94648892</v>
      </c>
      <c r="AB84" s="4">
        <f>V84/10000</f>
        <v>0.9571482</v>
      </c>
    </row>
    <row r="85" spans="1:28">
      <c r="A85" s="1" t="s">
        <v>369</v>
      </c>
      <c r="B85" s="1" t="s">
        <v>159</v>
      </c>
      <c r="C85" s="1" t="s">
        <v>2904</v>
      </c>
      <c r="G85" s="2">
        <v>254223.92</v>
      </c>
      <c r="H85" s="2">
        <f t="shared" si="2"/>
        <v>254223.92</v>
      </c>
      <c r="I85"/>
      <c r="K85" s="3" t="s">
        <v>2893</v>
      </c>
      <c r="L85" s="4">
        <f t="shared" si="3"/>
        <v>435781427.95</v>
      </c>
      <c r="M85" s="4">
        <v>7778726.01</v>
      </c>
      <c r="N85" s="4">
        <v>9565599.19</v>
      </c>
      <c r="O85" s="4">
        <v>390693292.65</v>
      </c>
      <c r="P85" s="4">
        <v>27743810.1</v>
      </c>
      <c r="R85" s="4" t="s">
        <v>2897</v>
      </c>
      <c r="S85" s="4">
        <f>(M93-M94-M91+M92)*1.06</f>
        <v>0</v>
      </c>
      <c r="T85" s="4">
        <f>(N93-N94-N91+N92)*1.06</f>
        <v>0</v>
      </c>
      <c r="U85" s="4">
        <f>(O93-O94-O91+O92)*1.06</f>
        <v>0</v>
      </c>
      <c r="V85" s="4">
        <f>(P93-P94-P91+P92)*1.06</f>
        <v>752321.103400002</v>
      </c>
      <c r="W85" s="4">
        <f>SUM(S83:V85)</f>
        <v>47425143.8286003</v>
      </c>
      <c r="X85" s="4" t="s">
        <v>2897</v>
      </c>
      <c r="Y85" s="4">
        <f>S85/10000</f>
        <v>0</v>
      </c>
      <c r="Z85" s="4">
        <f>T85/10000</f>
        <v>0</v>
      </c>
      <c r="AA85" s="4">
        <f>U85/10000</f>
        <v>0</v>
      </c>
      <c r="AB85" s="4">
        <f>V85/10000</f>
        <v>75.2321103400002</v>
      </c>
    </row>
    <row r="86" spans="1:16">
      <c r="A86" s="1" t="s">
        <v>369</v>
      </c>
      <c r="B86" s="1" t="s">
        <v>148</v>
      </c>
      <c r="C86" s="1" t="s">
        <v>2905</v>
      </c>
      <c r="H86" s="2">
        <f t="shared" si="2"/>
        <v>0</v>
      </c>
      <c r="I86"/>
      <c r="K86" s="3" t="s">
        <v>2895</v>
      </c>
      <c r="L86" s="4">
        <f t="shared" si="3"/>
        <v>42946953.27</v>
      </c>
      <c r="N86" s="4">
        <v>398868.11</v>
      </c>
      <c r="O86" s="4">
        <v>42260329.21</v>
      </c>
      <c r="P86" s="4">
        <v>287755.95</v>
      </c>
    </row>
    <row r="87" spans="1:28">
      <c r="A87" s="1" t="s">
        <v>369</v>
      </c>
      <c r="B87" s="1" t="s">
        <v>149</v>
      </c>
      <c r="C87" s="1" t="s">
        <v>2905</v>
      </c>
      <c r="H87" s="2">
        <f t="shared" si="2"/>
        <v>0</v>
      </c>
      <c r="I87"/>
      <c r="K87" s="3" t="s">
        <v>2896</v>
      </c>
      <c r="L87" s="4">
        <f t="shared" si="3"/>
        <v>434890361.28</v>
      </c>
      <c r="M87" s="4">
        <v>11321028.89</v>
      </c>
      <c r="N87" s="4">
        <v>9689240.28</v>
      </c>
      <c r="O87" s="4">
        <v>384701307.95</v>
      </c>
      <c r="P87" s="4">
        <v>29178784.16</v>
      </c>
      <c r="R87" s="4" t="s">
        <v>2932</v>
      </c>
      <c r="S87" s="4">
        <f>(M93-M94)*1.06</f>
        <v>49999.9986</v>
      </c>
      <c r="T87" s="4">
        <f>(N93-N94)*1.06</f>
        <v>0</v>
      </c>
      <c r="U87" s="4">
        <f>(O93-O94)*1.06</f>
        <v>0</v>
      </c>
      <c r="V87" s="4">
        <f>(P93-P94)*1.06</f>
        <v>10657784.2358</v>
      </c>
      <c r="X87" s="4" t="s">
        <v>2932</v>
      </c>
      <c r="Y87" s="4">
        <f>S87/10000</f>
        <v>4.99999986</v>
      </c>
      <c r="Z87" s="4">
        <f>T87/10000</f>
        <v>0</v>
      </c>
      <c r="AA87" s="4">
        <f>U87/10000</f>
        <v>0</v>
      </c>
      <c r="AB87" s="4">
        <f>V87/10000</f>
        <v>1065.77842358</v>
      </c>
    </row>
    <row r="88" spans="1:16">
      <c r="A88" s="1" t="s">
        <v>369</v>
      </c>
      <c r="B88" s="1" t="s">
        <v>150</v>
      </c>
      <c r="C88" s="1" t="s">
        <v>2905</v>
      </c>
      <c r="H88" s="2">
        <f t="shared" si="2"/>
        <v>0</v>
      </c>
      <c r="I88"/>
      <c r="K88" s="3" t="s">
        <v>2898</v>
      </c>
      <c r="L88" s="4">
        <f t="shared" si="3"/>
        <v>42946953.27</v>
      </c>
      <c r="N88" s="4">
        <v>398868.11</v>
      </c>
      <c r="O88" s="4">
        <v>42260329.21</v>
      </c>
      <c r="P88" s="4">
        <v>287755.95</v>
      </c>
    </row>
    <row r="89" spans="1:16">
      <c r="A89" s="1" t="s">
        <v>369</v>
      </c>
      <c r="B89" s="1" t="s">
        <v>151</v>
      </c>
      <c r="C89" s="1" t="s">
        <v>2905</v>
      </c>
      <c r="H89" s="2">
        <f t="shared" si="2"/>
        <v>0</v>
      </c>
      <c r="I89"/>
      <c r="K89" s="3" t="s">
        <v>2899</v>
      </c>
      <c r="L89" s="4">
        <f t="shared" si="3"/>
        <v>2067429981.6798</v>
      </c>
      <c r="M89" s="4">
        <v>131971681.09</v>
      </c>
      <c r="N89" s="4">
        <v>1493193132.807</v>
      </c>
      <c r="O89" s="4">
        <v>325420622.7908</v>
      </c>
      <c r="P89" s="4">
        <v>116844544.992</v>
      </c>
    </row>
    <row r="90" spans="1:16">
      <c r="A90" s="1" t="s">
        <v>369</v>
      </c>
      <c r="B90" s="1" t="s">
        <v>152</v>
      </c>
      <c r="C90" s="1" t="s">
        <v>2905</v>
      </c>
      <c r="H90" s="2">
        <f t="shared" si="2"/>
        <v>0</v>
      </c>
      <c r="I90"/>
      <c r="K90" s="3" t="s">
        <v>2892</v>
      </c>
      <c r="L90" s="4">
        <f t="shared" si="3"/>
        <v>2083298015.35</v>
      </c>
      <c r="M90" s="4">
        <v>129963588.26</v>
      </c>
      <c r="N90" s="4">
        <v>1504136354.63</v>
      </c>
      <c r="O90" s="4">
        <v>331528461.25</v>
      </c>
      <c r="P90" s="4">
        <v>117669611.21</v>
      </c>
    </row>
    <row r="91" spans="1:16">
      <c r="A91" s="1" t="s">
        <v>369</v>
      </c>
      <c r="B91" s="1" t="s">
        <v>153</v>
      </c>
      <c r="C91" s="1" t="s">
        <v>2905</v>
      </c>
      <c r="H91" s="2">
        <f t="shared" si="2"/>
        <v>0</v>
      </c>
      <c r="I91"/>
      <c r="K91" s="3" t="s">
        <v>2926</v>
      </c>
      <c r="L91" s="4">
        <f t="shared" si="3"/>
        <v>9721986.64</v>
      </c>
      <c r="M91" s="4">
        <v>47169.81</v>
      </c>
      <c r="P91" s="4">
        <v>9674816.83</v>
      </c>
    </row>
    <row r="92" spans="1:16">
      <c r="A92" s="1" t="s">
        <v>369</v>
      </c>
      <c r="B92" s="1" t="s">
        <v>154</v>
      </c>
      <c r="C92" s="1" t="s">
        <v>2905</v>
      </c>
      <c r="H92" s="2">
        <f t="shared" si="2"/>
        <v>0</v>
      </c>
      <c r="I92"/>
      <c r="K92" s="3" t="s">
        <v>2933</v>
      </c>
      <c r="L92" s="4">
        <f t="shared" si="3"/>
        <v>330040.29</v>
      </c>
      <c r="P92" s="4">
        <v>330040.29</v>
      </c>
    </row>
    <row r="93" spans="1:16">
      <c r="A93" s="1" t="s">
        <v>369</v>
      </c>
      <c r="B93" s="1" t="s">
        <v>155</v>
      </c>
      <c r="C93" s="1" t="s">
        <v>2905</v>
      </c>
      <c r="H93" s="2">
        <f t="shared" si="2"/>
        <v>0</v>
      </c>
      <c r="K93" s="3" t="s">
        <v>2904</v>
      </c>
      <c r="L93" s="4">
        <f t="shared" si="3"/>
        <v>10431723.53</v>
      </c>
      <c r="M93" s="4">
        <v>47169.81</v>
      </c>
      <c r="P93" s="4">
        <v>10384553.72</v>
      </c>
    </row>
    <row r="94" spans="1:16">
      <c r="A94" s="1" t="s">
        <v>369</v>
      </c>
      <c r="B94" s="1" t="s">
        <v>156</v>
      </c>
      <c r="C94" s="1" t="s">
        <v>2905</v>
      </c>
      <c r="H94" s="2">
        <f t="shared" si="2"/>
        <v>0</v>
      </c>
      <c r="I94"/>
      <c r="K94" s="3" t="s">
        <v>2907</v>
      </c>
      <c r="L94" s="4">
        <f t="shared" si="3"/>
        <v>330040.29</v>
      </c>
      <c r="P94" s="4">
        <v>330040.29</v>
      </c>
    </row>
    <row r="95" spans="1:16">
      <c r="A95" s="1" t="s">
        <v>369</v>
      </c>
      <c r="B95" s="1" t="s">
        <v>157</v>
      </c>
      <c r="C95" s="1" t="s">
        <v>2905</v>
      </c>
      <c r="H95" s="2">
        <f t="shared" si="2"/>
        <v>0</v>
      </c>
      <c r="I95"/>
      <c r="K95" s="3" t="s">
        <v>2902</v>
      </c>
      <c r="L95" s="4">
        <f t="shared" si="3"/>
        <v>24448307.43</v>
      </c>
      <c r="M95" s="4">
        <v>2696050.72</v>
      </c>
      <c r="O95" s="4">
        <v>21437945.18</v>
      </c>
      <c r="P95" s="4">
        <v>314311.53</v>
      </c>
    </row>
    <row r="96" spans="1:12">
      <c r="A96" s="1" t="s">
        <v>369</v>
      </c>
      <c r="B96" s="1" t="s">
        <v>158</v>
      </c>
      <c r="C96" s="1" t="s">
        <v>2905</v>
      </c>
      <c r="H96" s="2">
        <f t="shared" si="2"/>
        <v>0</v>
      </c>
      <c r="I96"/>
      <c r="K96" s="3" t="s">
        <v>2903</v>
      </c>
      <c r="L96" s="4">
        <f t="shared" si="3"/>
        <v>0</v>
      </c>
    </row>
    <row r="97" spans="1:16">
      <c r="A97" s="1" t="s">
        <v>369</v>
      </c>
      <c r="B97" s="1" t="s">
        <v>159</v>
      </c>
      <c r="C97" s="1" t="s">
        <v>2905</v>
      </c>
      <c r="H97" s="2">
        <f t="shared" si="2"/>
        <v>0</v>
      </c>
      <c r="I97"/>
      <c r="K97" s="3" t="s">
        <v>2905</v>
      </c>
      <c r="L97" s="4">
        <f t="shared" si="3"/>
        <v>897733.18</v>
      </c>
      <c r="P97" s="4">
        <v>897733.18</v>
      </c>
    </row>
    <row r="98" spans="1:28">
      <c r="A98" s="1" t="s">
        <v>369</v>
      </c>
      <c r="B98" s="1" t="s">
        <v>148</v>
      </c>
      <c r="C98" s="1" t="s">
        <v>1901</v>
      </c>
      <c r="H98" s="2">
        <f t="shared" si="2"/>
        <v>0</v>
      </c>
      <c r="I98"/>
      <c r="J98" s="3" t="s">
        <v>154</v>
      </c>
      <c r="L98" s="4">
        <f t="shared" si="3"/>
        <v>5009452972.27</v>
      </c>
      <c r="M98" s="4">
        <v>452782218</v>
      </c>
      <c r="N98" s="4">
        <v>3035115591.14</v>
      </c>
      <c r="O98" s="4">
        <v>1249324713.74</v>
      </c>
      <c r="P98" s="4">
        <v>272230449.39</v>
      </c>
      <c r="S98" s="4" t="s">
        <v>12</v>
      </c>
      <c r="T98" t="s">
        <v>13</v>
      </c>
      <c r="U98" t="s">
        <v>14</v>
      </c>
      <c r="V98" s="3" t="s">
        <v>20</v>
      </c>
      <c r="X98" s="4"/>
      <c r="Y98" s="4" t="s">
        <v>12</v>
      </c>
      <c r="Z98" s="4" t="s">
        <v>13</v>
      </c>
      <c r="AA98" s="4" t="s">
        <v>14</v>
      </c>
      <c r="AB98" s="4" t="s">
        <v>20</v>
      </c>
    </row>
    <row r="99" spans="1:28">
      <c r="A99" s="1" t="s">
        <v>369</v>
      </c>
      <c r="B99" s="1" t="s">
        <v>149</v>
      </c>
      <c r="C99" s="1" t="s">
        <v>1901</v>
      </c>
      <c r="H99" s="2">
        <f t="shared" si="2"/>
        <v>0</v>
      </c>
      <c r="I99"/>
      <c r="K99" s="3" t="s">
        <v>1901</v>
      </c>
      <c r="L99" s="4">
        <f t="shared" si="3"/>
        <v>237923.25</v>
      </c>
      <c r="M99" s="4">
        <v>1153561.63</v>
      </c>
      <c r="O99" s="4">
        <v>-915638.38</v>
      </c>
      <c r="Q99" s="4">
        <f>(L106-L105)+(L103-L104-L101+L102+L111-L112+L100-L99+L109-L110-L107+L108)*1.06</f>
        <v>24257412.7541999</v>
      </c>
      <c r="R99" s="4" t="s">
        <v>2894</v>
      </c>
      <c r="S99" s="4">
        <f>(M106-M105)+(M103-M104-M101+M102+M111-M112)*1.06</f>
        <v>2864373.8028</v>
      </c>
      <c r="T99" s="4">
        <f>(N106-N105)+(N103-N104-N101+N102+N111-N112)*1.06</f>
        <v>8606175.49840005</v>
      </c>
      <c r="U99" s="4">
        <f>(O106-O105)+(O103-O104-O101+O102+O111-O112)*1.06</f>
        <v>6712910.88999999</v>
      </c>
      <c r="V99" s="4">
        <f>(P106-P105)+(P103-P104-P101+P102+P111-P112)*1.06</f>
        <v>2167683.37640001</v>
      </c>
      <c r="X99" s="4" t="s">
        <v>2894</v>
      </c>
      <c r="Y99" s="4">
        <f>S99/10000</f>
        <v>286.43738028</v>
      </c>
      <c r="Z99" s="4">
        <f>T99/10000</f>
        <v>860.617549840005</v>
      </c>
      <c r="AA99" s="4">
        <f>U99/10000</f>
        <v>671.291088999999</v>
      </c>
      <c r="AB99" s="4">
        <f>V99/10000</f>
        <v>216.768337640001</v>
      </c>
    </row>
    <row r="100" spans="1:28">
      <c r="A100" s="1" t="s">
        <v>369</v>
      </c>
      <c r="B100" s="1" t="s">
        <v>150</v>
      </c>
      <c r="C100" s="1" t="s">
        <v>1901</v>
      </c>
      <c r="F100" s="2">
        <v>456700.62</v>
      </c>
      <c r="H100" s="2">
        <f t="shared" si="2"/>
        <v>456700.62</v>
      </c>
      <c r="I100"/>
      <c r="K100" s="3" t="s">
        <v>2931</v>
      </c>
      <c r="L100" s="4">
        <f t="shared" si="3"/>
        <v>3587882.1</v>
      </c>
      <c r="M100" s="4">
        <v>2241359.29</v>
      </c>
      <c r="O100" s="4">
        <v>1341679.07</v>
      </c>
      <c r="P100" s="4">
        <v>4843.74</v>
      </c>
      <c r="Q100" s="4">
        <f>Q99-W101</f>
        <v>-1.15483999252319e-7</v>
      </c>
      <c r="R100" s="4" t="s">
        <v>583</v>
      </c>
      <c r="S100" s="4">
        <f>(M100-M99)*1.06</f>
        <v>1153065.5196</v>
      </c>
      <c r="T100" s="4">
        <f>(N100-N99)*1.06</f>
        <v>0</v>
      </c>
      <c r="U100" s="4">
        <f>(O100-O99)*1.06</f>
        <v>2392756.497</v>
      </c>
      <c r="V100" s="4">
        <f>(P100-P99)*1.06</f>
        <v>5134.3644</v>
      </c>
      <c r="X100" s="4" t="s">
        <v>583</v>
      </c>
      <c r="Y100" s="4">
        <f>S100/10000</f>
        <v>115.30655196</v>
      </c>
      <c r="Z100" s="4">
        <f>T100/10000</f>
        <v>0</v>
      </c>
      <c r="AA100" s="4">
        <f>U100/10000</f>
        <v>239.2756497</v>
      </c>
      <c r="AB100" s="4">
        <f>V100/10000</f>
        <v>0.51343644</v>
      </c>
    </row>
    <row r="101" spans="1:28">
      <c r="A101" s="1" t="s">
        <v>369</v>
      </c>
      <c r="B101" s="1" t="s">
        <v>151</v>
      </c>
      <c r="C101" s="1" t="s">
        <v>1901</v>
      </c>
      <c r="H101" s="2">
        <f t="shared" si="2"/>
        <v>0</v>
      </c>
      <c r="I101"/>
      <c r="K101" s="3" t="s">
        <v>2893</v>
      </c>
      <c r="L101" s="4">
        <f t="shared" si="3"/>
        <v>268447447.77</v>
      </c>
      <c r="M101" s="4">
        <v>7835176.39</v>
      </c>
      <c r="N101" s="4">
        <v>8270458.57</v>
      </c>
      <c r="O101" s="4">
        <v>231892486.48</v>
      </c>
      <c r="P101" s="4">
        <v>20449326.33</v>
      </c>
      <c r="R101" s="4" t="s">
        <v>2897</v>
      </c>
      <c r="S101" s="4">
        <f>(M109-M110-M107+M108)*1.06</f>
        <v>0</v>
      </c>
      <c r="T101" s="4">
        <f>(N109-N110-N107+N108)*1.06</f>
        <v>0</v>
      </c>
      <c r="U101" s="4">
        <f>(O109-O110-O107+O108)*1.06</f>
        <v>0</v>
      </c>
      <c r="V101" s="4">
        <f>(P109-P110-P107+P108)*1.06</f>
        <v>355312.8056</v>
      </c>
      <c r="W101" s="4">
        <f>SUM(S99:V101)</f>
        <v>24257412.7542</v>
      </c>
      <c r="X101" s="4" t="s">
        <v>2897</v>
      </c>
      <c r="Y101" s="4">
        <f>S101/10000</f>
        <v>0</v>
      </c>
      <c r="Z101" s="4">
        <f>T101/10000</f>
        <v>0</v>
      </c>
      <c r="AA101" s="4">
        <f>U101/10000</f>
        <v>0</v>
      </c>
      <c r="AB101" s="4">
        <f>V101/10000</f>
        <v>35.53128056</v>
      </c>
    </row>
    <row r="102" spans="1:16">
      <c r="A102" s="1" t="s">
        <v>369</v>
      </c>
      <c r="B102" s="1" t="s">
        <v>152</v>
      </c>
      <c r="C102" s="1" t="s">
        <v>1901</v>
      </c>
      <c r="H102" s="2">
        <f t="shared" si="2"/>
        <v>0</v>
      </c>
      <c r="I102"/>
      <c r="K102" s="3" t="s">
        <v>2895</v>
      </c>
      <c r="L102" s="4">
        <f t="shared" si="3"/>
        <v>34762007.1</v>
      </c>
      <c r="M102" s="4">
        <v>14968</v>
      </c>
      <c r="N102" s="4">
        <v>588535.33</v>
      </c>
      <c r="O102" s="4">
        <v>34154877.35</v>
      </c>
      <c r="P102" s="4">
        <v>3626.42</v>
      </c>
    </row>
    <row r="103" spans="1:28">
      <c r="A103" s="1" t="s">
        <v>369</v>
      </c>
      <c r="B103" s="1" t="s">
        <v>153</v>
      </c>
      <c r="C103" s="1" t="s">
        <v>1901</v>
      </c>
      <c r="H103" s="2">
        <f t="shared" si="2"/>
        <v>0</v>
      </c>
      <c r="I103"/>
      <c r="K103" s="3" t="s">
        <v>2896</v>
      </c>
      <c r="L103" s="4">
        <f t="shared" si="3"/>
        <v>264501020.57</v>
      </c>
      <c r="M103" s="4">
        <v>8714728.28</v>
      </c>
      <c r="N103" s="4">
        <v>8302286.21</v>
      </c>
      <c r="O103" s="4">
        <v>225681961.67</v>
      </c>
      <c r="P103" s="4">
        <v>21802044.41</v>
      </c>
      <c r="R103" s="4" t="s">
        <v>2932</v>
      </c>
      <c r="S103" s="4">
        <f>(M109-M110)*1.06</f>
        <v>0</v>
      </c>
      <c r="T103" s="4">
        <f>(N109-N110)*1.06</f>
        <v>0</v>
      </c>
      <c r="U103" s="4">
        <f>(O109-O110)*1.06</f>
        <v>0</v>
      </c>
      <c r="V103" s="4">
        <f>(P109-P110)*1.06</f>
        <v>8502061.5256</v>
      </c>
      <c r="X103" s="4" t="s">
        <v>2932</v>
      </c>
      <c r="Y103" s="4">
        <f>S103/10000</f>
        <v>0</v>
      </c>
      <c r="Z103" s="4">
        <f>T103/10000</f>
        <v>0</v>
      </c>
      <c r="AA103" s="4">
        <f>U103/10000</f>
        <v>0</v>
      </c>
      <c r="AB103" s="4">
        <f>V103/10000</f>
        <v>850.20615256</v>
      </c>
    </row>
    <row r="104" spans="1:16">
      <c r="A104" s="1" t="s">
        <v>369</v>
      </c>
      <c r="B104" s="1" t="s">
        <v>154</v>
      </c>
      <c r="C104" s="1" t="s">
        <v>1901</v>
      </c>
      <c r="F104" s="2">
        <v>186988.75</v>
      </c>
      <c r="H104" s="2">
        <f t="shared" si="2"/>
        <v>186988.75</v>
      </c>
      <c r="I104"/>
      <c r="K104" s="3" t="s">
        <v>2898</v>
      </c>
      <c r="L104" s="4">
        <f t="shared" si="3"/>
        <v>34762007.1</v>
      </c>
      <c r="M104" s="4">
        <v>14968</v>
      </c>
      <c r="N104" s="4">
        <v>588535.33</v>
      </c>
      <c r="O104" s="4">
        <v>34154877.35</v>
      </c>
      <c r="P104" s="4">
        <v>3626.42</v>
      </c>
    </row>
    <row r="105" spans="1:16">
      <c r="A105" s="1" t="s">
        <v>369</v>
      </c>
      <c r="B105" s="1" t="s">
        <v>155</v>
      </c>
      <c r="C105" s="1" t="s">
        <v>1901</v>
      </c>
      <c r="H105" s="2">
        <f t="shared" si="2"/>
        <v>0</v>
      </c>
      <c r="K105" s="3" t="s">
        <v>2899</v>
      </c>
      <c r="L105" s="4">
        <f t="shared" si="3"/>
        <v>2174161954.7</v>
      </c>
      <c r="M105" s="4">
        <v>215456858.82</v>
      </c>
      <c r="N105" s="4">
        <v>1504396668.75</v>
      </c>
      <c r="O105" s="4">
        <v>355050414.06</v>
      </c>
      <c r="P105" s="4">
        <v>99258013.07</v>
      </c>
    </row>
    <row r="106" spans="1:16">
      <c r="A106" s="1" t="s">
        <v>369</v>
      </c>
      <c r="B106" s="1" t="s">
        <v>156</v>
      </c>
      <c r="C106" s="1" t="s">
        <v>1901</v>
      </c>
      <c r="H106" s="2">
        <f t="shared" si="2"/>
        <v>0</v>
      </c>
      <c r="I106"/>
      <c r="K106" s="3" t="s">
        <v>2892</v>
      </c>
      <c r="L106" s="4">
        <f t="shared" si="3"/>
        <v>2190896051.3</v>
      </c>
      <c r="M106" s="4">
        <v>216712097.1</v>
      </c>
      <c r="N106" s="4">
        <v>1512969106.95</v>
      </c>
      <c r="O106" s="4">
        <v>361590304.33</v>
      </c>
      <c r="P106" s="4">
        <v>99624542.92</v>
      </c>
    </row>
    <row r="107" spans="1:16">
      <c r="A107" s="1" t="s">
        <v>369</v>
      </c>
      <c r="B107" s="1" t="s">
        <v>157</v>
      </c>
      <c r="C107" s="1" t="s">
        <v>1901</v>
      </c>
      <c r="H107" s="2">
        <f t="shared" si="2"/>
        <v>0</v>
      </c>
      <c r="I107"/>
      <c r="K107" s="3" t="s">
        <v>2926</v>
      </c>
      <c r="L107" s="4">
        <f t="shared" si="3"/>
        <v>11443491.49</v>
      </c>
      <c r="P107" s="4">
        <v>11443491.49</v>
      </c>
    </row>
    <row r="108" spans="1:16">
      <c r="A108" s="1" t="s">
        <v>369</v>
      </c>
      <c r="B108" s="1" t="s">
        <v>158</v>
      </c>
      <c r="C108" s="1" t="s">
        <v>1901</v>
      </c>
      <c r="H108" s="2">
        <f t="shared" si="2"/>
        <v>0</v>
      </c>
      <c r="I108"/>
      <c r="K108" s="3" t="s">
        <v>2933</v>
      </c>
      <c r="L108" s="4">
        <f t="shared" si="3"/>
        <v>3757879.49</v>
      </c>
      <c r="P108" s="4">
        <v>3757879.49</v>
      </c>
    </row>
    <row r="109" spans="1:16">
      <c r="A109" s="1" t="s">
        <v>369</v>
      </c>
      <c r="B109" s="1" t="s">
        <v>159</v>
      </c>
      <c r="C109" s="1" t="s">
        <v>1901</v>
      </c>
      <c r="H109" s="2">
        <f t="shared" si="2"/>
        <v>0</v>
      </c>
      <c r="I109"/>
      <c r="K109" s="3" t="s">
        <v>2904</v>
      </c>
      <c r="L109" s="4">
        <f t="shared" si="3"/>
        <v>11778692.25</v>
      </c>
      <c r="P109" s="4">
        <v>11778692.25</v>
      </c>
    </row>
    <row r="110" spans="1:16">
      <c r="A110" s="1" t="s">
        <v>369</v>
      </c>
      <c r="B110" s="1" t="s">
        <v>148</v>
      </c>
      <c r="C110" s="1" t="s">
        <v>2926</v>
      </c>
      <c r="G110" s="2">
        <v>1058840.94</v>
      </c>
      <c r="H110" s="2">
        <f t="shared" si="2"/>
        <v>1058840.94</v>
      </c>
      <c r="I110"/>
      <c r="K110" s="3" t="s">
        <v>2907</v>
      </c>
      <c r="L110" s="4">
        <f t="shared" si="3"/>
        <v>3757879.49</v>
      </c>
      <c r="P110" s="4">
        <v>3757879.49</v>
      </c>
    </row>
    <row r="111" spans="1:16">
      <c r="A111" s="1" t="s">
        <v>369</v>
      </c>
      <c r="B111" s="1" t="s">
        <v>149</v>
      </c>
      <c r="C111" s="1" t="s">
        <v>2926</v>
      </c>
      <c r="G111" s="2">
        <v>453246.75</v>
      </c>
      <c r="H111" s="2">
        <f t="shared" si="2"/>
        <v>453246.75</v>
      </c>
      <c r="I111"/>
      <c r="K111" s="3" t="s">
        <v>2902</v>
      </c>
      <c r="L111" s="4">
        <f t="shared" si="3"/>
        <v>7358735.66</v>
      </c>
      <c r="M111" s="4">
        <v>638500.49</v>
      </c>
      <c r="O111" s="4">
        <v>6373751.81</v>
      </c>
      <c r="P111" s="4">
        <v>346483.36</v>
      </c>
    </row>
    <row r="112" spans="1:12">
      <c r="A112" s="1" t="s">
        <v>369</v>
      </c>
      <c r="B112" s="1" t="s">
        <v>150</v>
      </c>
      <c r="C112" s="1" t="s">
        <v>2926</v>
      </c>
      <c r="G112" s="2">
        <v>1797568.15</v>
      </c>
      <c r="H112" s="2">
        <f t="shared" si="2"/>
        <v>1797568.15</v>
      </c>
      <c r="I112"/>
      <c r="K112" s="3" t="s">
        <v>2903</v>
      </c>
      <c r="L112" s="4">
        <f t="shared" si="3"/>
        <v>0</v>
      </c>
    </row>
    <row r="113" spans="1:12">
      <c r="A113" s="1" t="s">
        <v>369</v>
      </c>
      <c r="B113" s="1" t="s">
        <v>151</v>
      </c>
      <c r="C113" s="1" t="s">
        <v>2926</v>
      </c>
      <c r="G113" s="2">
        <v>3998185.61</v>
      </c>
      <c r="H113" s="2">
        <f t="shared" si="2"/>
        <v>3998185.61</v>
      </c>
      <c r="I113"/>
      <c r="K113" s="3" t="s">
        <v>2905</v>
      </c>
      <c r="L113" s="4">
        <f t="shared" si="3"/>
        <v>0</v>
      </c>
    </row>
    <row r="114" spans="1:28">
      <c r="A114" s="1" t="s">
        <v>369</v>
      </c>
      <c r="B114" s="1" t="s">
        <v>152</v>
      </c>
      <c r="C114" s="1" t="s">
        <v>2926</v>
      </c>
      <c r="G114" s="2">
        <v>3953220.96</v>
      </c>
      <c r="H114" s="2">
        <f t="shared" si="2"/>
        <v>3953220.96</v>
      </c>
      <c r="I114"/>
      <c r="J114" s="3" t="s">
        <v>155</v>
      </c>
      <c r="L114" s="4">
        <f t="shared" si="3"/>
        <v>6252106464.366</v>
      </c>
      <c r="M114" s="4">
        <v>412359167.9562</v>
      </c>
      <c r="N114" s="4">
        <v>3830749584.7</v>
      </c>
      <c r="O114" s="4">
        <v>1686460982.4998</v>
      </c>
      <c r="P114" s="4">
        <v>322536729.21</v>
      </c>
      <c r="S114" s="4" t="s">
        <v>12</v>
      </c>
      <c r="T114" t="s">
        <v>13</v>
      </c>
      <c r="U114" t="s">
        <v>14</v>
      </c>
      <c r="V114" s="3" t="s">
        <v>20</v>
      </c>
      <c r="X114" s="4"/>
      <c r="Y114" s="4" t="s">
        <v>12</v>
      </c>
      <c r="Z114" s="4" t="s">
        <v>13</v>
      </c>
      <c r="AA114" s="4" t="s">
        <v>14</v>
      </c>
      <c r="AB114" s="4" t="s">
        <v>20</v>
      </c>
    </row>
    <row r="115" spans="1:28">
      <c r="A115" s="1" t="s">
        <v>369</v>
      </c>
      <c r="B115" s="1" t="s">
        <v>153</v>
      </c>
      <c r="C115" s="1" t="s">
        <v>2926</v>
      </c>
      <c r="G115" s="2">
        <v>4923424.64</v>
      </c>
      <c r="H115" s="2">
        <f t="shared" si="2"/>
        <v>4923424.64</v>
      </c>
      <c r="I115"/>
      <c r="K115" s="3" t="s">
        <v>1901</v>
      </c>
      <c r="L115" s="4">
        <f t="shared" si="3"/>
        <v>1032678.79</v>
      </c>
      <c r="M115" s="4">
        <v>1032678.79</v>
      </c>
      <c r="Q115" s="4">
        <f>(L122-L121)+(L119-L120-L117+L118+L127-L128+L116-L115+L125-L126-L123+L124)*1.06</f>
        <v>43945548.5668007</v>
      </c>
      <c r="R115" s="4" t="s">
        <v>2894</v>
      </c>
      <c r="S115" s="4">
        <f>(M122-M121)+(M119-M120-M117+M118+M127-M128)*1.06</f>
        <v>2424736.94060001</v>
      </c>
      <c r="T115" s="4">
        <f>(N122-N121)+(N119-N120-N117+N118+N127-N128)*1.06</f>
        <v>10831078.6816</v>
      </c>
      <c r="U115" s="4">
        <f>(O122-O121)+(O119-O120-O117+O118+O127-O128)*1.06</f>
        <v>24034055.2914</v>
      </c>
      <c r="V115" s="4">
        <f>(P122-P121)+(P119-P120-P117+P118+P127-P128)*1.06</f>
        <v>3555610.45120001</v>
      </c>
      <c r="X115" s="4" t="s">
        <v>2894</v>
      </c>
      <c r="Y115" s="4">
        <f>S115/10000</f>
        <v>242.473694060001</v>
      </c>
      <c r="Z115" s="4">
        <f>T115/10000</f>
        <v>1083.10786816</v>
      </c>
      <c r="AA115" s="4">
        <f>U115/10000</f>
        <v>2403.40552914</v>
      </c>
      <c r="AB115" s="4">
        <f>V115/10000</f>
        <v>355.561045120001</v>
      </c>
    </row>
    <row r="116" spans="1:28">
      <c r="A116" s="1" t="s">
        <v>369</v>
      </c>
      <c r="B116" s="1" t="s">
        <v>154</v>
      </c>
      <c r="C116" s="1" t="s">
        <v>2926</v>
      </c>
      <c r="G116" s="2">
        <v>3844772.22</v>
      </c>
      <c r="H116" s="2">
        <f t="shared" si="2"/>
        <v>3844772.22</v>
      </c>
      <c r="I116"/>
      <c r="K116" s="3" t="s">
        <v>2931</v>
      </c>
      <c r="L116" s="4">
        <f t="shared" si="3"/>
        <v>3737038.89</v>
      </c>
      <c r="M116" s="4">
        <v>2166780.71</v>
      </c>
      <c r="O116" s="4">
        <v>1562852.15</v>
      </c>
      <c r="P116" s="4">
        <v>7406.03</v>
      </c>
      <c r="Q116" s="4">
        <f>Q115-W117</f>
        <v>7.37607479095459e-7</v>
      </c>
      <c r="R116" s="4" t="s">
        <v>583</v>
      </c>
      <c r="S116" s="4">
        <f>(M116-M115)*1.06</f>
        <v>1202148.0352</v>
      </c>
      <c r="T116" s="4">
        <f>(N116-N115)*1.06</f>
        <v>0</v>
      </c>
      <c r="U116" s="4">
        <f>(O116-O115)*1.06</f>
        <v>1656623.279</v>
      </c>
      <c r="V116" s="4">
        <f>(P116-P115)*1.06</f>
        <v>7850.3918</v>
      </c>
      <c r="X116" s="4" t="s">
        <v>583</v>
      </c>
      <c r="Y116" s="4">
        <f>S116/10000</f>
        <v>120.21480352</v>
      </c>
      <c r="Z116" s="4">
        <f>T116/10000</f>
        <v>0</v>
      </c>
      <c r="AA116" s="4">
        <f>U116/10000</f>
        <v>165.6623279</v>
      </c>
      <c r="AB116" s="4">
        <f>V116/10000</f>
        <v>0.78503918</v>
      </c>
    </row>
    <row r="117" spans="1:28">
      <c r="A117" s="1" t="s">
        <v>369</v>
      </c>
      <c r="B117" s="1" t="s">
        <v>155</v>
      </c>
      <c r="C117" s="1" t="s">
        <v>2926</v>
      </c>
      <c r="G117" s="2">
        <v>47816.87</v>
      </c>
      <c r="H117" s="2">
        <f t="shared" si="2"/>
        <v>47816.87</v>
      </c>
      <c r="K117" s="3" t="s">
        <v>2893</v>
      </c>
      <c r="L117" s="4">
        <f t="shared" si="3"/>
        <v>412357358.19</v>
      </c>
      <c r="M117" s="4">
        <v>7445298.65</v>
      </c>
      <c r="N117" s="4">
        <v>8253067.61</v>
      </c>
      <c r="O117" s="4">
        <v>370360020.4</v>
      </c>
      <c r="P117" s="4">
        <v>26298971.53</v>
      </c>
      <c r="R117" s="4" t="s">
        <v>2897</v>
      </c>
      <c r="S117" s="4">
        <f>(M125-M126-M123+M124)*1.06</f>
        <v>50756.2662</v>
      </c>
      <c r="T117" s="4">
        <f>(N125-N126-N123+N124)*1.06</f>
        <v>0</v>
      </c>
      <c r="U117" s="4">
        <f>(O125-O126-O123+O124)*1.06</f>
        <v>0</v>
      </c>
      <c r="V117" s="4">
        <f>(P125-P126-P123+P124)*1.06</f>
        <v>182689.2298</v>
      </c>
      <c r="W117" s="4">
        <f>SUM(S115:V117)</f>
        <v>43945548.5668</v>
      </c>
      <c r="X117" s="4" t="s">
        <v>2897</v>
      </c>
      <c r="Y117" s="4">
        <f>S117/10000</f>
        <v>5.07562662</v>
      </c>
      <c r="Z117" s="4">
        <f>T117/10000</f>
        <v>0</v>
      </c>
      <c r="AA117" s="4">
        <f>U117/10000</f>
        <v>0</v>
      </c>
      <c r="AB117" s="4">
        <f>V117/10000</f>
        <v>18.26892298</v>
      </c>
    </row>
    <row r="118" spans="1:16">
      <c r="A118" s="1" t="s">
        <v>369</v>
      </c>
      <c r="B118" s="1" t="s">
        <v>156</v>
      </c>
      <c r="C118" s="1" t="s">
        <v>2926</v>
      </c>
      <c r="G118" s="2">
        <v>380460.39</v>
      </c>
      <c r="H118" s="2">
        <f t="shared" si="2"/>
        <v>380460.39</v>
      </c>
      <c r="I118"/>
      <c r="K118" s="3" t="s">
        <v>2895</v>
      </c>
      <c r="L118" s="4">
        <f t="shared" si="3"/>
        <v>78097250.49</v>
      </c>
      <c r="M118" s="4">
        <v>50973.46</v>
      </c>
      <c r="N118" s="4">
        <v>779947.23</v>
      </c>
      <c r="O118" s="4">
        <v>77134916.16</v>
      </c>
      <c r="P118" s="4">
        <v>131413.64</v>
      </c>
    </row>
    <row r="119" spans="1:28">
      <c r="A119" s="1" t="s">
        <v>369</v>
      </c>
      <c r="B119" s="1" t="s">
        <v>157</v>
      </c>
      <c r="C119" s="1" t="s">
        <v>2926</v>
      </c>
      <c r="G119" s="2">
        <v>844335.43</v>
      </c>
      <c r="H119" s="2">
        <f t="shared" si="2"/>
        <v>844335.43</v>
      </c>
      <c r="I119"/>
      <c r="K119" s="3" t="s">
        <v>2896</v>
      </c>
      <c r="L119" s="4">
        <f t="shared" si="3"/>
        <v>413303557.62</v>
      </c>
      <c r="M119" s="4">
        <v>7913887.9</v>
      </c>
      <c r="N119" s="4">
        <v>8311475.72</v>
      </c>
      <c r="O119" s="4">
        <v>368622285.57</v>
      </c>
      <c r="P119" s="4">
        <v>28455908.43</v>
      </c>
      <c r="R119" s="4" t="s">
        <v>2932</v>
      </c>
      <c r="S119" s="4">
        <f>(M125-M126)*1.06</f>
        <v>50756.2662</v>
      </c>
      <c r="T119" s="4">
        <f>(N125-N126)*1.06</f>
        <v>0</v>
      </c>
      <c r="U119" s="4">
        <f>(O125-O126)*1.06</f>
        <v>0</v>
      </c>
      <c r="V119" s="4">
        <f>(P125-P126)*1.06</f>
        <v>4483864.8614</v>
      </c>
      <c r="X119" s="4" t="s">
        <v>2932</v>
      </c>
      <c r="Y119" s="4">
        <f>S119/10000</f>
        <v>5.07562662</v>
      </c>
      <c r="Z119" s="4">
        <f>T119/10000</f>
        <v>0</v>
      </c>
      <c r="AA119" s="4">
        <f>U119/10000</f>
        <v>0</v>
      </c>
      <c r="AB119" s="4">
        <f>V119/10000</f>
        <v>448.38648614</v>
      </c>
    </row>
    <row r="120" spans="1:16">
      <c r="A120" s="1" t="s">
        <v>369</v>
      </c>
      <c r="B120" s="1" t="s">
        <v>158</v>
      </c>
      <c r="C120" s="1" t="s">
        <v>2926</v>
      </c>
      <c r="G120" s="2">
        <v>666137.65</v>
      </c>
      <c r="H120" s="2">
        <f t="shared" si="2"/>
        <v>666137.65</v>
      </c>
      <c r="I120"/>
      <c r="K120" s="3" t="s">
        <v>2898</v>
      </c>
      <c r="L120" s="4">
        <f t="shared" si="3"/>
        <v>78122854.76</v>
      </c>
      <c r="M120" s="4">
        <v>50973.46</v>
      </c>
      <c r="N120" s="4">
        <v>798152.33</v>
      </c>
      <c r="O120" s="4">
        <v>77134916.16</v>
      </c>
      <c r="P120" s="4">
        <v>138812.81</v>
      </c>
    </row>
    <row r="121" spans="1:16">
      <c r="A121" s="1" t="s">
        <v>369</v>
      </c>
      <c r="B121" s="1" t="s">
        <v>159</v>
      </c>
      <c r="C121" s="1" t="s">
        <v>2926</v>
      </c>
      <c r="G121" s="2">
        <v>338668.74</v>
      </c>
      <c r="H121" s="2">
        <f t="shared" si="2"/>
        <v>338668.74</v>
      </c>
      <c r="I121"/>
      <c r="K121" s="3" t="s">
        <v>2899</v>
      </c>
      <c r="L121" s="4">
        <f t="shared" si="3"/>
        <v>2609153784.486</v>
      </c>
      <c r="M121" s="4">
        <v>195881370.1262</v>
      </c>
      <c r="N121" s="4">
        <v>1900909248.98</v>
      </c>
      <c r="O121" s="4">
        <v>383446101.6398</v>
      </c>
      <c r="P121" s="4">
        <v>128917063.74</v>
      </c>
    </row>
    <row r="122" spans="1:16">
      <c r="A122" s="1" t="s">
        <v>2906</v>
      </c>
      <c r="B122" s="1" t="s">
        <v>148</v>
      </c>
      <c r="C122" s="1" t="s">
        <v>2892</v>
      </c>
      <c r="D122" s="2">
        <v>3116947.85</v>
      </c>
      <c r="F122" s="2">
        <v>45966295.8</v>
      </c>
      <c r="H122" s="2">
        <f t="shared" si="2"/>
        <v>49083243.65</v>
      </c>
      <c r="I122"/>
      <c r="K122" s="3" t="s">
        <v>2892</v>
      </c>
      <c r="L122" s="4">
        <f t="shared" si="3"/>
        <v>2627972529.26</v>
      </c>
      <c r="M122" s="4">
        <v>197101307.06</v>
      </c>
      <c r="N122" s="4">
        <v>1911697365.48</v>
      </c>
      <c r="O122" s="4">
        <v>389495466.57</v>
      </c>
      <c r="P122" s="4">
        <v>129678390.15</v>
      </c>
    </row>
    <row r="123" spans="1:16">
      <c r="A123" s="1" t="s">
        <v>2906</v>
      </c>
      <c r="B123" s="1" t="s">
        <v>149</v>
      </c>
      <c r="C123" s="1" t="s">
        <v>2892</v>
      </c>
      <c r="D123" s="2">
        <v>2471924.9</v>
      </c>
      <c r="F123" s="2">
        <v>42557470.7</v>
      </c>
      <c r="G123" s="2">
        <v>16</v>
      </c>
      <c r="H123" s="2">
        <f t="shared" si="2"/>
        <v>45029411.6</v>
      </c>
      <c r="I123"/>
      <c r="K123" s="3" t="s">
        <v>2926</v>
      </c>
      <c r="L123" s="4">
        <f t="shared" si="3"/>
        <v>4095031.41</v>
      </c>
      <c r="P123" s="4">
        <v>4095031.41</v>
      </c>
    </row>
    <row r="124" spans="1:16">
      <c r="A124" s="1" t="s">
        <v>2906</v>
      </c>
      <c r="B124" s="1" t="s">
        <v>150</v>
      </c>
      <c r="C124" s="1" t="s">
        <v>2892</v>
      </c>
      <c r="D124" s="2">
        <v>1997341.82</v>
      </c>
      <c r="F124" s="2">
        <v>52949704.21</v>
      </c>
      <c r="G124" s="2">
        <v>88</v>
      </c>
      <c r="H124" s="2">
        <f t="shared" si="2"/>
        <v>54947134.03</v>
      </c>
      <c r="I124"/>
      <c r="K124" s="3" t="s">
        <v>2933</v>
      </c>
      <c r="L124" s="4">
        <f t="shared" si="3"/>
        <v>37318.55</v>
      </c>
      <c r="P124" s="4">
        <v>37318.55</v>
      </c>
    </row>
    <row r="125" spans="1:16">
      <c r="A125" s="1" t="s">
        <v>2906</v>
      </c>
      <c r="B125" s="1" t="s">
        <v>151</v>
      </c>
      <c r="C125" s="1" t="s">
        <v>2892</v>
      </c>
      <c r="D125" s="2">
        <v>1824095.55</v>
      </c>
      <c r="F125" s="2">
        <v>59310418.39</v>
      </c>
      <c r="H125" s="2">
        <f t="shared" si="2"/>
        <v>61134513.94</v>
      </c>
      <c r="I125"/>
      <c r="K125" s="3" t="s">
        <v>2904</v>
      </c>
      <c r="L125" s="4">
        <f t="shared" si="3"/>
        <v>4307830.68</v>
      </c>
      <c r="M125" s="4">
        <v>47883.27</v>
      </c>
      <c r="P125" s="4">
        <v>4259947.41</v>
      </c>
    </row>
    <row r="126" spans="1:16">
      <c r="A126" s="1" t="s">
        <v>2906</v>
      </c>
      <c r="B126" s="1" t="s">
        <v>152</v>
      </c>
      <c r="C126" s="1" t="s">
        <v>2892</v>
      </c>
      <c r="D126" s="2">
        <v>2555797.05</v>
      </c>
      <c r="E126" s="2">
        <v>464.93</v>
      </c>
      <c r="F126" s="2">
        <v>41229349.85</v>
      </c>
      <c r="G126" s="2">
        <v>0</v>
      </c>
      <c r="H126" s="2">
        <f t="shared" si="2"/>
        <v>43785611.83</v>
      </c>
      <c r="I126"/>
      <c r="K126" s="3" t="s">
        <v>2907</v>
      </c>
      <c r="L126" s="4">
        <f t="shared" si="3"/>
        <v>29886.22</v>
      </c>
      <c r="P126" s="4">
        <v>29886.22</v>
      </c>
    </row>
    <row r="127" spans="1:16">
      <c r="A127" s="1" t="s">
        <v>2906</v>
      </c>
      <c r="B127" s="1" t="s">
        <v>153</v>
      </c>
      <c r="C127" s="1" t="s">
        <v>2892</v>
      </c>
      <c r="D127" s="2">
        <v>3342900.99</v>
      </c>
      <c r="E127" s="2">
        <v>400.29</v>
      </c>
      <c r="F127" s="2">
        <v>9921893.67999999</v>
      </c>
      <c r="G127" s="2">
        <v>3614.77</v>
      </c>
      <c r="H127" s="2">
        <f t="shared" si="2"/>
        <v>13268809.73</v>
      </c>
      <c r="I127"/>
      <c r="K127" s="3" t="s">
        <v>2902</v>
      </c>
      <c r="L127" s="4">
        <f t="shared" si="3"/>
        <v>19859345.02</v>
      </c>
      <c r="M127" s="4">
        <v>668014.53</v>
      </c>
      <c r="N127" s="4">
        <v>327.35</v>
      </c>
      <c r="O127" s="4">
        <v>18704423.85</v>
      </c>
      <c r="P127" s="4">
        <v>486579.29</v>
      </c>
    </row>
    <row r="128" spans="1:12">
      <c r="A128" s="1" t="s">
        <v>2906</v>
      </c>
      <c r="B128" s="1" t="s">
        <v>154</v>
      </c>
      <c r="C128" s="1" t="s">
        <v>2892</v>
      </c>
      <c r="D128" s="2">
        <v>3655181.8</v>
      </c>
      <c r="F128" s="2">
        <v>13450683.2</v>
      </c>
      <c r="G128" s="2">
        <v>192</v>
      </c>
      <c r="H128" s="2">
        <f t="shared" si="2"/>
        <v>17106057</v>
      </c>
      <c r="I128"/>
      <c r="K128" s="3" t="s">
        <v>2903</v>
      </c>
      <c r="L128" s="4">
        <f t="shared" si="3"/>
        <v>0</v>
      </c>
    </row>
    <row r="129" spans="1:12">
      <c r="A129" s="1" t="s">
        <v>2906</v>
      </c>
      <c r="B129" s="1" t="s">
        <v>155</v>
      </c>
      <c r="C129" s="1" t="s">
        <v>2892</v>
      </c>
      <c r="D129" s="2">
        <v>3661345.85</v>
      </c>
      <c r="F129" s="2">
        <v>12632578.33</v>
      </c>
      <c r="G129" s="2">
        <v>4934.6</v>
      </c>
      <c r="H129" s="2">
        <f t="shared" si="2"/>
        <v>16298858.78</v>
      </c>
      <c r="K129" s="3" t="s">
        <v>2905</v>
      </c>
      <c r="L129" s="4">
        <f t="shared" si="3"/>
        <v>0</v>
      </c>
    </row>
    <row r="130" spans="1:28">
      <c r="A130" s="1" t="s">
        <v>2906</v>
      </c>
      <c r="B130" s="1" t="s">
        <v>156</v>
      </c>
      <c r="C130" s="1" t="s">
        <v>2892</v>
      </c>
      <c r="D130" s="2">
        <v>3923156.2</v>
      </c>
      <c r="F130" s="2">
        <v>11161388.98</v>
      </c>
      <c r="G130" s="2">
        <v>5578.76</v>
      </c>
      <c r="H130" s="2">
        <f t="shared" ref="H130:H193" si="4">SUM(D130:G130)</f>
        <v>15090123.94</v>
      </c>
      <c r="I130"/>
      <c r="J130" s="3" t="s">
        <v>156</v>
      </c>
      <c r="L130" s="4">
        <f t="shared" si="3"/>
        <v>4401343683.8094</v>
      </c>
      <c r="M130" s="4">
        <v>246292265.2176</v>
      </c>
      <c r="N130" s="4">
        <v>1832336429.9346</v>
      </c>
      <c r="O130" s="4">
        <v>1885273813.8476</v>
      </c>
      <c r="P130" s="4">
        <v>437441174.8096</v>
      </c>
      <c r="S130" s="4" t="s">
        <v>12</v>
      </c>
      <c r="T130" t="s">
        <v>13</v>
      </c>
      <c r="U130" t="s">
        <v>14</v>
      </c>
      <c r="V130" s="3" t="s">
        <v>20</v>
      </c>
      <c r="X130" s="4"/>
      <c r="Y130" s="4" t="s">
        <v>12</v>
      </c>
      <c r="Z130" s="4" t="s">
        <v>13</v>
      </c>
      <c r="AA130" s="4" t="s">
        <v>14</v>
      </c>
      <c r="AB130" s="4" t="s">
        <v>20</v>
      </c>
    </row>
    <row r="131" spans="1:28">
      <c r="A131" s="1" t="s">
        <v>2906</v>
      </c>
      <c r="B131" s="1" t="s">
        <v>157</v>
      </c>
      <c r="C131" s="1" t="s">
        <v>2892</v>
      </c>
      <c r="D131" s="2">
        <v>3522165.29</v>
      </c>
      <c r="F131" s="2">
        <v>10653925.14</v>
      </c>
      <c r="G131" s="2">
        <v>7626.54</v>
      </c>
      <c r="H131" s="2">
        <f t="shared" si="4"/>
        <v>14183716.97</v>
      </c>
      <c r="I131"/>
      <c r="K131" s="3" t="s">
        <v>1901</v>
      </c>
      <c r="L131" s="4">
        <f t="shared" ref="L131:L194" si="5">SUM(M131:P131)</f>
        <v>890542.74</v>
      </c>
      <c r="M131" s="4">
        <v>890542.74</v>
      </c>
      <c r="Q131" s="4">
        <f>(L138-L137)+(L135-L136-L133+L134+L143-L144+L132-L131+L141-L142-L139+L140)*1.06</f>
        <v>33339496.418999</v>
      </c>
      <c r="R131" s="4" t="s">
        <v>2894</v>
      </c>
      <c r="S131" s="4">
        <f>(M138-M137)+(M135-M136-M133+M134+M143-M144)*1.06</f>
        <v>4873245.47279999</v>
      </c>
      <c r="T131" s="4">
        <f>(N138-N137)+(N135-N136-N133+N134+N143-N144)*1.06</f>
        <v>5506236.74339994</v>
      </c>
      <c r="U131" s="4">
        <f>(O138-O137)+(O135-O136-O133+O134+O143-O144)*1.06</f>
        <v>15122164.968799</v>
      </c>
      <c r="V131" s="4">
        <f>(P138-P137)+(P135-P136-P133+P134+P143-P144)*1.06</f>
        <v>2156979.75419999</v>
      </c>
      <c r="X131" s="4" t="s">
        <v>2894</v>
      </c>
      <c r="Y131" s="4">
        <f>S131/10000</f>
        <v>487.324547279999</v>
      </c>
      <c r="Z131" s="4">
        <f>T131/10000</f>
        <v>550.623674339994</v>
      </c>
      <c r="AA131" s="4">
        <f>U131/10000</f>
        <v>1512.2164968799</v>
      </c>
      <c r="AB131" s="4">
        <f>V131/10000</f>
        <v>215.697975419999</v>
      </c>
    </row>
    <row r="132" spans="1:28">
      <c r="A132" s="1" t="s">
        <v>2906</v>
      </c>
      <c r="B132" s="1" t="s">
        <v>158</v>
      </c>
      <c r="C132" s="1" t="s">
        <v>2892</v>
      </c>
      <c r="D132" s="2">
        <v>4290444.85</v>
      </c>
      <c r="F132" s="2">
        <v>10542637.55</v>
      </c>
      <c r="G132" s="2">
        <v>56</v>
      </c>
      <c r="H132" s="2">
        <f t="shared" si="4"/>
        <v>14833138.4</v>
      </c>
      <c r="I132"/>
      <c r="K132" s="3" t="s">
        <v>2931</v>
      </c>
      <c r="L132" s="4">
        <f t="shared" si="5"/>
        <v>6273450.14</v>
      </c>
      <c r="M132" s="4">
        <v>3452943.58</v>
      </c>
      <c r="O132" s="4">
        <v>2738413.82</v>
      </c>
      <c r="P132" s="4">
        <v>82092.74</v>
      </c>
      <c r="Q132" s="4">
        <f>Q131-W133</f>
        <v>2.98023223876953e-8</v>
      </c>
      <c r="R132" s="4" t="s">
        <v>583</v>
      </c>
      <c r="S132" s="4">
        <f>(M132-M131)*1.06</f>
        <v>2716144.8904</v>
      </c>
      <c r="T132" s="4">
        <f>(N132-N131)*1.06</f>
        <v>0</v>
      </c>
      <c r="U132" s="4">
        <f>(O132-O131)*1.06</f>
        <v>2902718.6492</v>
      </c>
      <c r="V132" s="4">
        <f>(P132-P131)*1.06</f>
        <v>87018.3044</v>
      </c>
      <c r="X132" s="4" t="s">
        <v>583</v>
      </c>
      <c r="Y132" s="4">
        <f>S132/10000</f>
        <v>271.61448904</v>
      </c>
      <c r="Z132" s="4">
        <f>T132/10000</f>
        <v>0</v>
      </c>
      <c r="AA132" s="4">
        <f>U132/10000</f>
        <v>290.27186492</v>
      </c>
      <c r="AB132" s="4">
        <f>V132/10000</f>
        <v>8.70183044</v>
      </c>
    </row>
    <row r="133" spans="1:28">
      <c r="A133" s="1" t="s">
        <v>2906</v>
      </c>
      <c r="B133" s="1" t="s">
        <v>159</v>
      </c>
      <c r="C133" s="1" t="s">
        <v>2892</v>
      </c>
      <c r="D133" s="2">
        <v>5338929</v>
      </c>
      <c r="F133" s="2">
        <v>9448873.4</v>
      </c>
      <c r="G133" s="2">
        <v>100.5</v>
      </c>
      <c r="H133" s="2">
        <f t="shared" si="4"/>
        <v>14787902.9</v>
      </c>
      <c r="I133"/>
      <c r="K133" s="3" t="s">
        <v>2893</v>
      </c>
      <c r="L133" s="4">
        <f t="shared" si="5"/>
        <v>552900227.11</v>
      </c>
      <c r="M133" s="4">
        <v>7628702.71</v>
      </c>
      <c r="N133" s="4">
        <v>9651859.33</v>
      </c>
      <c r="O133" s="4">
        <v>501994101.33</v>
      </c>
      <c r="P133" s="4">
        <v>33625563.74</v>
      </c>
      <c r="R133" s="4" t="s">
        <v>2897</v>
      </c>
      <c r="S133" s="4">
        <f>(M141-M142-M139+M140)*1.06</f>
        <v>-49999.9986</v>
      </c>
      <c r="T133" s="4">
        <f>(N141-N142-N139+N140)*1.06</f>
        <v>0</v>
      </c>
      <c r="U133" s="4">
        <f>(O141-O142-O139+O140)*1.06</f>
        <v>0</v>
      </c>
      <c r="V133" s="4">
        <f>(P141-P142-P139+P140)*1.06</f>
        <v>24987.6343999996</v>
      </c>
      <c r="W133" s="4">
        <f>SUM(S131:V133)</f>
        <v>33339496.418999</v>
      </c>
      <c r="X133" s="4" t="s">
        <v>2897</v>
      </c>
      <c r="Y133" s="4">
        <f>S133/10000</f>
        <v>-4.99999986</v>
      </c>
      <c r="Z133" s="4">
        <f>T133/10000</f>
        <v>0</v>
      </c>
      <c r="AA133" s="4">
        <f>U133/10000</f>
        <v>0</v>
      </c>
      <c r="AB133" s="4">
        <f>V133/10000</f>
        <v>2.49876343999996</v>
      </c>
    </row>
    <row r="134" spans="1:16">
      <c r="A134" s="1" t="s">
        <v>2906</v>
      </c>
      <c r="B134" s="1" t="s">
        <v>148</v>
      </c>
      <c r="C134" s="1" t="s">
        <v>2899</v>
      </c>
      <c r="D134" s="2">
        <v>2752337.98</v>
      </c>
      <c r="F134" s="2">
        <v>44812906.8</v>
      </c>
      <c r="H134" s="2">
        <f t="shared" si="4"/>
        <v>47565244.78</v>
      </c>
      <c r="I134"/>
      <c r="K134" s="3" t="s">
        <v>2895</v>
      </c>
      <c r="L134" s="4">
        <f t="shared" si="5"/>
        <v>90386521.83</v>
      </c>
      <c r="N134" s="4">
        <v>525833.16</v>
      </c>
      <c r="O134" s="4">
        <v>89833253.53</v>
      </c>
      <c r="P134" s="4">
        <v>27435.14</v>
      </c>
    </row>
    <row r="135" spans="1:28">
      <c r="A135" s="1" t="s">
        <v>2906</v>
      </c>
      <c r="B135" s="1" t="s">
        <v>149</v>
      </c>
      <c r="C135" s="1" t="s">
        <v>2899</v>
      </c>
      <c r="D135" s="2">
        <v>2119005.26</v>
      </c>
      <c r="F135" s="2">
        <v>41565869.45</v>
      </c>
      <c r="G135" s="2">
        <v>14</v>
      </c>
      <c r="H135" s="2">
        <f t="shared" si="4"/>
        <v>43684888.71</v>
      </c>
      <c r="I135"/>
      <c r="K135" s="3" t="s">
        <v>2896</v>
      </c>
      <c r="L135" s="4">
        <f t="shared" si="5"/>
        <v>553839251.61</v>
      </c>
      <c r="M135" s="4">
        <v>8351649.72</v>
      </c>
      <c r="N135" s="4">
        <v>9712274.71</v>
      </c>
      <c r="O135" s="4">
        <v>501141454.75</v>
      </c>
      <c r="P135" s="4">
        <v>34633872.43</v>
      </c>
      <c r="R135" s="4" t="s">
        <v>2932</v>
      </c>
      <c r="S135" s="4">
        <f>(M141-M142)*1.06</f>
        <v>0</v>
      </c>
      <c r="T135" s="4">
        <f>(N141-N142)*1.06</f>
        <v>0</v>
      </c>
      <c r="U135" s="4">
        <f>(O141-O142)*1.06</f>
        <v>0</v>
      </c>
      <c r="V135" s="4">
        <f>(P141-P142)*1.06</f>
        <v>8507775.5934</v>
      </c>
      <c r="X135" s="4" t="s">
        <v>2932</v>
      </c>
      <c r="Y135" s="4">
        <f>S135/10000</f>
        <v>0</v>
      </c>
      <c r="Z135" s="4">
        <f>T135/10000</f>
        <v>0</v>
      </c>
      <c r="AA135" s="4">
        <f>U135/10000</f>
        <v>0</v>
      </c>
      <c r="AB135" s="4">
        <f>V135/10000</f>
        <v>850.77755934</v>
      </c>
    </row>
    <row r="136" spans="1:16">
      <c r="A136" s="1" t="s">
        <v>2906</v>
      </c>
      <c r="B136" s="1" t="s">
        <v>150</v>
      </c>
      <c r="C136" s="1" t="s">
        <v>2899</v>
      </c>
      <c r="D136" s="2">
        <v>1655044.6</v>
      </c>
      <c r="F136" s="2">
        <v>51876584.17</v>
      </c>
      <c r="G136" s="2">
        <v>77</v>
      </c>
      <c r="H136" s="2">
        <f t="shared" si="4"/>
        <v>53531705.77</v>
      </c>
      <c r="I136"/>
      <c r="K136" s="3" t="s">
        <v>2898</v>
      </c>
      <c r="L136" s="4">
        <f t="shared" si="5"/>
        <v>90457620.83</v>
      </c>
      <c r="N136" s="4">
        <v>596932.16</v>
      </c>
      <c r="O136" s="4">
        <v>89833253.53</v>
      </c>
      <c r="P136" s="4">
        <v>27435.14</v>
      </c>
    </row>
    <row r="137" spans="1:16">
      <c r="A137" s="1" t="s">
        <v>2906</v>
      </c>
      <c r="B137" s="1" t="s">
        <v>151</v>
      </c>
      <c r="C137" s="1" t="s">
        <v>2899</v>
      </c>
      <c r="D137" s="2">
        <v>1550458.95</v>
      </c>
      <c r="F137" s="2">
        <v>58063292.4</v>
      </c>
      <c r="H137" s="2">
        <f t="shared" si="4"/>
        <v>59613751.35</v>
      </c>
      <c r="I137"/>
      <c r="K137" s="3" t="s">
        <v>2899</v>
      </c>
      <c r="L137" s="4">
        <f t="shared" si="5"/>
        <v>1531574954.3994</v>
      </c>
      <c r="M137" s="4">
        <v>110985858.4476</v>
      </c>
      <c r="N137" s="4">
        <v>903166130.6346</v>
      </c>
      <c r="O137" s="4">
        <v>342137386.6276</v>
      </c>
      <c r="P137" s="4">
        <v>175285578.6896</v>
      </c>
    </row>
    <row r="138" spans="1:16">
      <c r="A138" s="1" t="s">
        <v>2906</v>
      </c>
      <c r="B138" s="1" t="s">
        <v>152</v>
      </c>
      <c r="C138" s="1" t="s">
        <v>2899</v>
      </c>
      <c r="D138" s="2">
        <v>2271924.8</v>
      </c>
      <c r="E138" s="2">
        <v>398.9</v>
      </c>
      <c r="F138" s="2">
        <v>40328276.36</v>
      </c>
      <c r="G138" s="2">
        <v>0</v>
      </c>
      <c r="H138" s="2">
        <f t="shared" si="4"/>
        <v>42600600.06</v>
      </c>
      <c r="I138"/>
      <c r="K138" s="3" t="s">
        <v>2892</v>
      </c>
      <c r="L138" s="4">
        <f t="shared" si="5"/>
        <v>1544965364.09</v>
      </c>
      <c r="M138" s="4">
        <v>112312366.88</v>
      </c>
      <c r="N138" s="4">
        <v>908678532.02</v>
      </c>
      <c r="O138" s="4">
        <v>348139171.739999</v>
      </c>
      <c r="P138" s="4">
        <v>175835293.45</v>
      </c>
    </row>
    <row r="139" spans="1:16">
      <c r="A139" s="1" t="s">
        <v>2906</v>
      </c>
      <c r="B139" s="1" t="s">
        <v>153</v>
      </c>
      <c r="C139" s="1" t="s">
        <v>2899</v>
      </c>
      <c r="D139" s="2">
        <v>3018493.59</v>
      </c>
      <c r="E139" s="2">
        <v>400.29</v>
      </c>
      <c r="F139" s="2">
        <v>9623508.83</v>
      </c>
      <c r="G139" s="2">
        <v>2415</v>
      </c>
      <c r="H139" s="2">
        <f t="shared" si="4"/>
        <v>12644817.71</v>
      </c>
      <c r="I139"/>
      <c r="K139" s="3" t="s">
        <v>2926</v>
      </c>
      <c r="L139" s="4">
        <f t="shared" si="5"/>
        <v>8374595.6</v>
      </c>
      <c r="M139" s="4">
        <v>47169.81</v>
      </c>
      <c r="P139" s="4">
        <v>8327425.79</v>
      </c>
    </row>
    <row r="140" spans="1:16">
      <c r="A140" s="1" t="s">
        <v>2906</v>
      </c>
      <c r="B140" s="1" t="s">
        <v>154</v>
      </c>
      <c r="C140" s="1" t="s">
        <v>2899</v>
      </c>
      <c r="D140" s="2">
        <v>3185434.1</v>
      </c>
      <c r="F140" s="2">
        <v>13144509.93</v>
      </c>
      <c r="G140" s="2">
        <v>168</v>
      </c>
      <c r="H140" s="2">
        <f t="shared" si="4"/>
        <v>16330112.03</v>
      </c>
      <c r="I140"/>
      <c r="K140" s="3" t="s">
        <v>2933</v>
      </c>
      <c r="L140" s="4">
        <f t="shared" si="5"/>
        <v>324795.64</v>
      </c>
      <c r="P140" s="4">
        <v>324795.64</v>
      </c>
    </row>
    <row r="141" spans="1:16">
      <c r="A141" s="1" t="s">
        <v>2906</v>
      </c>
      <c r="B141" s="1" t="s">
        <v>155</v>
      </c>
      <c r="C141" s="1" t="s">
        <v>2899</v>
      </c>
      <c r="D141" s="2">
        <v>3194914.65</v>
      </c>
      <c r="F141" s="2">
        <v>12254354.95</v>
      </c>
      <c r="G141" s="2">
        <v>4589.5</v>
      </c>
      <c r="H141" s="2">
        <f t="shared" si="4"/>
        <v>15453859.1</v>
      </c>
      <c r="K141" s="3" t="s">
        <v>2904</v>
      </c>
      <c r="L141" s="4">
        <f t="shared" si="5"/>
        <v>8394953.2</v>
      </c>
      <c r="P141" s="4">
        <v>8394953.2</v>
      </c>
    </row>
    <row r="142" spans="1:16">
      <c r="A142" s="1" t="s">
        <v>2906</v>
      </c>
      <c r="B142" s="1" t="s">
        <v>156</v>
      </c>
      <c r="C142" s="1" t="s">
        <v>2899</v>
      </c>
      <c r="D142" s="2">
        <v>3409593.35</v>
      </c>
      <c r="F142" s="2">
        <v>10862597.5372</v>
      </c>
      <c r="G142" s="2">
        <v>5196.65</v>
      </c>
      <c r="H142" s="2">
        <f t="shared" si="4"/>
        <v>14277387.5372</v>
      </c>
      <c r="I142"/>
      <c r="K142" s="3" t="s">
        <v>2907</v>
      </c>
      <c r="L142" s="4">
        <f t="shared" si="5"/>
        <v>368749.81</v>
      </c>
      <c r="P142" s="4">
        <v>368749.81</v>
      </c>
    </row>
    <row r="143" spans="1:16">
      <c r="A143" s="1" t="s">
        <v>2906</v>
      </c>
      <c r="B143" s="1" t="s">
        <v>157</v>
      </c>
      <c r="C143" s="1" t="s">
        <v>2899</v>
      </c>
      <c r="D143" s="2">
        <v>3114304.69</v>
      </c>
      <c r="F143" s="2">
        <v>10396723.8166</v>
      </c>
      <c r="G143" s="2">
        <v>6501.25</v>
      </c>
      <c r="H143" s="2">
        <f t="shared" si="4"/>
        <v>13517529.7566</v>
      </c>
      <c r="I143"/>
      <c r="K143" s="3" t="s">
        <v>2902</v>
      </c>
      <c r="L143" s="4">
        <f t="shared" si="5"/>
        <v>12592656.81</v>
      </c>
      <c r="M143" s="4">
        <v>2623031.33</v>
      </c>
      <c r="N143" s="4">
        <v>4867.92</v>
      </c>
      <c r="O143" s="4">
        <v>9456778.52</v>
      </c>
      <c r="P143" s="4">
        <v>507979.04</v>
      </c>
    </row>
    <row r="144" spans="1:12">
      <c r="A144" s="1" t="s">
        <v>2906</v>
      </c>
      <c r="B144" s="1" t="s">
        <v>158</v>
      </c>
      <c r="C144" s="1" t="s">
        <v>2899</v>
      </c>
      <c r="D144" s="2">
        <v>3934836.7</v>
      </c>
      <c r="F144" s="2">
        <v>10271740.75</v>
      </c>
      <c r="G144" s="2">
        <v>49</v>
      </c>
      <c r="H144" s="2">
        <f t="shared" si="4"/>
        <v>14206626.45</v>
      </c>
      <c r="I144"/>
      <c r="K144" s="3" t="s">
        <v>2903</v>
      </c>
      <c r="L144" s="4">
        <f t="shared" si="5"/>
        <v>0</v>
      </c>
    </row>
    <row r="145" spans="1:12">
      <c r="A145" s="1" t="s">
        <v>2906</v>
      </c>
      <c r="B145" s="1" t="s">
        <v>159</v>
      </c>
      <c r="C145" s="1" t="s">
        <v>2899</v>
      </c>
      <c r="D145" s="2">
        <v>5109167.85</v>
      </c>
      <c r="F145" s="2">
        <v>9376078.14</v>
      </c>
      <c r="G145" s="2">
        <v>100.5</v>
      </c>
      <c r="H145" s="2">
        <f t="shared" si="4"/>
        <v>14485346.49</v>
      </c>
      <c r="I145"/>
      <c r="K145" s="3" t="s">
        <v>2905</v>
      </c>
      <c r="L145" s="4">
        <f t="shared" si="5"/>
        <v>0</v>
      </c>
    </row>
    <row r="146" spans="1:28">
      <c r="A146" s="1" t="s">
        <v>2906</v>
      </c>
      <c r="B146" s="1" t="s">
        <v>148</v>
      </c>
      <c r="C146" s="1" t="s">
        <v>2896</v>
      </c>
      <c r="H146" s="2">
        <f t="shared" si="4"/>
        <v>0</v>
      </c>
      <c r="I146"/>
      <c r="J146" s="3" t="s">
        <v>157</v>
      </c>
      <c r="L146" s="4">
        <f t="shared" si="5"/>
        <v>3637897517.744</v>
      </c>
      <c r="M146" s="4">
        <v>260577741.0378</v>
      </c>
      <c r="N146" s="4">
        <v>1765482809.18</v>
      </c>
      <c r="O146" s="4">
        <v>1182025406.5362</v>
      </c>
      <c r="P146" s="4">
        <v>429811560.99</v>
      </c>
      <c r="S146" s="4" t="s">
        <v>12</v>
      </c>
      <c r="T146" t="s">
        <v>13</v>
      </c>
      <c r="U146" t="s">
        <v>14</v>
      </c>
      <c r="V146" s="3" t="s">
        <v>20</v>
      </c>
      <c r="X146" s="4"/>
      <c r="Y146" s="4" t="s">
        <v>12</v>
      </c>
      <c r="Z146" s="4" t="s">
        <v>13</v>
      </c>
      <c r="AA146" s="4" t="s">
        <v>14</v>
      </c>
      <c r="AB146" s="4" t="s">
        <v>20</v>
      </c>
    </row>
    <row r="147" spans="1:28">
      <c r="A147" s="1" t="s">
        <v>2906</v>
      </c>
      <c r="B147" s="1" t="s">
        <v>149</v>
      </c>
      <c r="C147" s="1" t="s">
        <v>2896</v>
      </c>
      <c r="F147" s="2">
        <v>410.38</v>
      </c>
      <c r="H147" s="2">
        <f t="shared" si="4"/>
        <v>410.38</v>
      </c>
      <c r="I147"/>
      <c r="K147" s="3" t="s">
        <v>1901</v>
      </c>
      <c r="L147" s="4">
        <f t="shared" si="5"/>
        <v>1562651.17</v>
      </c>
      <c r="M147" s="4">
        <v>1560041.34</v>
      </c>
      <c r="O147" s="4">
        <v>2609.83</v>
      </c>
      <c r="Q147" s="4">
        <f>(L154-L153)+(L151-L152-L149+L150+L159-L160+L148-L147+L157-L158-L155+L156)*1.06</f>
        <v>21263443.9710042</v>
      </c>
      <c r="R147" s="4" t="s">
        <v>2894</v>
      </c>
      <c r="S147" s="4">
        <f>(M154-M153)+(M151-M152-M149+M150+M159-M160)*1.06</f>
        <v>2236099.79180001</v>
      </c>
      <c r="T147" s="4">
        <f>(N154-N153)+(N151-N152-N149+N150+N159-N160)*1.06</f>
        <v>5337876.05780393</v>
      </c>
      <c r="U147" s="4">
        <f>(O154-O153)+(O151-O152-O149+O150+O159-O160)*1.06</f>
        <v>8420375.53900002</v>
      </c>
      <c r="V147" s="4">
        <f>(P154-P153)+(P151-P152-P149+P150+P159-P160)*1.06</f>
        <v>3336315.1354</v>
      </c>
      <c r="X147" s="4" t="s">
        <v>2894</v>
      </c>
      <c r="Y147" s="4">
        <f>S147/10000</f>
        <v>223.609979180001</v>
      </c>
      <c r="Z147" s="4">
        <f>T147/10000</f>
        <v>533.787605780393</v>
      </c>
      <c r="AA147" s="4">
        <f>U147/10000</f>
        <v>842.037553900002</v>
      </c>
      <c r="AB147" s="4">
        <f>V147/10000</f>
        <v>333.63151354</v>
      </c>
    </row>
    <row r="148" spans="1:28">
      <c r="A148" s="1" t="s">
        <v>2906</v>
      </c>
      <c r="B148" s="1" t="s">
        <v>150</v>
      </c>
      <c r="C148" s="1" t="s">
        <v>2896</v>
      </c>
      <c r="F148" s="2">
        <v>268.85</v>
      </c>
      <c r="H148" s="2">
        <f t="shared" si="4"/>
        <v>268.85</v>
      </c>
      <c r="I148"/>
      <c r="K148" s="3" t="s">
        <v>2931</v>
      </c>
      <c r="L148" s="4">
        <f t="shared" si="5"/>
        <v>3910188.77</v>
      </c>
      <c r="M148" s="4">
        <v>2506643.91</v>
      </c>
      <c r="O148" s="4">
        <v>1361419.22</v>
      </c>
      <c r="P148" s="4">
        <v>42125.64</v>
      </c>
      <c r="Q148" s="4">
        <f>Q147-W149</f>
        <v>2.75671482086182e-7</v>
      </c>
      <c r="R148" s="4" t="s">
        <v>583</v>
      </c>
      <c r="S148" s="4">
        <f>(M148-M147)*1.06</f>
        <v>1003398.7242</v>
      </c>
      <c r="T148" s="4">
        <f>(N148-N147)*1.06</f>
        <v>0</v>
      </c>
      <c r="U148" s="4">
        <f>(O148-O147)*1.06</f>
        <v>1440337.9534</v>
      </c>
      <c r="V148" s="4">
        <f>(P148-P147)*1.06</f>
        <v>44653.1784</v>
      </c>
      <c r="X148" s="4" t="s">
        <v>583</v>
      </c>
      <c r="Y148" s="4">
        <f>S148/10000</f>
        <v>100.33987242</v>
      </c>
      <c r="Z148" s="4">
        <f>T148/10000</f>
        <v>0</v>
      </c>
      <c r="AA148" s="4">
        <f>U148/10000</f>
        <v>144.03379534</v>
      </c>
      <c r="AB148" s="4">
        <f>V148/10000</f>
        <v>4.46531784</v>
      </c>
    </row>
    <row r="149" spans="1:28">
      <c r="A149" s="1" t="s">
        <v>2906</v>
      </c>
      <c r="B149" s="1" t="s">
        <v>151</v>
      </c>
      <c r="C149" s="1" t="s">
        <v>2896</v>
      </c>
      <c r="D149" s="2">
        <v>-101.89</v>
      </c>
      <c r="H149" s="2">
        <f t="shared" si="4"/>
        <v>-101.89</v>
      </c>
      <c r="I149"/>
      <c r="K149" s="3" t="s">
        <v>2893</v>
      </c>
      <c r="L149" s="4">
        <f t="shared" si="5"/>
        <v>308703822.8</v>
      </c>
      <c r="M149" s="4">
        <v>7501722.92</v>
      </c>
      <c r="N149" s="4">
        <v>9085213.52</v>
      </c>
      <c r="O149" s="4">
        <v>253321511.64</v>
      </c>
      <c r="P149" s="4">
        <v>38795374.72</v>
      </c>
      <c r="R149" s="4" t="s">
        <v>2897</v>
      </c>
      <c r="S149" s="4">
        <f>(M157-M158-M155+M156)*1.06</f>
        <v>0</v>
      </c>
      <c r="T149" s="4">
        <f>(N157-N158-N155+N156)*1.06</f>
        <v>0</v>
      </c>
      <c r="U149" s="4">
        <f>(O157-O158-O155+O156)*1.06</f>
        <v>5700.0016</v>
      </c>
      <c r="V149" s="4">
        <f>(P157-P158-P155+P156)*1.06</f>
        <v>-561312.4106</v>
      </c>
      <c r="W149" s="4">
        <f>SUM(S147:V149)</f>
        <v>21263443.971004</v>
      </c>
      <c r="X149" s="4" t="s">
        <v>2897</v>
      </c>
      <c r="Y149" s="4">
        <f>S149/10000</f>
        <v>0</v>
      </c>
      <c r="Z149" s="4">
        <f>T149/10000</f>
        <v>0</v>
      </c>
      <c r="AA149" s="4">
        <f>U149/10000</f>
        <v>0.57000016</v>
      </c>
      <c r="AB149" s="4">
        <f>V149/10000</f>
        <v>-56.13124106</v>
      </c>
    </row>
    <row r="150" spans="1:16">
      <c r="A150" s="1" t="s">
        <v>2906</v>
      </c>
      <c r="B150" s="1" t="s">
        <v>152</v>
      </c>
      <c r="C150" s="1" t="s">
        <v>2896</v>
      </c>
      <c r="H150" s="2">
        <f t="shared" si="4"/>
        <v>0</v>
      </c>
      <c r="I150"/>
      <c r="K150" s="3" t="s">
        <v>2895</v>
      </c>
      <c r="L150" s="4">
        <f t="shared" si="5"/>
        <v>35778676.7</v>
      </c>
      <c r="N150" s="4">
        <v>641612</v>
      </c>
      <c r="O150" s="4">
        <v>35104674.9</v>
      </c>
      <c r="P150" s="4">
        <v>32389.8</v>
      </c>
    </row>
    <row r="151" spans="1:28">
      <c r="A151" s="1" t="s">
        <v>2906</v>
      </c>
      <c r="B151" s="1" t="s">
        <v>153</v>
      </c>
      <c r="C151" s="1" t="s">
        <v>2896</v>
      </c>
      <c r="H151" s="2">
        <f t="shared" si="4"/>
        <v>0</v>
      </c>
      <c r="I151"/>
      <c r="K151" s="3" t="s">
        <v>2896</v>
      </c>
      <c r="L151" s="4">
        <f t="shared" si="5"/>
        <v>306559147.39</v>
      </c>
      <c r="M151" s="4">
        <v>8060891.45</v>
      </c>
      <c r="N151" s="4">
        <v>9446035.87</v>
      </c>
      <c r="O151" s="4">
        <v>249574724.27</v>
      </c>
      <c r="P151" s="4">
        <v>39477495.8</v>
      </c>
      <c r="R151" s="4" t="s">
        <v>2932</v>
      </c>
      <c r="S151" s="4">
        <f>(M157-M158)*1.06</f>
        <v>0</v>
      </c>
      <c r="T151" s="4">
        <f>(N157-N158)*1.06</f>
        <v>0</v>
      </c>
      <c r="U151" s="4">
        <f>(O157-O158)*1.06</f>
        <v>5700.0016</v>
      </c>
      <c r="V151" s="4">
        <f>(P157-P158)*1.06</f>
        <v>13406539.4962</v>
      </c>
      <c r="X151" s="4" t="s">
        <v>2932</v>
      </c>
      <c r="Y151" s="4">
        <f>S151/10000</f>
        <v>0</v>
      </c>
      <c r="Z151" s="4">
        <f>T151/10000</f>
        <v>0</v>
      </c>
      <c r="AA151" s="4">
        <f>U151/10000</f>
        <v>0.57000016</v>
      </c>
      <c r="AB151" s="4">
        <f>V151/10000</f>
        <v>1340.65394962</v>
      </c>
    </row>
    <row r="152" spans="1:16">
      <c r="A152" s="1" t="s">
        <v>2906</v>
      </c>
      <c r="B152" s="1" t="s">
        <v>154</v>
      </c>
      <c r="C152" s="1" t="s">
        <v>2896</v>
      </c>
      <c r="H152" s="2">
        <f t="shared" si="4"/>
        <v>0</v>
      </c>
      <c r="I152"/>
      <c r="K152" s="3" t="s">
        <v>2898</v>
      </c>
      <c r="L152" s="4">
        <f t="shared" si="5"/>
        <v>35920722.7</v>
      </c>
      <c r="N152" s="4">
        <v>783658</v>
      </c>
      <c r="O152" s="4">
        <v>35104674.9</v>
      </c>
      <c r="P152" s="4">
        <v>32389.8</v>
      </c>
    </row>
    <row r="153" spans="1:16">
      <c r="A153" s="1" t="s">
        <v>2906</v>
      </c>
      <c r="B153" s="1" t="s">
        <v>155</v>
      </c>
      <c r="C153" s="1" t="s">
        <v>2896</v>
      </c>
      <c r="H153" s="2">
        <f t="shared" si="4"/>
        <v>0</v>
      </c>
      <c r="K153" s="3" t="s">
        <v>2899</v>
      </c>
      <c r="L153" s="4">
        <f t="shared" si="5"/>
        <v>1447584275.254</v>
      </c>
      <c r="M153" s="4">
        <v>119662331.5578</v>
      </c>
      <c r="N153" s="4">
        <v>870210165.69</v>
      </c>
      <c r="O153" s="4">
        <v>297742857.6662</v>
      </c>
      <c r="P153" s="4">
        <v>159968920.34</v>
      </c>
    </row>
    <row r="154" spans="1:16">
      <c r="A154" s="1" t="s">
        <v>2906</v>
      </c>
      <c r="B154" s="1" t="s">
        <v>156</v>
      </c>
      <c r="C154" s="1" t="s">
        <v>2896</v>
      </c>
      <c r="F154" s="2">
        <v>1076.3</v>
      </c>
      <c r="H154" s="2">
        <f t="shared" si="4"/>
        <v>1076.3</v>
      </c>
      <c r="I154"/>
      <c r="K154" s="3" t="s">
        <v>2892</v>
      </c>
      <c r="L154" s="4">
        <f t="shared" si="5"/>
        <v>1462473933.66</v>
      </c>
      <c r="M154" s="4">
        <v>120959395.73</v>
      </c>
      <c r="N154" s="4">
        <v>875315878.820004</v>
      </c>
      <c r="O154" s="4">
        <v>304353038.96</v>
      </c>
      <c r="P154" s="4">
        <v>161845620.15</v>
      </c>
    </row>
    <row r="155" spans="1:16">
      <c r="A155" s="1" t="s">
        <v>2906</v>
      </c>
      <c r="B155" s="1" t="s">
        <v>157</v>
      </c>
      <c r="C155" s="1" t="s">
        <v>2896</v>
      </c>
      <c r="E155" s="2">
        <v>5.95</v>
      </c>
      <c r="H155" s="2">
        <f t="shared" si="4"/>
        <v>5.95</v>
      </c>
      <c r="I155"/>
      <c r="K155" s="3" t="s">
        <v>2926</v>
      </c>
      <c r="L155" s="4">
        <f t="shared" si="5"/>
        <v>13951586.95</v>
      </c>
      <c r="P155" s="4">
        <v>13951586.95</v>
      </c>
    </row>
    <row r="156" spans="1:16">
      <c r="A156" s="1" t="s">
        <v>2906</v>
      </c>
      <c r="B156" s="1" t="s">
        <v>158</v>
      </c>
      <c r="C156" s="1" t="s">
        <v>2896</v>
      </c>
      <c r="D156" s="2">
        <v>0</v>
      </c>
      <c r="E156" s="2">
        <v>7.07</v>
      </c>
      <c r="F156" s="2">
        <v>38.67</v>
      </c>
      <c r="G156" s="2">
        <v>0</v>
      </c>
      <c r="H156" s="2">
        <f t="shared" si="4"/>
        <v>45.74</v>
      </c>
      <c r="I156"/>
      <c r="K156" s="3" t="s">
        <v>2933</v>
      </c>
      <c r="L156" s="4">
        <f t="shared" si="5"/>
        <v>774368.17</v>
      </c>
      <c r="P156" s="4">
        <v>774368.17</v>
      </c>
    </row>
    <row r="157" spans="1:16">
      <c r="A157" s="1" t="s">
        <v>2906</v>
      </c>
      <c r="B157" s="1" t="s">
        <v>159</v>
      </c>
      <c r="C157" s="1" t="s">
        <v>2896</v>
      </c>
      <c r="D157" s="2">
        <v>272526.4</v>
      </c>
      <c r="F157" s="2">
        <v>5811.37</v>
      </c>
      <c r="H157" s="2">
        <f t="shared" si="4"/>
        <v>278337.77</v>
      </c>
      <c r="I157"/>
      <c r="K157" s="3" t="s">
        <v>2904</v>
      </c>
      <c r="L157" s="4">
        <f t="shared" si="5"/>
        <v>13427424.3</v>
      </c>
      <c r="O157" s="4">
        <v>5377.36</v>
      </c>
      <c r="P157" s="4">
        <v>13422046.94</v>
      </c>
    </row>
    <row r="158" spans="1:16">
      <c r="A158" s="1" t="s">
        <v>2906</v>
      </c>
      <c r="B158" s="1" t="s">
        <v>148</v>
      </c>
      <c r="C158" s="1" t="s">
        <v>2893</v>
      </c>
      <c r="H158" s="2">
        <f t="shared" si="4"/>
        <v>0</v>
      </c>
      <c r="I158"/>
      <c r="K158" s="3" t="s">
        <v>2907</v>
      </c>
      <c r="L158" s="4">
        <f t="shared" si="5"/>
        <v>774368.17</v>
      </c>
      <c r="P158" s="4">
        <v>774368.17</v>
      </c>
    </row>
    <row r="159" spans="1:16">
      <c r="A159" s="1" t="s">
        <v>2906</v>
      </c>
      <c r="B159" s="1" t="s">
        <v>149</v>
      </c>
      <c r="C159" s="1" t="s">
        <v>2893</v>
      </c>
      <c r="F159" s="2">
        <v>298.2</v>
      </c>
      <c r="H159" s="2">
        <f t="shared" si="4"/>
        <v>298.2</v>
      </c>
      <c r="I159"/>
      <c r="K159" s="3" t="s">
        <v>2902</v>
      </c>
      <c r="L159" s="4">
        <f t="shared" si="5"/>
        <v>6476351.71</v>
      </c>
      <c r="M159" s="4">
        <v>326714.13</v>
      </c>
      <c r="N159" s="4">
        <v>245.28</v>
      </c>
      <c r="O159" s="4">
        <v>5454517.79</v>
      </c>
      <c r="P159" s="4">
        <v>694874.51</v>
      </c>
    </row>
    <row r="160" spans="1:12">
      <c r="A160" s="1" t="s">
        <v>2906</v>
      </c>
      <c r="B160" s="1" t="s">
        <v>150</v>
      </c>
      <c r="C160" s="1" t="s">
        <v>2893</v>
      </c>
      <c r="F160" s="2">
        <v>204.33</v>
      </c>
      <c r="H160" s="2">
        <f t="shared" si="4"/>
        <v>204.33</v>
      </c>
      <c r="I160"/>
      <c r="K160" s="3" t="s">
        <v>2903</v>
      </c>
      <c r="L160" s="4">
        <f t="shared" si="5"/>
        <v>0</v>
      </c>
    </row>
    <row r="161" spans="1:12">
      <c r="A161" s="1" t="s">
        <v>2906</v>
      </c>
      <c r="B161" s="1" t="s">
        <v>151</v>
      </c>
      <c r="C161" s="1" t="s">
        <v>2893</v>
      </c>
      <c r="F161" s="2">
        <v>0.01</v>
      </c>
      <c r="H161" s="2">
        <f t="shared" si="4"/>
        <v>0.01</v>
      </c>
      <c r="I161"/>
      <c r="K161" s="3" t="s">
        <v>2905</v>
      </c>
      <c r="L161" s="4">
        <f t="shared" si="5"/>
        <v>0</v>
      </c>
    </row>
    <row r="162" spans="1:28">
      <c r="A162" s="1" t="s">
        <v>2906</v>
      </c>
      <c r="B162" s="1" t="s">
        <v>152</v>
      </c>
      <c r="C162" s="1" t="s">
        <v>2893</v>
      </c>
      <c r="H162" s="2">
        <f t="shared" si="4"/>
        <v>0</v>
      </c>
      <c r="I162"/>
      <c r="J162" s="3" t="s">
        <v>158</v>
      </c>
      <c r="L162" s="4">
        <f t="shared" si="5"/>
        <v>4915814646.5062</v>
      </c>
      <c r="M162" s="4">
        <v>221961759.37</v>
      </c>
      <c r="N162" s="4">
        <v>2274788610.49</v>
      </c>
      <c r="O162" s="4">
        <v>1851117855.72</v>
      </c>
      <c r="P162" s="4">
        <v>567946420.9262</v>
      </c>
      <c r="S162" s="4" t="s">
        <v>12</v>
      </c>
      <c r="T162" t="s">
        <v>13</v>
      </c>
      <c r="U162" t="s">
        <v>14</v>
      </c>
      <c r="V162" s="3" t="s">
        <v>20</v>
      </c>
      <c r="X162" s="4"/>
      <c r="Y162" s="4" t="s">
        <v>12</v>
      </c>
      <c r="Z162" s="4" t="s">
        <v>13</v>
      </c>
      <c r="AA162" s="4" t="s">
        <v>14</v>
      </c>
      <c r="AB162" s="4" t="s">
        <v>20</v>
      </c>
    </row>
    <row r="163" spans="1:28">
      <c r="A163" s="1" t="s">
        <v>2906</v>
      </c>
      <c r="B163" s="1" t="s">
        <v>153</v>
      </c>
      <c r="C163" s="1" t="s">
        <v>2893</v>
      </c>
      <c r="D163" s="2">
        <v>0</v>
      </c>
      <c r="F163" s="2">
        <v>0.01</v>
      </c>
      <c r="G163" s="2">
        <v>0</v>
      </c>
      <c r="H163" s="2">
        <f t="shared" si="4"/>
        <v>0.01</v>
      </c>
      <c r="I163"/>
      <c r="K163" s="3" t="s">
        <v>1901</v>
      </c>
      <c r="L163" s="4">
        <f t="shared" si="5"/>
        <v>427115.94</v>
      </c>
      <c r="M163" s="4">
        <v>402898.85</v>
      </c>
      <c r="O163" s="4">
        <v>24217.09</v>
      </c>
      <c r="Q163" s="4">
        <f>(L170-L169)+(L167-L168-L165+L166+L175-L176+L164-L163+L173-L174-L171+L172)*1.06</f>
        <v>46509400.0516002</v>
      </c>
      <c r="R163" s="4" t="s">
        <v>2894</v>
      </c>
      <c r="S163" s="4">
        <f>(M170-M169)+(M167-M168-M165+M166+M175-M176)*1.06</f>
        <v>4622049.64999999</v>
      </c>
      <c r="T163" s="4">
        <f>(N170-N169)+(N167-N168-N165+N166+N175-N176)*1.06</f>
        <v>4532013.76160007</v>
      </c>
      <c r="U163" s="4">
        <f>(O170-O169)+(O167-O168-O165+O166+O175-O176)*1.06</f>
        <v>17668560.4986</v>
      </c>
      <c r="V163" s="4">
        <f>(P170-P169)+(P167-P168-P165+P166+P175-P176)*1.06</f>
        <v>1812913.6562</v>
      </c>
      <c r="X163" s="4" t="s">
        <v>2894</v>
      </c>
      <c r="Y163" s="4">
        <f>S163/10000</f>
        <v>462.204964999999</v>
      </c>
      <c r="Z163" s="4">
        <f>T163/10000</f>
        <v>453.201376160007</v>
      </c>
      <c r="AA163" s="4">
        <f>U163/10000</f>
        <v>1766.85604986</v>
      </c>
      <c r="AB163" s="4">
        <f>V163/10000</f>
        <v>181.29136562</v>
      </c>
    </row>
    <row r="164" spans="1:28">
      <c r="A164" s="1" t="s">
        <v>2906</v>
      </c>
      <c r="B164" s="1" t="s">
        <v>154</v>
      </c>
      <c r="C164" s="1" t="s">
        <v>2893</v>
      </c>
      <c r="H164" s="2">
        <f t="shared" si="4"/>
        <v>0</v>
      </c>
      <c r="I164"/>
      <c r="K164" s="3" t="s">
        <v>2931</v>
      </c>
      <c r="L164" s="4">
        <f t="shared" si="5"/>
        <v>14217626.43</v>
      </c>
      <c r="M164" s="4">
        <v>4593473</v>
      </c>
      <c r="O164" s="4">
        <v>9619718.32</v>
      </c>
      <c r="P164" s="4">
        <v>4435.11</v>
      </c>
      <c r="Q164" s="4">
        <f>Q163-W165</f>
        <v>9.68575477600098e-8</v>
      </c>
      <c r="R164" s="4" t="s">
        <v>583</v>
      </c>
      <c r="S164" s="4">
        <f>(M164-M163)*1.06</f>
        <v>4442008.599</v>
      </c>
      <c r="T164" s="4">
        <f>(N164-N163)*1.06</f>
        <v>0</v>
      </c>
      <c r="U164" s="4">
        <f>(O164-O163)*1.06</f>
        <v>10171231.3038</v>
      </c>
      <c r="V164" s="4">
        <f>(P164-P163)*1.06</f>
        <v>4701.2166</v>
      </c>
      <c r="X164" s="4" t="s">
        <v>583</v>
      </c>
      <c r="Y164" s="4">
        <f>S164/10000</f>
        <v>444.2008599</v>
      </c>
      <c r="Z164" s="4">
        <f>T164/10000</f>
        <v>0</v>
      </c>
      <c r="AA164" s="4">
        <f>U164/10000</f>
        <v>1017.12313038</v>
      </c>
      <c r="AB164" s="4">
        <f>V164/10000</f>
        <v>0.47012166</v>
      </c>
    </row>
    <row r="165" spans="1:28">
      <c r="A165" s="1" t="s">
        <v>2906</v>
      </c>
      <c r="B165" s="1" t="s">
        <v>155</v>
      </c>
      <c r="C165" s="1" t="s">
        <v>2893</v>
      </c>
      <c r="H165" s="2">
        <f t="shared" si="4"/>
        <v>0</v>
      </c>
      <c r="K165" s="3" t="s">
        <v>2893</v>
      </c>
      <c r="L165" s="4">
        <f t="shared" si="5"/>
        <v>531182599.85</v>
      </c>
      <c r="M165" s="4">
        <v>10375979.53</v>
      </c>
      <c r="N165" s="4">
        <v>9322548.54</v>
      </c>
      <c r="O165" s="4">
        <v>443373174.51</v>
      </c>
      <c r="P165" s="4">
        <v>68110897.27</v>
      </c>
      <c r="R165" s="4" t="s">
        <v>2897</v>
      </c>
      <c r="S165" s="4">
        <f>(M173-M174-M171+M172)*1.06</f>
        <v>22174.5322</v>
      </c>
      <c r="T165" s="4">
        <f>(N173-N174-N171+N172)*1.06</f>
        <v>0</v>
      </c>
      <c r="U165" s="4">
        <f>(O173-O174-O171+O172)*1.06</f>
        <v>0</v>
      </c>
      <c r="V165" s="4">
        <f>(P173-P174-P171+P172)*1.06</f>
        <v>3233746.8336</v>
      </c>
      <c r="W165" s="4">
        <f>SUM(S163:V165)</f>
        <v>46509400.0516001</v>
      </c>
      <c r="X165" s="4" t="s">
        <v>2897</v>
      </c>
      <c r="Y165" s="4">
        <f>S165/10000</f>
        <v>2.21745322</v>
      </c>
      <c r="Z165" s="4">
        <f>T165/10000</f>
        <v>0</v>
      </c>
      <c r="AA165" s="4">
        <f>U165/10000</f>
        <v>0</v>
      </c>
      <c r="AB165" s="4">
        <f>V165/10000</f>
        <v>323.37468336</v>
      </c>
    </row>
    <row r="166" spans="1:16">
      <c r="A166" s="1" t="s">
        <v>2906</v>
      </c>
      <c r="B166" s="1" t="s">
        <v>156</v>
      </c>
      <c r="C166" s="1" t="s">
        <v>2893</v>
      </c>
      <c r="F166" s="2">
        <v>1054.87</v>
      </c>
      <c r="H166" s="2">
        <f t="shared" si="4"/>
        <v>1054.87</v>
      </c>
      <c r="I166"/>
      <c r="K166" s="3" t="s">
        <v>2895</v>
      </c>
      <c r="L166" s="4">
        <f t="shared" si="5"/>
        <v>81794773.72</v>
      </c>
      <c r="N166" s="4">
        <v>262997.51</v>
      </c>
      <c r="O166" s="4">
        <v>77470933.85</v>
      </c>
      <c r="P166" s="4">
        <v>4060842.36</v>
      </c>
    </row>
    <row r="167" spans="1:28">
      <c r="A167" s="1" t="s">
        <v>2906</v>
      </c>
      <c r="B167" s="1" t="s">
        <v>157</v>
      </c>
      <c r="C167" s="1" t="s">
        <v>2893</v>
      </c>
      <c r="E167" s="2">
        <v>4.83</v>
      </c>
      <c r="H167" s="2">
        <f t="shared" si="4"/>
        <v>4.83</v>
      </c>
      <c r="I167"/>
      <c r="K167" s="3" t="s">
        <v>2896</v>
      </c>
      <c r="L167" s="4">
        <f t="shared" si="5"/>
        <v>528376660.95</v>
      </c>
      <c r="M167" s="4">
        <v>10893161.81</v>
      </c>
      <c r="N167" s="4">
        <v>9400454.73</v>
      </c>
      <c r="O167" s="4">
        <v>440129671.91</v>
      </c>
      <c r="P167" s="4">
        <v>67953372.5</v>
      </c>
      <c r="R167" s="4" t="s">
        <v>2932</v>
      </c>
      <c r="S167" s="4">
        <f>(M173-M174)*1.06</f>
        <v>0</v>
      </c>
      <c r="T167" s="4">
        <f>(N173-N174)*1.06</f>
        <v>0</v>
      </c>
      <c r="U167" s="4">
        <f>(O173-O174)*1.06</f>
        <v>0</v>
      </c>
      <c r="V167" s="4">
        <f>(P173-P174)*1.06</f>
        <v>21815682.1426</v>
      </c>
      <c r="X167" s="4" t="s">
        <v>2932</v>
      </c>
      <c r="Y167" s="4">
        <f>S167/10000</f>
        <v>0</v>
      </c>
      <c r="Z167" s="4">
        <f>T167/10000</f>
        <v>0</v>
      </c>
      <c r="AA167" s="4">
        <f>U167/10000</f>
        <v>0</v>
      </c>
      <c r="AB167" s="4">
        <f>V167/10000</f>
        <v>2181.56821426</v>
      </c>
    </row>
    <row r="168" spans="1:16">
      <c r="A168" s="1" t="s">
        <v>2906</v>
      </c>
      <c r="B168" s="1" t="s">
        <v>158</v>
      </c>
      <c r="C168" s="1" t="s">
        <v>2893</v>
      </c>
      <c r="D168" s="2">
        <v>0</v>
      </c>
      <c r="E168" s="2">
        <v>5.69</v>
      </c>
      <c r="F168" s="2">
        <v>37.08</v>
      </c>
      <c r="G168" s="2">
        <v>0</v>
      </c>
      <c r="H168" s="2">
        <f t="shared" si="4"/>
        <v>42.77</v>
      </c>
      <c r="I168"/>
      <c r="K168" s="3" t="s">
        <v>2898</v>
      </c>
      <c r="L168" s="4">
        <f t="shared" si="5"/>
        <v>81866215.29</v>
      </c>
      <c r="N168" s="4">
        <v>334437.35</v>
      </c>
      <c r="O168" s="4">
        <v>77470933.85</v>
      </c>
      <c r="P168" s="4">
        <v>4060844.09</v>
      </c>
    </row>
    <row r="169" spans="1:16">
      <c r="A169" s="1" t="s">
        <v>2906</v>
      </c>
      <c r="B169" s="1" t="s">
        <v>159</v>
      </c>
      <c r="C169" s="1" t="s">
        <v>2893</v>
      </c>
      <c r="D169" s="2">
        <v>264350.62</v>
      </c>
      <c r="E169" s="2">
        <v>-0.02</v>
      </c>
      <c r="F169" s="2">
        <v>5811.37</v>
      </c>
      <c r="H169" s="2">
        <f t="shared" si="4"/>
        <v>270161.97</v>
      </c>
      <c r="I169"/>
      <c r="K169" s="3" t="s">
        <v>2899</v>
      </c>
      <c r="L169" s="4">
        <f t="shared" si="5"/>
        <v>1765209089.8162</v>
      </c>
      <c r="M169" s="4">
        <v>95906494.59</v>
      </c>
      <c r="N169" s="4">
        <v>1125471524.21</v>
      </c>
      <c r="O169" s="4">
        <v>391308029.94</v>
      </c>
      <c r="P169" s="4">
        <v>152523041.0762</v>
      </c>
    </row>
    <row r="170" spans="1:16">
      <c r="A170" s="1" t="s">
        <v>2906</v>
      </c>
      <c r="B170" s="1" t="s">
        <v>148</v>
      </c>
      <c r="C170" s="1" t="s">
        <v>2902</v>
      </c>
      <c r="D170" s="2">
        <v>775.44</v>
      </c>
      <c r="H170" s="2">
        <f t="shared" si="4"/>
        <v>775.44</v>
      </c>
      <c r="I170"/>
      <c r="K170" s="3" t="s">
        <v>2892</v>
      </c>
      <c r="L170" s="4">
        <f t="shared" si="5"/>
        <v>1781395938.4</v>
      </c>
      <c r="M170" s="4">
        <v>96983003.24</v>
      </c>
      <c r="N170" s="4">
        <v>1129996056.64</v>
      </c>
      <c r="O170" s="4">
        <v>400162393.84</v>
      </c>
      <c r="P170" s="4">
        <v>154254484.68</v>
      </c>
    </row>
    <row r="171" spans="1:16">
      <c r="A171" s="1" t="s">
        <v>2906</v>
      </c>
      <c r="B171" s="1" t="s">
        <v>149</v>
      </c>
      <c r="C171" s="1" t="s">
        <v>2902</v>
      </c>
      <c r="D171" s="2">
        <v>931.92</v>
      </c>
      <c r="H171" s="2">
        <f t="shared" si="4"/>
        <v>931.92</v>
      </c>
      <c r="I171"/>
      <c r="K171" s="3" t="s">
        <v>2926</v>
      </c>
      <c r="L171" s="4">
        <f t="shared" si="5"/>
        <v>37167498.88</v>
      </c>
      <c r="M171" s="4">
        <v>-20919.37</v>
      </c>
      <c r="P171" s="4">
        <v>37188418.25</v>
      </c>
    </row>
    <row r="172" spans="1:16">
      <c r="A172" s="1" t="s">
        <v>2906</v>
      </c>
      <c r="B172" s="1" t="s">
        <v>150</v>
      </c>
      <c r="C172" s="1" t="s">
        <v>2902</v>
      </c>
      <c r="D172" s="2">
        <v>704.97</v>
      </c>
      <c r="H172" s="2">
        <f t="shared" si="4"/>
        <v>704.97</v>
      </c>
      <c r="I172"/>
      <c r="K172" s="3" t="s">
        <v>2933</v>
      </c>
      <c r="L172" s="4">
        <f t="shared" si="5"/>
        <v>19658290.6</v>
      </c>
      <c r="P172" s="4">
        <v>19658290.6</v>
      </c>
    </row>
    <row r="173" spans="1:16">
      <c r="A173" s="1" t="s">
        <v>2906</v>
      </c>
      <c r="B173" s="1" t="s">
        <v>151</v>
      </c>
      <c r="C173" s="1" t="s">
        <v>2902</v>
      </c>
      <c r="D173" s="2">
        <v>486.04</v>
      </c>
      <c r="H173" s="2">
        <f t="shared" si="4"/>
        <v>486.04</v>
      </c>
      <c r="I173"/>
      <c r="K173" s="3" t="s">
        <v>2904</v>
      </c>
      <c r="L173" s="4">
        <f t="shared" si="5"/>
        <v>40239121.08</v>
      </c>
      <c r="M173" s="4">
        <v>0</v>
      </c>
      <c r="P173" s="4">
        <v>40239121.08</v>
      </c>
    </row>
    <row r="174" spans="1:16">
      <c r="A174" s="1" t="s">
        <v>2906</v>
      </c>
      <c r="B174" s="1" t="s">
        <v>152</v>
      </c>
      <c r="C174" s="1" t="s">
        <v>2902</v>
      </c>
      <c r="D174" s="2">
        <v>484.61</v>
      </c>
      <c r="H174" s="2">
        <f t="shared" si="4"/>
        <v>484.61</v>
      </c>
      <c r="I174"/>
      <c r="K174" s="3" t="s">
        <v>2907</v>
      </c>
      <c r="L174" s="4">
        <f t="shared" si="5"/>
        <v>19658288.87</v>
      </c>
      <c r="P174" s="4">
        <v>19658288.87</v>
      </c>
    </row>
    <row r="175" spans="1:16">
      <c r="A175" s="1" t="s">
        <v>2906</v>
      </c>
      <c r="B175" s="1" t="s">
        <v>153</v>
      </c>
      <c r="C175" s="1" t="s">
        <v>2902</v>
      </c>
      <c r="D175" s="2">
        <v>901.87</v>
      </c>
      <c r="H175" s="2">
        <f t="shared" si="4"/>
        <v>901.87</v>
      </c>
      <c r="I175"/>
      <c r="K175" s="3" t="s">
        <v>2902</v>
      </c>
      <c r="L175" s="4">
        <f t="shared" si="5"/>
        <v>14621426.68</v>
      </c>
      <c r="M175" s="4">
        <v>2827667.72</v>
      </c>
      <c r="N175" s="4">
        <v>591.51</v>
      </c>
      <c r="O175" s="4">
        <v>11558782.41</v>
      </c>
      <c r="P175" s="4">
        <v>234385.04</v>
      </c>
    </row>
    <row r="176" spans="1:12">
      <c r="A176" s="1" t="s">
        <v>2906</v>
      </c>
      <c r="B176" s="1" t="s">
        <v>154</v>
      </c>
      <c r="C176" s="1" t="s">
        <v>2902</v>
      </c>
      <c r="D176" s="2">
        <v>518.4</v>
      </c>
      <c r="H176" s="2">
        <f t="shared" si="4"/>
        <v>518.4</v>
      </c>
      <c r="I176"/>
      <c r="K176" s="3" t="s">
        <v>2903</v>
      </c>
      <c r="L176" s="4">
        <f t="shared" si="5"/>
        <v>0</v>
      </c>
    </row>
    <row r="177" spans="1:12">
      <c r="A177" s="1" t="s">
        <v>2906</v>
      </c>
      <c r="B177" s="1" t="s">
        <v>155</v>
      </c>
      <c r="C177" s="1" t="s">
        <v>2902</v>
      </c>
      <c r="D177" s="2">
        <v>506.45</v>
      </c>
      <c r="H177" s="2">
        <f t="shared" si="4"/>
        <v>506.45</v>
      </c>
      <c r="K177" s="3" t="s">
        <v>2905</v>
      </c>
      <c r="L177" s="4">
        <f t="shared" si="5"/>
        <v>0</v>
      </c>
    </row>
    <row r="178" spans="1:28">
      <c r="A178" s="1" t="s">
        <v>2906</v>
      </c>
      <c r="B178" s="1" t="s">
        <v>156</v>
      </c>
      <c r="C178" s="1" t="s">
        <v>2902</v>
      </c>
      <c r="D178" s="2">
        <v>226.23</v>
      </c>
      <c r="H178" s="2">
        <f t="shared" si="4"/>
        <v>226.23</v>
      </c>
      <c r="I178"/>
      <c r="J178" s="3" t="s">
        <v>159</v>
      </c>
      <c r="L178" s="4">
        <f t="shared" si="5"/>
        <v>4457276195.108</v>
      </c>
      <c r="M178" s="4">
        <v>505019538.1834</v>
      </c>
      <c r="N178" s="4">
        <v>1483508899.2812</v>
      </c>
      <c r="O178" s="4">
        <v>2029237393.3508</v>
      </c>
      <c r="P178" s="4">
        <v>439510364.2926</v>
      </c>
      <c r="S178" s="4" t="s">
        <v>12</v>
      </c>
      <c r="T178" t="s">
        <v>13</v>
      </c>
      <c r="U178" t="s">
        <v>14</v>
      </c>
      <c r="V178" s="3" t="s">
        <v>20</v>
      </c>
      <c r="X178" s="4"/>
      <c r="Y178" s="4" t="s">
        <v>12</v>
      </c>
      <c r="Z178" s="4" t="s">
        <v>13</v>
      </c>
      <c r="AA178" s="4" t="s">
        <v>14</v>
      </c>
      <c r="AB178" s="4" t="s">
        <v>20</v>
      </c>
    </row>
    <row r="179" spans="1:28">
      <c r="A179" s="1" t="s">
        <v>2906</v>
      </c>
      <c r="B179" s="1" t="s">
        <v>157</v>
      </c>
      <c r="C179" s="1" t="s">
        <v>2902</v>
      </c>
      <c r="D179" s="2">
        <v>249.02</v>
      </c>
      <c r="H179" s="2">
        <f t="shared" si="4"/>
        <v>249.02</v>
      </c>
      <c r="I179"/>
      <c r="K179" s="3" t="s">
        <v>1901</v>
      </c>
      <c r="L179" s="4">
        <f t="shared" si="5"/>
        <v>1033102.19</v>
      </c>
      <c r="M179" s="4">
        <v>980646.38</v>
      </c>
      <c r="O179" s="4">
        <v>52455.81</v>
      </c>
      <c r="Q179" s="4">
        <f>(L186-L185)+(L183-L184-L181+L182+L191-L192+L180-L179+L189-L190-L187+L188)*1.06</f>
        <v>43602672.1453998</v>
      </c>
      <c r="R179" s="4" t="s">
        <v>2894</v>
      </c>
      <c r="S179" s="4">
        <f>(M186-M185)+(M183-M184-M181+M182+M191-M192)*1.06</f>
        <v>-548798.023599988</v>
      </c>
      <c r="T179" s="4">
        <f>(N186-N185)+(N183-N184-N181+N182+N191-N192)*1.06</f>
        <v>2869370.20660003</v>
      </c>
      <c r="U179" s="4">
        <f>(O186-O185)+(O183-O184-O181+O182+O191-O192)*1.06</f>
        <v>34976561.1226</v>
      </c>
      <c r="V179" s="4">
        <f>(P186-P185)+(P183-P184-P181+P182+P191-P192)*1.06</f>
        <v>1698455.78359999</v>
      </c>
      <c r="X179" s="4" t="s">
        <v>2894</v>
      </c>
      <c r="Y179" s="4">
        <f>S179/10000</f>
        <v>-54.8798023599988</v>
      </c>
      <c r="Z179" s="4">
        <f>T179/10000</f>
        <v>286.937020660003</v>
      </c>
      <c r="AA179" s="4">
        <f>U179/10000</f>
        <v>3497.65611226</v>
      </c>
      <c r="AB179" s="4">
        <f>V179/10000</f>
        <v>169.845578359999</v>
      </c>
    </row>
    <row r="180" spans="1:28">
      <c r="A180" s="1" t="s">
        <v>2906</v>
      </c>
      <c r="B180" s="1" t="s">
        <v>158</v>
      </c>
      <c r="C180" s="1" t="s">
        <v>2902</v>
      </c>
      <c r="D180" s="2">
        <v>159.19</v>
      </c>
      <c r="G180" s="2">
        <v>0</v>
      </c>
      <c r="H180" s="2">
        <f t="shared" si="4"/>
        <v>159.19</v>
      </c>
      <c r="I180"/>
      <c r="K180" s="3" t="s">
        <v>2931</v>
      </c>
      <c r="L180" s="4">
        <f t="shared" si="5"/>
        <v>5208844.63</v>
      </c>
      <c r="M180" s="4">
        <v>2280210.4</v>
      </c>
      <c r="O180" s="4">
        <v>2628372.09</v>
      </c>
      <c r="P180" s="4">
        <v>300262.14</v>
      </c>
      <c r="Q180" s="4">
        <f>Q179-W181</f>
        <v>-2.90572643280029e-7</v>
      </c>
      <c r="R180" s="4" t="s">
        <v>583</v>
      </c>
      <c r="S180" s="4">
        <f>(M180-M179)*1.06</f>
        <v>1377537.8612</v>
      </c>
      <c r="T180" s="4">
        <f>(N180-N179)*1.06</f>
        <v>0</v>
      </c>
      <c r="U180" s="4">
        <f>(O180-O179)*1.06</f>
        <v>2730471.2568</v>
      </c>
      <c r="V180" s="4">
        <f>(P180-P179)*1.06</f>
        <v>318277.8684</v>
      </c>
      <c r="X180" s="4" t="s">
        <v>583</v>
      </c>
      <c r="Y180" s="4">
        <f>S180/10000</f>
        <v>137.75378612</v>
      </c>
      <c r="Z180" s="4">
        <f>T180/10000</f>
        <v>0</v>
      </c>
      <c r="AA180" s="4">
        <f>U180/10000</f>
        <v>273.04712568</v>
      </c>
      <c r="AB180" s="4">
        <f>V180/10000</f>
        <v>31.82778684</v>
      </c>
    </row>
    <row r="181" spans="1:28">
      <c r="A181" s="1" t="s">
        <v>2906</v>
      </c>
      <c r="B181" s="1" t="s">
        <v>159</v>
      </c>
      <c r="C181" s="1" t="s">
        <v>2902</v>
      </c>
      <c r="D181" s="2">
        <v>172.78</v>
      </c>
      <c r="H181" s="2">
        <f t="shared" si="4"/>
        <v>172.78</v>
      </c>
      <c r="I181"/>
      <c r="K181" s="3" t="s">
        <v>2893</v>
      </c>
      <c r="L181" s="4">
        <f t="shared" si="5"/>
        <v>670468427.96</v>
      </c>
      <c r="M181" s="4">
        <v>7375254.73</v>
      </c>
      <c r="N181" s="4">
        <v>13134932.34</v>
      </c>
      <c r="O181" s="4">
        <v>583593058.26</v>
      </c>
      <c r="P181" s="4">
        <v>66365182.63</v>
      </c>
      <c r="R181" s="4" t="s">
        <v>2897</v>
      </c>
      <c r="S181" s="4">
        <f>(M189-M190-M187+M188)*1.06</f>
        <v>60362.3042</v>
      </c>
      <c r="T181" s="4">
        <f>(N189-N190-N187+N188)*1.06</f>
        <v>0</v>
      </c>
      <c r="U181" s="4">
        <f>(O189-O190-O187+O188)*1.06</f>
        <v>7240.0014</v>
      </c>
      <c r="V181" s="4">
        <f>(P189-P190-P187+P188)*1.06</f>
        <v>113193.764199998</v>
      </c>
      <c r="W181" s="4">
        <f>SUM(S179:V181)</f>
        <v>43602672.1454001</v>
      </c>
      <c r="X181" s="4" t="s">
        <v>2897</v>
      </c>
      <c r="Y181" s="4">
        <f>S181/10000</f>
        <v>6.03623042</v>
      </c>
      <c r="Z181" s="4">
        <f>T181/10000</f>
        <v>0</v>
      </c>
      <c r="AA181" s="4">
        <f>U181/10000</f>
        <v>0.72400014</v>
      </c>
      <c r="AB181" s="4">
        <f>V181/10000</f>
        <v>11.3193764199998</v>
      </c>
    </row>
    <row r="182" spans="1:16">
      <c r="A182" s="1" t="s">
        <v>2906</v>
      </c>
      <c r="B182" s="1" t="s">
        <v>148</v>
      </c>
      <c r="C182" s="1" t="s">
        <v>2931</v>
      </c>
      <c r="H182" s="2">
        <f t="shared" si="4"/>
        <v>0</v>
      </c>
      <c r="I182"/>
      <c r="K182" s="3" t="s">
        <v>2895</v>
      </c>
      <c r="L182" s="4">
        <f t="shared" si="5"/>
        <v>120217684.98</v>
      </c>
      <c r="M182" s="4">
        <v>18809.25</v>
      </c>
      <c r="N182" s="4">
        <v>1884542.17</v>
      </c>
      <c r="O182" s="4">
        <v>111095334.71</v>
      </c>
      <c r="P182" s="4">
        <v>7218998.85</v>
      </c>
    </row>
    <row r="183" spans="1:28">
      <c r="A183" s="1" t="s">
        <v>2906</v>
      </c>
      <c r="B183" s="1" t="s">
        <v>149</v>
      </c>
      <c r="C183" s="1" t="s">
        <v>2931</v>
      </c>
      <c r="H183" s="2">
        <f t="shared" si="4"/>
        <v>0</v>
      </c>
      <c r="I183"/>
      <c r="K183" s="3" t="s">
        <v>2896</v>
      </c>
      <c r="L183" s="4">
        <f t="shared" si="5"/>
        <v>685785139.67</v>
      </c>
      <c r="M183" s="4">
        <v>8120460.67</v>
      </c>
      <c r="N183" s="4">
        <v>13564638.59</v>
      </c>
      <c r="O183" s="4">
        <v>596293044.11</v>
      </c>
      <c r="P183" s="4">
        <v>67806996.3</v>
      </c>
      <c r="R183" s="4" t="s">
        <v>2932</v>
      </c>
      <c r="S183" s="4">
        <f>(M189-M190)*1.06</f>
        <v>60362.3042</v>
      </c>
      <c r="T183" s="4">
        <f>(N189-N190)*1.06</f>
        <v>0</v>
      </c>
      <c r="U183" s="4">
        <f>(O189-O190)*1.06</f>
        <v>7240.0014</v>
      </c>
      <c r="V183" s="4">
        <f>(P189-P190)*1.06</f>
        <v>25162223.2264</v>
      </c>
      <c r="X183" s="4" t="s">
        <v>2932</v>
      </c>
      <c r="Y183" s="4">
        <f>S183/10000</f>
        <v>6.03623042</v>
      </c>
      <c r="Z183" s="4">
        <f>T183/10000</f>
        <v>0</v>
      </c>
      <c r="AA183" s="4">
        <f>U183/10000</f>
        <v>0.72400014</v>
      </c>
      <c r="AB183" s="4">
        <f>V183/10000</f>
        <v>2516.22232264</v>
      </c>
    </row>
    <row r="184" spans="1:16">
      <c r="A184" s="1" t="s">
        <v>2906</v>
      </c>
      <c r="B184" s="1" t="s">
        <v>150</v>
      </c>
      <c r="C184" s="1" t="s">
        <v>2931</v>
      </c>
      <c r="H184" s="2">
        <f t="shared" si="4"/>
        <v>0</v>
      </c>
      <c r="I184"/>
      <c r="K184" s="3" t="s">
        <v>2898</v>
      </c>
      <c r="L184" s="4">
        <f t="shared" si="5"/>
        <v>120274658.14</v>
      </c>
      <c r="M184" s="4">
        <v>18809.25</v>
      </c>
      <c r="N184" s="4">
        <v>1941515.33</v>
      </c>
      <c r="O184" s="4">
        <v>111095334.71</v>
      </c>
      <c r="P184" s="4">
        <v>7218998.85</v>
      </c>
    </row>
    <row r="185" spans="1:16">
      <c r="A185" s="1" t="s">
        <v>2906</v>
      </c>
      <c r="B185" s="1" t="s">
        <v>151</v>
      </c>
      <c r="C185" s="1" t="s">
        <v>2931</v>
      </c>
      <c r="F185" s="2">
        <v>161089.08</v>
      </c>
      <c r="H185" s="2">
        <f t="shared" si="4"/>
        <v>161089.08</v>
      </c>
      <c r="I185"/>
      <c r="K185" s="3" t="s">
        <v>2899</v>
      </c>
      <c r="L185" s="4">
        <f t="shared" si="5"/>
        <v>1391927251.518</v>
      </c>
      <c r="M185" s="4">
        <v>243755919.7634</v>
      </c>
      <c r="N185" s="4">
        <v>725254500.8412</v>
      </c>
      <c r="O185" s="4">
        <v>301780629.972</v>
      </c>
      <c r="P185" s="4">
        <v>121136200.9414</v>
      </c>
    </row>
    <row r="186" spans="1:16">
      <c r="A186" s="1" t="s">
        <v>2906</v>
      </c>
      <c r="B186" s="1" t="s">
        <v>152</v>
      </c>
      <c r="C186" s="1" t="s">
        <v>2931</v>
      </c>
      <c r="H186" s="2">
        <f t="shared" si="4"/>
        <v>0</v>
      </c>
      <c r="I186"/>
      <c r="K186" s="3" t="s">
        <v>2892</v>
      </c>
      <c r="L186" s="4">
        <f t="shared" si="5"/>
        <v>1403824480.02</v>
      </c>
      <c r="M186" s="4">
        <v>242333794.28</v>
      </c>
      <c r="N186" s="4">
        <v>727728703.97</v>
      </c>
      <c r="O186" s="4">
        <v>312644456.9188</v>
      </c>
      <c r="P186" s="4">
        <v>121117524.8512</v>
      </c>
    </row>
    <row r="187" spans="1:16">
      <c r="A187" s="1" t="s">
        <v>2906</v>
      </c>
      <c r="B187" s="1" t="s">
        <v>153</v>
      </c>
      <c r="C187" s="1" t="s">
        <v>2931</v>
      </c>
      <c r="F187" s="2">
        <v>639895.57</v>
      </c>
      <c r="H187" s="2">
        <f t="shared" si="4"/>
        <v>639895.57</v>
      </c>
      <c r="I187"/>
      <c r="K187" s="3" t="s">
        <v>2926</v>
      </c>
      <c r="L187" s="4">
        <f t="shared" si="5"/>
        <v>23855964.04</v>
      </c>
      <c r="P187" s="4">
        <v>23855964.04</v>
      </c>
    </row>
    <row r="188" spans="1:16">
      <c r="A188" s="1" t="s">
        <v>2906</v>
      </c>
      <c r="B188" s="1" t="s">
        <v>154</v>
      </c>
      <c r="C188" s="1" t="s">
        <v>2931</v>
      </c>
      <c r="F188" s="2">
        <v>311701.42</v>
      </c>
      <c r="H188" s="2">
        <f t="shared" si="4"/>
        <v>311701.42</v>
      </c>
      <c r="I188"/>
      <c r="K188" s="3" t="s">
        <v>2933</v>
      </c>
      <c r="L188" s="4">
        <f t="shared" si="5"/>
        <v>224804.17</v>
      </c>
      <c r="P188" s="4">
        <v>224804.17</v>
      </c>
    </row>
    <row r="189" spans="1:16">
      <c r="A189" s="1" t="s">
        <v>2906</v>
      </c>
      <c r="B189" s="1" t="s">
        <v>155</v>
      </c>
      <c r="C189" s="1" t="s">
        <v>2931</v>
      </c>
      <c r="H189" s="2">
        <f t="shared" si="4"/>
        <v>0</v>
      </c>
      <c r="K189" s="3" t="s">
        <v>2904</v>
      </c>
      <c r="L189" s="4">
        <f t="shared" si="5"/>
        <v>23976403.71</v>
      </c>
      <c r="M189" s="4">
        <v>56945.57</v>
      </c>
      <c r="O189" s="4">
        <v>6830.19</v>
      </c>
      <c r="P189" s="4">
        <v>23912627.95</v>
      </c>
    </row>
    <row r="190" spans="1:16">
      <c r="A190" s="1" t="s">
        <v>2906</v>
      </c>
      <c r="B190" s="1" t="s">
        <v>156</v>
      </c>
      <c r="C190" s="1" t="s">
        <v>2931</v>
      </c>
      <c r="F190" s="2">
        <v>430660.38</v>
      </c>
      <c r="H190" s="2">
        <f t="shared" si="4"/>
        <v>430660.38</v>
      </c>
      <c r="I190"/>
      <c r="K190" s="3" t="s">
        <v>2907</v>
      </c>
      <c r="L190" s="4">
        <f t="shared" si="5"/>
        <v>174681.51</v>
      </c>
      <c r="P190" s="4">
        <v>174681.51</v>
      </c>
    </row>
    <row r="191" spans="1:16">
      <c r="A191" s="1" t="s">
        <v>2906</v>
      </c>
      <c r="B191" s="1" t="s">
        <v>157</v>
      </c>
      <c r="C191" s="1" t="s">
        <v>2931</v>
      </c>
      <c r="F191" s="2">
        <v>210462.02</v>
      </c>
      <c r="H191" s="2">
        <f t="shared" si="4"/>
        <v>210462.02</v>
      </c>
      <c r="I191"/>
      <c r="K191" s="3" t="s">
        <v>2902</v>
      </c>
      <c r="L191" s="4">
        <f t="shared" si="5"/>
        <v>10304752.57</v>
      </c>
      <c r="M191" s="4">
        <v>78687.89</v>
      </c>
      <c r="N191" s="4">
        <v>66.04</v>
      </c>
      <c r="O191" s="4">
        <v>10047876.58</v>
      </c>
      <c r="P191" s="4">
        <v>178122.06</v>
      </c>
    </row>
    <row r="192" spans="1:12">
      <c r="A192" s="1" t="s">
        <v>2906</v>
      </c>
      <c r="B192" s="1" t="s">
        <v>158</v>
      </c>
      <c r="C192" s="1" t="s">
        <v>2931</v>
      </c>
      <c r="D192" s="2">
        <v>0</v>
      </c>
      <c r="F192" s="2">
        <v>366149.32</v>
      </c>
      <c r="G192" s="2">
        <v>0</v>
      </c>
      <c r="H192" s="2">
        <f t="shared" si="4"/>
        <v>366149.32</v>
      </c>
      <c r="I192"/>
      <c r="K192" s="3" t="s">
        <v>2903</v>
      </c>
      <c r="L192" s="4">
        <f t="shared" si="5"/>
        <v>0</v>
      </c>
    </row>
    <row r="193" spans="1:12">
      <c r="A193" s="1" t="s">
        <v>2906</v>
      </c>
      <c r="B193" s="1" t="s">
        <v>159</v>
      </c>
      <c r="C193" s="1" t="s">
        <v>2931</v>
      </c>
      <c r="F193" s="2">
        <v>282642.36</v>
      </c>
      <c r="H193" s="2">
        <f t="shared" si="4"/>
        <v>282642.36</v>
      </c>
      <c r="I193"/>
      <c r="K193" s="3" t="s">
        <v>2905</v>
      </c>
      <c r="L193" s="4">
        <f t="shared" si="5"/>
        <v>0</v>
      </c>
    </row>
    <row r="194" spans="1:16">
      <c r="A194" s="1" t="s">
        <v>2906</v>
      </c>
      <c r="B194" s="1" t="s">
        <v>148</v>
      </c>
      <c r="C194" s="1" t="s">
        <v>2904</v>
      </c>
      <c r="H194" s="2">
        <f t="shared" ref="H194:H257" si="6">SUM(D194:G194)</f>
        <v>0</v>
      </c>
      <c r="I194"/>
      <c r="J194" s="3" t="s">
        <v>319</v>
      </c>
      <c r="L194" s="4">
        <f t="shared" si="5"/>
        <v>52173078786.985</v>
      </c>
      <c r="M194" s="4">
        <v>4013263755.9698</v>
      </c>
      <c r="N194" s="4">
        <v>28057733106.4218</v>
      </c>
      <c r="O194" s="4">
        <v>15813910860.214</v>
      </c>
      <c r="P194" s="4">
        <v>4288171064.3794</v>
      </c>
    </row>
    <row r="195" spans="1:9">
      <c r="A195" s="1" t="s">
        <v>2906</v>
      </c>
      <c r="B195" s="1" t="s">
        <v>149</v>
      </c>
      <c r="C195" s="1" t="s">
        <v>2904</v>
      </c>
      <c r="H195" s="2">
        <f t="shared" si="6"/>
        <v>0</v>
      </c>
      <c r="I195"/>
    </row>
    <row r="196" spans="1:9">
      <c r="A196" s="1" t="s">
        <v>2906</v>
      </c>
      <c r="B196" s="1" t="s">
        <v>150</v>
      </c>
      <c r="C196" s="1" t="s">
        <v>2904</v>
      </c>
      <c r="H196" s="2">
        <f t="shared" si="6"/>
        <v>0</v>
      </c>
      <c r="I196"/>
    </row>
    <row r="197" spans="1:9">
      <c r="A197" s="1" t="s">
        <v>2906</v>
      </c>
      <c r="B197" s="1" t="s">
        <v>151</v>
      </c>
      <c r="C197" s="1" t="s">
        <v>2904</v>
      </c>
      <c r="H197" s="2">
        <f t="shared" si="6"/>
        <v>0</v>
      </c>
      <c r="I197"/>
    </row>
    <row r="198" spans="1:9">
      <c r="A198" s="1" t="s">
        <v>2906</v>
      </c>
      <c r="B198" s="1" t="s">
        <v>152</v>
      </c>
      <c r="C198" s="1" t="s">
        <v>2904</v>
      </c>
      <c r="H198" s="2">
        <f t="shared" si="6"/>
        <v>0</v>
      </c>
      <c r="I198"/>
    </row>
    <row r="199" spans="1:9">
      <c r="A199" s="1" t="s">
        <v>2906</v>
      </c>
      <c r="B199" s="1" t="s">
        <v>153</v>
      </c>
      <c r="C199" s="1" t="s">
        <v>2904</v>
      </c>
      <c r="D199" s="2">
        <v>47169.81</v>
      </c>
      <c r="H199" s="2">
        <f t="shared" si="6"/>
        <v>47169.81</v>
      </c>
      <c r="I199"/>
    </row>
    <row r="200" spans="1:9">
      <c r="A200" s="1" t="s">
        <v>2906</v>
      </c>
      <c r="B200" s="1" t="s">
        <v>154</v>
      </c>
      <c r="C200" s="1" t="s">
        <v>2904</v>
      </c>
      <c r="H200" s="2">
        <f t="shared" si="6"/>
        <v>0</v>
      </c>
      <c r="I200"/>
    </row>
    <row r="201" spans="1:8">
      <c r="A201" s="1" t="s">
        <v>2906</v>
      </c>
      <c r="B201" s="1" t="s">
        <v>155</v>
      </c>
      <c r="C201" s="1" t="s">
        <v>2904</v>
      </c>
      <c r="D201" s="2">
        <v>47883.27</v>
      </c>
      <c r="H201" s="2">
        <f t="shared" si="6"/>
        <v>47883.27</v>
      </c>
    </row>
    <row r="202" spans="1:9">
      <c r="A202" s="1" t="s">
        <v>2906</v>
      </c>
      <c r="B202" s="1" t="s">
        <v>156</v>
      </c>
      <c r="C202" s="1" t="s">
        <v>2904</v>
      </c>
      <c r="H202" s="2">
        <f t="shared" si="6"/>
        <v>0</v>
      </c>
      <c r="I202"/>
    </row>
    <row r="203" spans="1:9">
      <c r="A203" s="1" t="s">
        <v>2906</v>
      </c>
      <c r="B203" s="1" t="s">
        <v>157</v>
      </c>
      <c r="C203" s="1" t="s">
        <v>2904</v>
      </c>
      <c r="H203" s="2">
        <f t="shared" si="6"/>
        <v>0</v>
      </c>
      <c r="I203"/>
    </row>
    <row r="204" spans="1:9">
      <c r="A204" s="1" t="s">
        <v>2906</v>
      </c>
      <c r="B204" s="1" t="s">
        <v>158</v>
      </c>
      <c r="C204" s="1" t="s">
        <v>2904</v>
      </c>
      <c r="H204" s="2">
        <f t="shared" si="6"/>
        <v>0</v>
      </c>
      <c r="I204"/>
    </row>
    <row r="205" spans="1:9">
      <c r="A205" s="1" t="s">
        <v>2906</v>
      </c>
      <c r="B205" s="1" t="s">
        <v>159</v>
      </c>
      <c r="C205" s="1" t="s">
        <v>2904</v>
      </c>
      <c r="H205" s="2">
        <f t="shared" si="6"/>
        <v>0</v>
      </c>
      <c r="I205"/>
    </row>
    <row r="206" spans="1:9">
      <c r="A206" s="1" t="s">
        <v>2906</v>
      </c>
      <c r="B206" s="1" t="s">
        <v>148</v>
      </c>
      <c r="C206" s="1" t="s">
        <v>1901</v>
      </c>
      <c r="H206" s="2">
        <f t="shared" si="6"/>
        <v>0</v>
      </c>
      <c r="I206"/>
    </row>
    <row r="207" spans="1:9">
      <c r="A207" s="1" t="s">
        <v>2906</v>
      </c>
      <c r="B207" s="1" t="s">
        <v>149</v>
      </c>
      <c r="C207" s="1" t="s">
        <v>1901</v>
      </c>
      <c r="H207" s="2">
        <f t="shared" si="6"/>
        <v>0</v>
      </c>
      <c r="I207"/>
    </row>
    <row r="208" spans="1:9">
      <c r="A208" s="1" t="s">
        <v>2906</v>
      </c>
      <c r="B208" s="1" t="s">
        <v>150</v>
      </c>
      <c r="C208" s="1" t="s">
        <v>1901</v>
      </c>
      <c r="H208" s="2">
        <f t="shared" si="6"/>
        <v>0</v>
      </c>
      <c r="I208"/>
    </row>
    <row r="209" spans="1:9">
      <c r="A209" s="1" t="s">
        <v>2906</v>
      </c>
      <c r="B209" s="1" t="s">
        <v>151</v>
      </c>
      <c r="C209" s="1" t="s">
        <v>1901</v>
      </c>
      <c r="H209" s="2">
        <f t="shared" si="6"/>
        <v>0</v>
      </c>
      <c r="I209"/>
    </row>
    <row r="210" spans="1:9">
      <c r="A210" s="1" t="s">
        <v>2906</v>
      </c>
      <c r="B210" s="1" t="s">
        <v>152</v>
      </c>
      <c r="C210" s="1" t="s">
        <v>1901</v>
      </c>
      <c r="H210" s="2">
        <f t="shared" si="6"/>
        <v>0</v>
      </c>
      <c r="I210"/>
    </row>
    <row r="211" spans="1:9">
      <c r="A211" s="1" t="s">
        <v>2906</v>
      </c>
      <c r="B211" s="1" t="s">
        <v>153</v>
      </c>
      <c r="C211" s="1" t="s">
        <v>1901</v>
      </c>
      <c r="H211" s="2">
        <f t="shared" si="6"/>
        <v>0</v>
      </c>
      <c r="I211"/>
    </row>
    <row r="212" spans="1:9">
      <c r="A212" s="1" t="s">
        <v>2906</v>
      </c>
      <c r="B212" s="1" t="s">
        <v>154</v>
      </c>
      <c r="C212" s="1" t="s">
        <v>1901</v>
      </c>
      <c r="H212" s="2">
        <f t="shared" si="6"/>
        <v>0</v>
      </c>
      <c r="I212"/>
    </row>
    <row r="213" spans="1:9">
      <c r="A213" s="1" t="s">
        <v>2906</v>
      </c>
      <c r="B213" s="1" t="s">
        <v>155</v>
      </c>
      <c r="C213" s="1" t="s">
        <v>1901</v>
      </c>
      <c r="H213" s="2">
        <f t="shared" si="6"/>
        <v>0</v>
      </c>
      <c r="I213"/>
    </row>
    <row r="214" spans="1:9">
      <c r="A214" s="1" t="s">
        <v>2906</v>
      </c>
      <c r="B214" s="1" t="s">
        <v>156</v>
      </c>
      <c r="C214" s="1" t="s">
        <v>1901</v>
      </c>
      <c r="H214" s="2">
        <f t="shared" si="6"/>
        <v>0</v>
      </c>
      <c r="I214"/>
    </row>
    <row r="215" spans="1:9">
      <c r="A215" s="1" t="s">
        <v>2906</v>
      </c>
      <c r="B215" s="1" t="s">
        <v>157</v>
      </c>
      <c r="C215" s="1" t="s">
        <v>1901</v>
      </c>
      <c r="F215" s="14">
        <v>6.3</v>
      </c>
      <c r="H215" s="2">
        <f t="shared" si="6"/>
        <v>6.3</v>
      </c>
      <c r="I215"/>
    </row>
    <row r="216" spans="1:9">
      <c r="A216" s="1" t="s">
        <v>2906</v>
      </c>
      <c r="B216" s="1" t="s">
        <v>158</v>
      </c>
      <c r="C216" s="1" t="s">
        <v>1901</v>
      </c>
      <c r="F216" s="2">
        <v>7.49</v>
      </c>
      <c r="H216" s="2">
        <f t="shared" si="6"/>
        <v>7.49</v>
      </c>
      <c r="I216"/>
    </row>
    <row r="217" spans="1:9">
      <c r="A217" s="1" t="s">
        <v>2906</v>
      </c>
      <c r="B217" s="1" t="s">
        <v>159</v>
      </c>
      <c r="C217" s="1" t="s">
        <v>1901</v>
      </c>
      <c r="F217" s="2">
        <v>6160.05</v>
      </c>
      <c r="H217" s="2">
        <f t="shared" si="6"/>
        <v>6160.05</v>
      </c>
      <c r="I217"/>
    </row>
    <row r="218" spans="1:9">
      <c r="A218" s="1" t="s">
        <v>2906</v>
      </c>
      <c r="B218" s="1" t="s">
        <v>148</v>
      </c>
      <c r="C218" s="1" t="s">
        <v>2926</v>
      </c>
      <c r="H218" s="2">
        <f t="shared" si="6"/>
        <v>0</v>
      </c>
      <c r="I218"/>
    </row>
    <row r="219" spans="1:9">
      <c r="A219" s="1" t="s">
        <v>2906</v>
      </c>
      <c r="B219" s="1" t="s">
        <v>149</v>
      </c>
      <c r="C219" s="1" t="s">
        <v>2926</v>
      </c>
      <c r="H219" s="2">
        <f t="shared" si="6"/>
        <v>0</v>
      </c>
      <c r="I219"/>
    </row>
    <row r="220" spans="1:9">
      <c r="A220" s="1" t="s">
        <v>2906</v>
      </c>
      <c r="B220" s="1" t="s">
        <v>150</v>
      </c>
      <c r="C220" s="1" t="s">
        <v>2926</v>
      </c>
      <c r="H220" s="2">
        <f t="shared" si="6"/>
        <v>0</v>
      </c>
      <c r="I220"/>
    </row>
    <row r="221" spans="1:9">
      <c r="A221" s="1" t="s">
        <v>2906</v>
      </c>
      <c r="B221" s="1" t="s">
        <v>151</v>
      </c>
      <c r="C221" s="1" t="s">
        <v>2926</v>
      </c>
      <c r="H221" s="2">
        <f t="shared" si="6"/>
        <v>0</v>
      </c>
      <c r="I221"/>
    </row>
    <row r="222" spans="1:9">
      <c r="A222" s="1" t="s">
        <v>2906</v>
      </c>
      <c r="B222" s="1" t="s">
        <v>152</v>
      </c>
      <c r="C222" s="1" t="s">
        <v>2926</v>
      </c>
      <c r="H222" s="2">
        <f t="shared" si="6"/>
        <v>0</v>
      </c>
      <c r="I222"/>
    </row>
    <row r="223" spans="1:9">
      <c r="A223" s="1" t="s">
        <v>2906</v>
      </c>
      <c r="B223" s="1" t="s">
        <v>153</v>
      </c>
      <c r="C223" s="1" t="s">
        <v>2926</v>
      </c>
      <c r="D223" s="2">
        <v>47169.81</v>
      </c>
      <c r="H223" s="2">
        <f t="shared" si="6"/>
        <v>47169.81</v>
      </c>
      <c r="I223"/>
    </row>
    <row r="224" spans="1:9">
      <c r="A224" s="1" t="s">
        <v>2906</v>
      </c>
      <c r="B224" s="1" t="s">
        <v>154</v>
      </c>
      <c r="C224" s="1" t="s">
        <v>2926</v>
      </c>
      <c r="H224" s="2">
        <f t="shared" si="6"/>
        <v>0</v>
      </c>
      <c r="I224"/>
    </row>
    <row r="225" spans="1:8">
      <c r="A225" s="1" t="s">
        <v>2906</v>
      </c>
      <c r="B225" s="1" t="s">
        <v>155</v>
      </c>
      <c r="C225" s="1" t="s">
        <v>2926</v>
      </c>
      <c r="H225" s="2">
        <f t="shared" si="6"/>
        <v>0</v>
      </c>
    </row>
    <row r="226" spans="1:9">
      <c r="A226" s="1" t="s">
        <v>2906</v>
      </c>
      <c r="B226" s="1" t="s">
        <v>156</v>
      </c>
      <c r="C226" s="1" t="s">
        <v>2926</v>
      </c>
      <c r="D226" s="2">
        <v>47169.81</v>
      </c>
      <c r="H226" s="2">
        <f t="shared" si="6"/>
        <v>47169.81</v>
      </c>
      <c r="I226"/>
    </row>
    <row r="227" spans="1:9">
      <c r="A227" s="1" t="s">
        <v>2906</v>
      </c>
      <c r="B227" s="1" t="s">
        <v>157</v>
      </c>
      <c r="C227" s="1" t="s">
        <v>2926</v>
      </c>
      <c r="H227" s="2">
        <f t="shared" si="6"/>
        <v>0</v>
      </c>
      <c r="I227"/>
    </row>
    <row r="228" spans="1:9">
      <c r="A228" s="1" t="s">
        <v>2906</v>
      </c>
      <c r="B228" s="1" t="s">
        <v>158</v>
      </c>
      <c r="C228" s="1" t="s">
        <v>2926</v>
      </c>
      <c r="D228" s="2">
        <v>-20919.37</v>
      </c>
      <c r="H228" s="2">
        <f t="shared" si="6"/>
        <v>-20919.37</v>
      </c>
      <c r="I228"/>
    </row>
    <row r="229" spans="1:9">
      <c r="A229" s="1" t="s">
        <v>2906</v>
      </c>
      <c r="B229" s="1" t="s">
        <v>159</v>
      </c>
      <c r="C229" s="1" t="s">
        <v>2926</v>
      </c>
      <c r="H229" s="2">
        <f t="shared" si="6"/>
        <v>0</v>
      </c>
      <c r="I229"/>
    </row>
    <row r="230" spans="1:9">
      <c r="A230" s="1" t="s">
        <v>2908</v>
      </c>
      <c r="B230" s="1" t="s">
        <v>148</v>
      </c>
      <c r="C230" s="1" t="s">
        <v>2892</v>
      </c>
      <c r="D230" s="15">
        <v>43.35</v>
      </c>
      <c r="E230" s="15">
        <v>17574010</v>
      </c>
      <c r="F230" s="15">
        <v>899508.15</v>
      </c>
      <c r="G230" s="15">
        <v>35207.9</v>
      </c>
      <c r="H230" s="2">
        <f t="shared" si="6"/>
        <v>18508769.4</v>
      </c>
      <c r="I230"/>
    </row>
    <row r="231" spans="1:9">
      <c r="A231" s="1" t="s">
        <v>2908</v>
      </c>
      <c r="B231" s="1" t="s">
        <v>149</v>
      </c>
      <c r="C231" s="1" t="s">
        <v>2892</v>
      </c>
      <c r="D231" s="15">
        <v>137.88</v>
      </c>
      <c r="E231" s="15">
        <v>18694160</v>
      </c>
      <c r="F231" s="15">
        <v>569146.799999999</v>
      </c>
      <c r="G231" s="15">
        <v>44718.33</v>
      </c>
      <c r="H231" s="2">
        <f t="shared" si="6"/>
        <v>19308163.01</v>
      </c>
      <c r="I231"/>
    </row>
    <row r="232" spans="1:9">
      <c r="A232" s="1" t="s">
        <v>2908</v>
      </c>
      <c r="B232" s="1" t="s">
        <v>150</v>
      </c>
      <c r="C232" s="1" t="s">
        <v>2892</v>
      </c>
      <c r="D232" s="15">
        <v>67.16</v>
      </c>
      <c r="E232" s="15">
        <v>25157070</v>
      </c>
      <c r="F232" s="15">
        <v>530665.619999999</v>
      </c>
      <c r="G232" s="15">
        <v>43051.07</v>
      </c>
      <c r="H232" s="2">
        <f t="shared" si="6"/>
        <v>25730853.85</v>
      </c>
      <c r="I232"/>
    </row>
    <row r="233" spans="1:9">
      <c r="A233" s="1" t="s">
        <v>2908</v>
      </c>
      <c r="B233" s="1" t="s">
        <v>151</v>
      </c>
      <c r="C233" s="1" t="s">
        <v>2892</v>
      </c>
      <c r="D233" s="15">
        <v>261.03</v>
      </c>
      <c r="E233" s="15">
        <v>5909174.4</v>
      </c>
      <c r="F233" s="15">
        <v>336932.92</v>
      </c>
      <c r="G233" s="15">
        <v>35076.03</v>
      </c>
      <c r="H233" s="2">
        <f t="shared" si="6"/>
        <v>6281444.38</v>
      </c>
      <c r="I233"/>
    </row>
    <row r="234" spans="1:9">
      <c r="A234" s="1" t="s">
        <v>2908</v>
      </c>
      <c r="B234" s="1" t="s">
        <v>152</v>
      </c>
      <c r="C234" s="1" t="s">
        <v>2892</v>
      </c>
      <c r="D234" s="15">
        <v>17.34</v>
      </c>
      <c r="E234" s="15">
        <v>4460150.3</v>
      </c>
      <c r="F234" s="15">
        <v>81446.95</v>
      </c>
      <c r="G234" s="15">
        <v>69520.34</v>
      </c>
      <c r="H234" s="2">
        <f t="shared" si="6"/>
        <v>4611134.93</v>
      </c>
      <c r="I234"/>
    </row>
    <row r="235" spans="1:9">
      <c r="A235" s="1" t="s">
        <v>2908</v>
      </c>
      <c r="B235" s="1" t="s">
        <v>153</v>
      </c>
      <c r="C235" s="1" t="s">
        <v>2892</v>
      </c>
      <c r="D235" s="15">
        <v>0</v>
      </c>
      <c r="E235" s="15">
        <v>1322982.4</v>
      </c>
      <c r="F235" s="15">
        <v>195650.77</v>
      </c>
      <c r="G235" s="15">
        <v>68473.4</v>
      </c>
      <c r="H235" s="2">
        <f t="shared" si="6"/>
        <v>1587106.57</v>
      </c>
      <c r="I235"/>
    </row>
    <row r="236" spans="1:9">
      <c r="A236" s="1" t="s">
        <v>2908</v>
      </c>
      <c r="B236" s="1" t="s">
        <v>154</v>
      </c>
      <c r="C236" s="1" t="s">
        <v>2892</v>
      </c>
      <c r="D236" s="15">
        <v>36</v>
      </c>
      <c r="E236" s="15">
        <v>2661740</v>
      </c>
      <c r="F236" s="15">
        <v>43277.7</v>
      </c>
      <c r="G236" s="15">
        <v>58178.4</v>
      </c>
      <c r="H236" s="2">
        <f t="shared" si="6"/>
        <v>2763232.1</v>
      </c>
      <c r="I236"/>
    </row>
    <row r="237" spans="1:8">
      <c r="A237" s="1" t="s">
        <v>2908</v>
      </c>
      <c r="B237" s="1" t="s">
        <v>155</v>
      </c>
      <c r="C237" s="1" t="s">
        <v>2892</v>
      </c>
      <c r="D237" s="15"/>
      <c r="E237" s="15">
        <v>7118631</v>
      </c>
      <c r="F237" s="15">
        <v>43570.1</v>
      </c>
      <c r="G237" s="15">
        <v>25396.25</v>
      </c>
      <c r="H237" s="2">
        <f t="shared" si="6"/>
        <v>7187597.35</v>
      </c>
    </row>
    <row r="238" spans="1:9">
      <c r="A238" s="1" t="s">
        <v>2908</v>
      </c>
      <c r="B238" s="1" t="s">
        <v>156</v>
      </c>
      <c r="C238" s="1" t="s">
        <v>2892</v>
      </c>
      <c r="D238" s="15">
        <v>3.96</v>
      </c>
      <c r="E238" s="15">
        <v>4438941.5</v>
      </c>
      <c r="F238" s="15">
        <v>9143275.45</v>
      </c>
      <c r="G238" s="15">
        <v>33389.7</v>
      </c>
      <c r="H238" s="2">
        <f t="shared" si="6"/>
        <v>13615610.61</v>
      </c>
      <c r="I238"/>
    </row>
    <row r="239" spans="1:9">
      <c r="A239" s="1" t="s">
        <v>2908</v>
      </c>
      <c r="B239" s="1" t="s">
        <v>157</v>
      </c>
      <c r="C239" s="1" t="s">
        <v>2892</v>
      </c>
      <c r="D239" s="15">
        <v>34812.38</v>
      </c>
      <c r="E239" s="15">
        <v>99739361.94</v>
      </c>
      <c r="F239" s="15">
        <v>371495.41</v>
      </c>
      <c r="G239" s="15">
        <v>2619919.12</v>
      </c>
      <c r="H239" s="2">
        <f t="shared" si="6"/>
        <v>102765588.85</v>
      </c>
      <c r="I239"/>
    </row>
    <row r="240" spans="1:9">
      <c r="A240" s="1" t="s">
        <v>2908</v>
      </c>
      <c r="B240" s="1" t="s">
        <v>158</v>
      </c>
      <c r="C240" s="1" t="s">
        <v>2892</v>
      </c>
      <c r="D240" s="15">
        <v>237</v>
      </c>
      <c r="E240" s="15">
        <v>197434258</v>
      </c>
      <c r="F240" s="15">
        <v>689992.75</v>
      </c>
      <c r="G240" s="15">
        <v>1002437.11</v>
      </c>
      <c r="H240" s="2">
        <f t="shared" si="6"/>
        <v>199126924.86</v>
      </c>
      <c r="I240"/>
    </row>
    <row r="241" spans="1:9">
      <c r="A241" s="1" t="s">
        <v>2908</v>
      </c>
      <c r="B241" s="1" t="s">
        <v>159</v>
      </c>
      <c r="C241" s="1" t="s">
        <v>2892</v>
      </c>
      <c r="D241" s="15"/>
      <c r="E241" s="15">
        <v>91857171.64</v>
      </c>
      <c r="F241" s="15">
        <v>1685520.5</v>
      </c>
      <c r="G241" s="15">
        <v>573700.61</v>
      </c>
      <c r="H241" s="2">
        <f t="shared" si="6"/>
        <v>94116392.75</v>
      </c>
      <c r="I241"/>
    </row>
    <row r="242" spans="1:9">
      <c r="A242" s="1" t="s">
        <v>2908</v>
      </c>
      <c r="B242" s="1" t="s">
        <v>148</v>
      </c>
      <c r="C242" s="1" t="s">
        <v>2899</v>
      </c>
      <c r="D242" s="2">
        <v>51</v>
      </c>
      <c r="E242" s="2">
        <v>17516197.3</v>
      </c>
      <c r="F242" s="2">
        <v>840469.699999999</v>
      </c>
      <c r="G242" s="2">
        <v>29854.65</v>
      </c>
      <c r="H242" s="2">
        <f t="shared" si="6"/>
        <v>18386572.65</v>
      </c>
      <c r="I242"/>
    </row>
    <row r="243" spans="1:9">
      <c r="A243" s="1" t="s">
        <v>2908</v>
      </c>
      <c r="B243" s="1" t="s">
        <v>149</v>
      </c>
      <c r="C243" s="1" t="s">
        <v>2899</v>
      </c>
      <c r="D243" s="2">
        <v>153</v>
      </c>
      <c r="E243" s="2">
        <v>18638064.85</v>
      </c>
      <c r="F243" s="2">
        <v>603504.75</v>
      </c>
      <c r="G243" s="2">
        <v>21897.78</v>
      </c>
      <c r="H243" s="2">
        <f t="shared" si="6"/>
        <v>19263620.38</v>
      </c>
      <c r="I243"/>
    </row>
    <row r="244" spans="1:9">
      <c r="A244" s="1" t="s">
        <v>2908</v>
      </c>
      <c r="B244" s="1" t="s">
        <v>150</v>
      </c>
      <c r="C244" s="1" t="s">
        <v>2899</v>
      </c>
      <c r="D244" s="2">
        <v>93.5</v>
      </c>
      <c r="E244" s="2">
        <v>25063016.33</v>
      </c>
      <c r="F244" s="2">
        <v>578268.219999998</v>
      </c>
      <c r="G244" s="2">
        <v>39809</v>
      </c>
      <c r="H244" s="2">
        <f t="shared" si="6"/>
        <v>25681187.05</v>
      </c>
      <c r="I244"/>
    </row>
    <row r="245" spans="1:9">
      <c r="A245" s="1" t="s">
        <v>2908</v>
      </c>
      <c r="B245" s="1" t="s">
        <v>151</v>
      </c>
      <c r="C245" s="1" t="s">
        <v>2899</v>
      </c>
      <c r="D245" s="2">
        <v>257</v>
      </c>
      <c r="E245" s="2">
        <v>5884465.69</v>
      </c>
      <c r="F245" s="2">
        <v>334169.1</v>
      </c>
      <c r="G245" s="2">
        <v>26155.65</v>
      </c>
      <c r="H245" s="2">
        <f t="shared" si="6"/>
        <v>6245047.44</v>
      </c>
      <c r="I245"/>
    </row>
    <row r="246" spans="1:9">
      <c r="A246" s="1" t="s">
        <v>2908</v>
      </c>
      <c r="B246" s="1" t="s">
        <v>152</v>
      </c>
      <c r="C246" s="1" t="s">
        <v>2899</v>
      </c>
      <c r="D246" s="2">
        <v>34</v>
      </c>
      <c r="E246" s="2">
        <v>4442414.9</v>
      </c>
      <c r="F246" s="2">
        <v>86415.3</v>
      </c>
      <c r="G246" s="2">
        <v>64249.8</v>
      </c>
      <c r="H246" s="2">
        <f t="shared" si="6"/>
        <v>4593114</v>
      </c>
      <c r="I246"/>
    </row>
    <row r="247" spans="1:9">
      <c r="A247" s="1" t="s">
        <v>2908</v>
      </c>
      <c r="B247" s="1" t="s">
        <v>153</v>
      </c>
      <c r="C247" s="1" t="s">
        <v>2899</v>
      </c>
      <c r="D247" s="2">
        <v>0</v>
      </c>
      <c r="E247" s="2">
        <v>1313995.88</v>
      </c>
      <c r="F247" s="2">
        <v>156943.5</v>
      </c>
      <c r="G247" s="2">
        <v>63201</v>
      </c>
      <c r="H247" s="2">
        <f t="shared" si="6"/>
        <v>1534140.38</v>
      </c>
      <c r="I247"/>
    </row>
    <row r="248" spans="1:9">
      <c r="A248" s="1" t="s">
        <v>2908</v>
      </c>
      <c r="B248" s="1" t="s">
        <v>154</v>
      </c>
      <c r="C248" s="1" t="s">
        <v>2899</v>
      </c>
      <c r="D248" s="2">
        <v>34</v>
      </c>
      <c r="E248" s="2">
        <v>2642788.7</v>
      </c>
      <c r="F248" s="2">
        <v>36372</v>
      </c>
      <c r="G248" s="2">
        <v>54066.9</v>
      </c>
      <c r="H248" s="2">
        <f t="shared" si="6"/>
        <v>2733261.6</v>
      </c>
      <c r="I248"/>
    </row>
    <row r="249" spans="1:8">
      <c r="A249" s="1" t="s">
        <v>2908</v>
      </c>
      <c r="B249" s="1" t="s">
        <v>155</v>
      </c>
      <c r="C249" s="1" t="s">
        <v>2899</v>
      </c>
      <c r="E249" s="2">
        <v>7085760.82</v>
      </c>
      <c r="F249" s="2">
        <v>35438.75</v>
      </c>
      <c r="G249" s="2">
        <v>23612.67</v>
      </c>
      <c r="H249" s="2">
        <f t="shared" si="6"/>
        <v>7144812.24</v>
      </c>
    </row>
    <row r="250" spans="1:9">
      <c r="A250" s="1" t="s">
        <v>2908</v>
      </c>
      <c r="B250" s="1" t="s">
        <v>156</v>
      </c>
      <c r="C250" s="1" t="s">
        <v>2899</v>
      </c>
      <c r="D250" s="2">
        <v>3.96</v>
      </c>
      <c r="E250" s="2">
        <v>4440114.9</v>
      </c>
      <c r="F250" s="2">
        <v>8382330.75</v>
      </c>
      <c r="G250" s="2">
        <v>27266.95</v>
      </c>
      <c r="H250" s="2">
        <f t="shared" si="6"/>
        <v>12849716.56</v>
      </c>
      <c r="I250"/>
    </row>
    <row r="251" spans="1:9">
      <c r="A251" s="1" t="s">
        <v>2908</v>
      </c>
      <c r="B251" s="1" t="s">
        <v>157</v>
      </c>
      <c r="C251" s="1" t="s">
        <v>2899</v>
      </c>
      <c r="D251" s="2">
        <v>34811.38</v>
      </c>
      <c r="E251" s="2">
        <v>99098933.37</v>
      </c>
      <c r="F251" s="2">
        <v>288189.91</v>
      </c>
      <c r="G251" s="2">
        <v>1849075.67</v>
      </c>
      <c r="H251" s="2">
        <f t="shared" si="6"/>
        <v>101271010.33</v>
      </c>
      <c r="I251"/>
    </row>
    <row r="252" spans="1:9">
      <c r="A252" s="1" t="s">
        <v>2908</v>
      </c>
      <c r="B252" s="1" t="s">
        <v>158</v>
      </c>
      <c r="C252" s="1" t="s">
        <v>2899</v>
      </c>
      <c r="D252" s="2">
        <v>136.43</v>
      </c>
      <c r="E252" s="2">
        <v>195791064.96</v>
      </c>
      <c r="F252" s="2">
        <v>814856.8</v>
      </c>
      <c r="G252" s="2">
        <v>823945.9</v>
      </c>
      <c r="H252" s="2">
        <f t="shared" si="6"/>
        <v>197430004.09</v>
      </c>
      <c r="I252"/>
    </row>
    <row r="253" spans="1:9">
      <c r="A253" s="1" t="s">
        <v>2908</v>
      </c>
      <c r="B253" s="1" t="s">
        <v>159</v>
      </c>
      <c r="C253" s="1" t="s">
        <v>2899</v>
      </c>
      <c r="E253" s="2">
        <v>91094522.2848</v>
      </c>
      <c r="F253" s="2">
        <v>1717860.749</v>
      </c>
      <c r="G253" s="2">
        <v>536550.53</v>
      </c>
      <c r="H253" s="2">
        <f t="shared" si="6"/>
        <v>93348933.5638</v>
      </c>
      <c r="I253"/>
    </row>
    <row r="254" spans="1:9">
      <c r="A254" s="1" t="s">
        <v>2908</v>
      </c>
      <c r="B254" s="1" t="s">
        <v>148</v>
      </c>
      <c r="C254" s="1" t="s">
        <v>2896</v>
      </c>
      <c r="D254" s="2">
        <v>2744207.1</v>
      </c>
      <c r="E254" s="2">
        <v>1901141.78</v>
      </c>
      <c r="F254" s="2">
        <v>2033.41</v>
      </c>
      <c r="G254" s="2">
        <v>9584.88</v>
      </c>
      <c r="H254" s="2">
        <f t="shared" si="6"/>
        <v>4656967.17</v>
      </c>
      <c r="I254"/>
    </row>
    <row r="255" spans="1:9">
      <c r="A255" s="1" t="s">
        <v>2908</v>
      </c>
      <c r="B255" s="1" t="s">
        <v>149</v>
      </c>
      <c r="C255" s="1" t="s">
        <v>2896</v>
      </c>
      <c r="D255" s="2">
        <v>1410838.01</v>
      </c>
      <c r="E255" s="2">
        <v>1680062.61</v>
      </c>
      <c r="F255" s="2">
        <v>8522.86</v>
      </c>
      <c r="G255" s="2">
        <v>275911.71</v>
      </c>
      <c r="H255" s="2">
        <f t="shared" si="6"/>
        <v>3375335.19</v>
      </c>
      <c r="I255"/>
    </row>
    <row r="256" spans="1:9">
      <c r="A256" s="1" t="s">
        <v>2908</v>
      </c>
      <c r="B256" s="1" t="s">
        <v>150</v>
      </c>
      <c r="C256" s="1" t="s">
        <v>2896</v>
      </c>
      <c r="D256" s="2">
        <v>1493269.14</v>
      </c>
      <c r="E256" s="2">
        <v>2331558.42</v>
      </c>
      <c r="F256" s="2">
        <v>8064.57</v>
      </c>
      <c r="G256" s="2">
        <v>4598.31</v>
      </c>
      <c r="H256" s="2">
        <f t="shared" si="6"/>
        <v>3837490.44</v>
      </c>
      <c r="I256"/>
    </row>
    <row r="257" spans="1:9">
      <c r="A257" s="1" t="s">
        <v>2908</v>
      </c>
      <c r="B257" s="1" t="s">
        <v>151</v>
      </c>
      <c r="C257" s="1" t="s">
        <v>2896</v>
      </c>
      <c r="D257" s="2">
        <v>1244409.41</v>
      </c>
      <c r="E257" s="2">
        <v>3097488.32</v>
      </c>
      <c r="F257" s="2">
        <v>34482.73</v>
      </c>
      <c r="G257" s="2">
        <v>92321.52</v>
      </c>
      <c r="H257" s="2">
        <f t="shared" si="6"/>
        <v>4468701.98</v>
      </c>
      <c r="I257"/>
    </row>
    <row r="258" spans="1:9">
      <c r="A258" s="1" t="s">
        <v>2908</v>
      </c>
      <c r="B258" s="1" t="s">
        <v>152</v>
      </c>
      <c r="C258" s="1" t="s">
        <v>2896</v>
      </c>
      <c r="D258" s="2">
        <v>1146330.23</v>
      </c>
      <c r="E258" s="2">
        <v>2778033.98</v>
      </c>
      <c r="F258" s="2">
        <v>12096.99</v>
      </c>
      <c r="G258" s="2">
        <v>2951.31</v>
      </c>
      <c r="H258" s="2">
        <f t="shared" ref="H258:H321" si="7">SUM(D258:G258)</f>
        <v>3939412.51</v>
      </c>
      <c r="I258"/>
    </row>
    <row r="259" spans="1:9">
      <c r="A259" s="1" t="s">
        <v>2908</v>
      </c>
      <c r="B259" s="1" t="s">
        <v>153</v>
      </c>
      <c r="C259" s="1" t="s">
        <v>2896</v>
      </c>
      <c r="D259" s="2">
        <v>1225122.6</v>
      </c>
      <c r="E259" s="2">
        <v>2638107.49</v>
      </c>
      <c r="F259" s="2">
        <v>438.3</v>
      </c>
      <c r="G259" s="2">
        <v>3042.4</v>
      </c>
      <c r="H259" s="2">
        <f t="shared" si="7"/>
        <v>3866710.79</v>
      </c>
      <c r="I259"/>
    </row>
    <row r="260" spans="1:9">
      <c r="A260" s="1" t="s">
        <v>2908</v>
      </c>
      <c r="B260" s="1" t="s">
        <v>154</v>
      </c>
      <c r="C260" s="1" t="s">
        <v>2896</v>
      </c>
      <c r="D260" s="2">
        <v>1104090.31</v>
      </c>
      <c r="E260" s="2">
        <v>2645178.73</v>
      </c>
      <c r="F260" s="2">
        <v>1927.51</v>
      </c>
      <c r="G260" s="2">
        <v>1355.12</v>
      </c>
      <c r="H260" s="2">
        <f t="shared" si="7"/>
        <v>3752551.67</v>
      </c>
      <c r="I260"/>
    </row>
    <row r="261" spans="1:8">
      <c r="A261" s="1" t="s">
        <v>2908</v>
      </c>
      <c r="B261" s="1" t="s">
        <v>155</v>
      </c>
      <c r="C261" s="1" t="s">
        <v>2896</v>
      </c>
      <c r="D261" s="2">
        <v>468032.74</v>
      </c>
      <c r="E261" s="2">
        <v>2420283.42</v>
      </c>
      <c r="F261" s="2">
        <v>3291.69</v>
      </c>
      <c r="H261" s="2">
        <f t="shared" si="7"/>
        <v>2891607.85</v>
      </c>
    </row>
    <row r="262" spans="1:9">
      <c r="A262" s="1" t="s">
        <v>2908</v>
      </c>
      <c r="B262" s="1" t="s">
        <v>156</v>
      </c>
      <c r="C262" s="1" t="s">
        <v>2896</v>
      </c>
      <c r="D262" s="2">
        <v>603983.34</v>
      </c>
      <c r="E262" s="2">
        <v>2306461.65</v>
      </c>
      <c r="F262" s="2">
        <v>3068.06</v>
      </c>
      <c r="H262" s="2">
        <f t="shared" si="7"/>
        <v>2913513.05</v>
      </c>
      <c r="I262"/>
    </row>
    <row r="263" spans="1:9">
      <c r="A263" s="1" t="s">
        <v>2908</v>
      </c>
      <c r="B263" s="1" t="s">
        <v>157</v>
      </c>
      <c r="C263" s="1" t="s">
        <v>2896</v>
      </c>
      <c r="D263" s="2">
        <v>612348.25</v>
      </c>
      <c r="E263" s="2">
        <v>2704548.12</v>
      </c>
      <c r="F263" s="2">
        <v>2090.12</v>
      </c>
      <c r="G263" s="2">
        <v>14627.39</v>
      </c>
      <c r="H263" s="2">
        <f t="shared" si="7"/>
        <v>3333613.88</v>
      </c>
      <c r="I263"/>
    </row>
    <row r="264" spans="1:9">
      <c r="A264" s="1" t="s">
        <v>2908</v>
      </c>
      <c r="B264" s="1" t="s">
        <v>158</v>
      </c>
      <c r="C264" s="1" t="s">
        <v>2896</v>
      </c>
      <c r="D264" s="2">
        <v>353556.02</v>
      </c>
      <c r="E264" s="2">
        <v>1692263.44</v>
      </c>
      <c r="F264" s="2">
        <v>336.28</v>
      </c>
      <c r="G264" s="2">
        <v>160.67</v>
      </c>
      <c r="H264" s="2">
        <f t="shared" si="7"/>
        <v>2046316.41</v>
      </c>
      <c r="I264"/>
    </row>
    <row r="265" spans="1:9">
      <c r="A265" s="1" t="s">
        <v>2908</v>
      </c>
      <c r="B265" s="1" t="s">
        <v>159</v>
      </c>
      <c r="C265" s="1" t="s">
        <v>2896</v>
      </c>
      <c r="D265" s="2">
        <v>170659.29</v>
      </c>
      <c r="E265" s="2">
        <v>1676122.43</v>
      </c>
      <c r="F265" s="2">
        <v>1136066.34</v>
      </c>
      <c r="G265" s="2">
        <v>22.35</v>
      </c>
      <c r="H265" s="2">
        <f t="shared" si="7"/>
        <v>2982870.41</v>
      </c>
      <c r="I265"/>
    </row>
    <row r="266" spans="1:9">
      <c r="A266" s="1" t="s">
        <v>2908</v>
      </c>
      <c r="B266" s="1" t="s">
        <v>148</v>
      </c>
      <c r="C266" s="1" t="s">
        <v>2893</v>
      </c>
      <c r="D266" s="2">
        <v>3167406.5</v>
      </c>
      <c r="E266" s="2">
        <v>1887061.26</v>
      </c>
      <c r="F266" s="2">
        <v>3650.12</v>
      </c>
      <c r="G266" s="2">
        <v>8786.24</v>
      </c>
      <c r="H266" s="2">
        <f t="shared" si="7"/>
        <v>5066904.12</v>
      </c>
      <c r="I266"/>
    </row>
    <row r="267" spans="1:9">
      <c r="A267" s="1" t="s">
        <v>2908</v>
      </c>
      <c r="B267" s="1" t="s">
        <v>149</v>
      </c>
      <c r="C267" s="1" t="s">
        <v>2893</v>
      </c>
      <c r="D267" s="2">
        <v>1408884.45</v>
      </c>
      <c r="E267" s="2">
        <v>1651151.93</v>
      </c>
      <c r="F267" s="2">
        <v>15338.15</v>
      </c>
      <c r="G267" s="2">
        <v>335377.17</v>
      </c>
      <c r="H267" s="2">
        <f t="shared" si="7"/>
        <v>3410751.7</v>
      </c>
      <c r="I267"/>
    </row>
    <row r="268" spans="1:9">
      <c r="A268" s="1" t="s">
        <v>2908</v>
      </c>
      <c r="B268" s="1" t="s">
        <v>150</v>
      </c>
      <c r="C268" s="1" t="s">
        <v>2893</v>
      </c>
      <c r="D268" s="2">
        <v>1498062.7</v>
      </c>
      <c r="E268" s="2">
        <v>2300772.69</v>
      </c>
      <c r="F268" s="2">
        <v>54452.6</v>
      </c>
      <c r="G268" s="2">
        <v>-35677.35</v>
      </c>
      <c r="H268" s="2">
        <f t="shared" si="7"/>
        <v>3817610.64</v>
      </c>
      <c r="I268"/>
    </row>
    <row r="269" spans="1:9">
      <c r="A269" s="1" t="s">
        <v>2908</v>
      </c>
      <c r="B269" s="1" t="s">
        <v>151</v>
      </c>
      <c r="C269" s="1" t="s">
        <v>2893</v>
      </c>
      <c r="D269" s="2">
        <v>1236122.64</v>
      </c>
      <c r="E269" s="2">
        <v>3064350.88</v>
      </c>
      <c r="F269" s="2">
        <v>67398.28</v>
      </c>
      <c r="G269" s="2">
        <v>77769.05</v>
      </c>
      <c r="H269" s="2">
        <f t="shared" si="7"/>
        <v>4445640.85</v>
      </c>
      <c r="I269"/>
    </row>
    <row r="270" spans="1:9">
      <c r="A270" s="1" t="s">
        <v>2908</v>
      </c>
      <c r="B270" s="1" t="s">
        <v>152</v>
      </c>
      <c r="C270" s="1" t="s">
        <v>2893</v>
      </c>
      <c r="D270" s="2">
        <v>1153056.58</v>
      </c>
      <c r="E270" s="2">
        <v>2737160.04</v>
      </c>
      <c r="F270" s="2">
        <v>24868.9</v>
      </c>
      <c r="G270" s="2">
        <v>2821.91</v>
      </c>
      <c r="H270" s="2">
        <f t="shared" si="7"/>
        <v>3917907.43</v>
      </c>
      <c r="I270"/>
    </row>
    <row r="271" spans="1:9">
      <c r="A271" s="1" t="s">
        <v>2908</v>
      </c>
      <c r="B271" s="1" t="s">
        <v>153</v>
      </c>
      <c r="C271" s="1" t="s">
        <v>2893</v>
      </c>
      <c r="D271" s="2">
        <v>1225971.65</v>
      </c>
      <c r="E271" s="2">
        <v>2595112.26</v>
      </c>
      <c r="F271" s="2">
        <v>296.47</v>
      </c>
      <c r="G271" s="2">
        <v>2934.02</v>
      </c>
      <c r="H271" s="2">
        <f t="shared" si="7"/>
        <v>3824314.4</v>
      </c>
      <c r="I271"/>
    </row>
    <row r="272" spans="1:9">
      <c r="A272" s="1" t="s">
        <v>2908</v>
      </c>
      <c r="B272" s="1" t="s">
        <v>154</v>
      </c>
      <c r="C272" s="1" t="s">
        <v>2893</v>
      </c>
      <c r="D272" s="2">
        <v>1103537.75</v>
      </c>
      <c r="E272" s="2">
        <v>2617005.98</v>
      </c>
      <c r="F272" s="2">
        <v>1616.93</v>
      </c>
      <c r="G272" s="2">
        <v>1310.21</v>
      </c>
      <c r="H272" s="2">
        <f t="shared" si="7"/>
        <v>3723470.87</v>
      </c>
      <c r="I272"/>
    </row>
    <row r="273" spans="1:8">
      <c r="A273" s="1" t="s">
        <v>2908</v>
      </c>
      <c r="B273" s="1" t="s">
        <v>155</v>
      </c>
      <c r="C273" s="1" t="s">
        <v>2893</v>
      </c>
      <c r="D273" s="2">
        <v>479735.4</v>
      </c>
      <c r="E273" s="2">
        <v>2421294.8</v>
      </c>
      <c r="F273" s="2">
        <v>2781.53</v>
      </c>
      <c r="H273" s="2">
        <f t="shared" si="7"/>
        <v>2903811.73</v>
      </c>
    </row>
    <row r="274" spans="1:9">
      <c r="A274" s="1" t="s">
        <v>2908</v>
      </c>
      <c r="B274" s="1" t="s">
        <v>156</v>
      </c>
      <c r="C274" s="1" t="s">
        <v>2893</v>
      </c>
      <c r="D274" s="2">
        <v>605867.92</v>
      </c>
      <c r="E274" s="2">
        <v>2282096.77</v>
      </c>
      <c r="F274" s="2">
        <v>2534.54</v>
      </c>
      <c r="H274" s="2">
        <f t="shared" si="7"/>
        <v>2890499.23</v>
      </c>
      <c r="I274"/>
    </row>
    <row r="275" spans="1:9">
      <c r="A275" s="1" t="s">
        <v>2908</v>
      </c>
      <c r="B275" s="1" t="s">
        <v>157</v>
      </c>
      <c r="C275" s="1" t="s">
        <v>2893</v>
      </c>
      <c r="D275" s="2">
        <v>632867.93</v>
      </c>
      <c r="E275" s="2">
        <v>2632660.99</v>
      </c>
      <c r="F275" s="2">
        <v>1724.62</v>
      </c>
      <c r="G275" s="2">
        <v>13381.15</v>
      </c>
      <c r="H275" s="2">
        <f t="shared" si="7"/>
        <v>3280634.69</v>
      </c>
      <c r="I275"/>
    </row>
    <row r="276" spans="1:9">
      <c r="A276" s="1" t="s">
        <v>2908</v>
      </c>
      <c r="B276" s="1" t="s">
        <v>158</v>
      </c>
      <c r="C276" s="1" t="s">
        <v>2893</v>
      </c>
      <c r="D276" s="2">
        <v>359796.24</v>
      </c>
      <c r="E276" s="2">
        <v>1682872.7</v>
      </c>
      <c r="F276" s="2">
        <v>422.74</v>
      </c>
      <c r="G276" s="2">
        <v>104.99</v>
      </c>
      <c r="H276" s="2">
        <f t="shared" si="7"/>
        <v>2043196.67</v>
      </c>
      <c r="I276"/>
    </row>
    <row r="277" spans="1:9">
      <c r="A277" s="1" t="s">
        <v>2908</v>
      </c>
      <c r="B277" s="1" t="s">
        <v>159</v>
      </c>
      <c r="C277" s="1" t="s">
        <v>2893</v>
      </c>
      <c r="D277" s="2">
        <v>174424.52</v>
      </c>
      <c r="E277" s="2">
        <v>1688294.24</v>
      </c>
      <c r="F277" s="2">
        <v>965791.21</v>
      </c>
      <c r="G277" s="2">
        <v>22.35</v>
      </c>
      <c r="H277" s="2">
        <f t="shared" si="7"/>
        <v>2828532.32</v>
      </c>
      <c r="I277"/>
    </row>
    <row r="278" spans="1:9">
      <c r="A278" s="1" t="s">
        <v>2908</v>
      </c>
      <c r="B278" s="1" t="s">
        <v>148</v>
      </c>
      <c r="C278" s="1" t="s">
        <v>2902</v>
      </c>
      <c r="H278" s="2">
        <f t="shared" si="7"/>
        <v>0</v>
      </c>
      <c r="I278"/>
    </row>
    <row r="279" spans="1:9">
      <c r="A279" s="1" t="s">
        <v>2908</v>
      </c>
      <c r="B279" s="1" t="s">
        <v>149</v>
      </c>
      <c r="C279" s="1" t="s">
        <v>2902</v>
      </c>
      <c r="H279" s="2">
        <f t="shared" si="7"/>
        <v>0</v>
      </c>
      <c r="I279"/>
    </row>
    <row r="280" spans="1:9">
      <c r="A280" s="1" t="s">
        <v>2908</v>
      </c>
      <c r="B280" s="1" t="s">
        <v>150</v>
      </c>
      <c r="C280" s="1" t="s">
        <v>2902</v>
      </c>
      <c r="H280" s="2">
        <f t="shared" si="7"/>
        <v>0</v>
      </c>
      <c r="I280"/>
    </row>
    <row r="281" spans="1:9">
      <c r="A281" s="1" t="s">
        <v>2908</v>
      </c>
      <c r="B281" s="1" t="s">
        <v>151</v>
      </c>
      <c r="C281" s="1" t="s">
        <v>2902</v>
      </c>
      <c r="H281" s="2">
        <f t="shared" si="7"/>
        <v>0</v>
      </c>
      <c r="I281"/>
    </row>
    <row r="282" spans="1:9">
      <c r="A282" s="1" t="s">
        <v>2908</v>
      </c>
      <c r="B282" s="1" t="s">
        <v>152</v>
      </c>
      <c r="C282" s="1" t="s">
        <v>2902</v>
      </c>
      <c r="H282" s="2">
        <f t="shared" si="7"/>
        <v>0</v>
      </c>
      <c r="I282"/>
    </row>
    <row r="283" spans="1:9">
      <c r="A283" s="1" t="s">
        <v>2908</v>
      </c>
      <c r="B283" s="1" t="s">
        <v>153</v>
      </c>
      <c r="C283" s="1" t="s">
        <v>2902</v>
      </c>
      <c r="H283" s="2">
        <f t="shared" si="7"/>
        <v>0</v>
      </c>
      <c r="I283"/>
    </row>
    <row r="284" spans="1:9">
      <c r="A284" s="1" t="s">
        <v>2908</v>
      </c>
      <c r="B284" s="1" t="s">
        <v>154</v>
      </c>
      <c r="C284" s="1" t="s">
        <v>2902</v>
      </c>
      <c r="H284" s="2">
        <f t="shared" si="7"/>
        <v>0</v>
      </c>
      <c r="I284"/>
    </row>
    <row r="285" spans="1:8">
      <c r="A285" s="1" t="s">
        <v>2908</v>
      </c>
      <c r="B285" s="1" t="s">
        <v>155</v>
      </c>
      <c r="C285" s="1" t="s">
        <v>2902</v>
      </c>
      <c r="H285" s="2">
        <f t="shared" si="7"/>
        <v>0</v>
      </c>
    </row>
    <row r="286" spans="1:9">
      <c r="A286" s="1" t="s">
        <v>2908</v>
      </c>
      <c r="B286" s="1" t="s">
        <v>156</v>
      </c>
      <c r="C286" s="1" t="s">
        <v>2902</v>
      </c>
      <c r="H286" s="2">
        <f t="shared" si="7"/>
        <v>0</v>
      </c>
      <c r="I286"/>
    </row>
    <row r="287" spans="1:9">
      <c r="A287" s="1" t="s">
        <v>2908</v>
      </c>
      <c r="B287" s="1" t="s">
        <v>157</v>
      </c>
      <c r="C287" s="1" t="s">
        <v>2902</v>
      </c>
      <c r="H287" s="2">
        <f t="shared" si="7"/>
        <v>0</v>
      </c>
      <c r="I287"/>
    </row>
    <row r="288" spans="1:9">
      <c r="A288" s="1" t="s">
        <v>2908</v>
      </c>
      <c r="B288" s="1" t="s">
        <v>158</v>
      </c>
      <c r="C288" s="1" t="s">
        <v>2902</v>
      </c>
      <c r="H288" s="2">
        <f t="shared" si="7"/>
        <v>0</v>
      </c>
      <c r="I288"/>
    </row>
    <row r="289" spans="1:9">
      <c r="A289" s="1" t="s">
        <v>2908</v>
      </c>
      <c r="B289" s="1" t="s">
        <v>159</v>
      </c>
      <c r="C289" s="1" t="s">
        <v>2902</v>
      </c>
      <c r="H289" s="2">
        <f t="shared" si="7"/>
        <v>0</v>
      </c>
      <c r="I289"/>
    </row>
    <row r="290" spans="1:9">
      <c r="A290" s="1" t="s">
        <v>2908</v>
      </c>
      <c r="B290" s="1" t="s">
        <v>148</v>
      </c>
      <c r="C290" s="1" t="s">
        <v>2904</v>
      </c>
      <c r="G290" s="2">
        <v>315628.77</v>
      </c>
      <c r="H290" s="2">
        <f t="shared" si="7"/>
        <v>315628.77</v>
      </c>
      <c r="I290"/>
    </row>
    <row r="291" spans="1:9">
      <c r="A291" s="1" t="s">
        <v>2908</v>
      </c>
      <c r="B291" s="1" t="s">
        <v>149</v>
      </c>
      <c r="C291" s="1" t="s">
        <v>2904</v>
      </c>
      <c r="G291" s="2">
        <v>58.88</v>
      </c>
      <c r="H291" s="2">
        <f t="shared" si="7"/>
        <v>58.88</v>
      </c>
      <c r="I291"/>
    </row>
    <row r="292" spans="1:9">
      <c r="A292" s="1" t="s">
        <v>2908</v>
      </c>
      <c r="B292" s="1" t="s">
        <v>150</v>
      </c>
      <c r="C292" s="1" t="s">
        <v>2904</v>
      </c>
      <c r="G292" s="2">
        <v>809573.37</v>
      </c>
      <c r="H292" s="2">
        <f t="shared" si="7"/>
        <v>809573.37</v>
      </c>
      <c r="I292"/>
    </row>
    <row r="293" spans="1:9">
      <c r="A293" s="1" t="s">
        <v>2908</v>
      </c>
      <c r="B293" s="1" t="s">
        <v>151</v>
      </c>
      <c r="C293" s="1" t="s">
        <v>2904</v>
      </c>
      <c r="G293" s="2">
        <v>2326439.79</v>
      </c>
      <c r="H293" s="2">
        <f t="shared" si="7"/>
        <v>2326439.79</v>
      </c>
      <c r="I293"/>
    </row>
    <row r="294" spans="1:9">
      <c r="A294" s="1" t="s">
        <v>2908</v>
      </c>
      <c r="B294" s="1" t="s">
        <v>152</v>
      </c>
      <c r="C294" s="1" t="s">
        <v>2904</v>
      </c>
      <c r="G294" s="2">
        <v>1127808.87</v>
      </c>
      <c r="H294" s="2">
        <f t="shared" si="7"/>
        <v>1127808.87</v>
      </c>
      <c r="I294"/>
    </row>
    <row r="295" spans="1:9">
      <c r="A295" s="1" t="s">
        <v>2908</v>
      </c>
      <c r="B295" s="1" t="s">
        <v>153</v>
      </c>
      <c r="C295" s="1" t="s">
        <v>2904</v>
      </c>
      <c r="G295" s="2">
        <v>305992.13</v>
      </c>
      <c r="H295" s="2">
        <f t="shared" si="7"/>
        <v>305992.13</v>
      </c>
      <c r="I295"/>
    </row>
    <row r="296" spans="1:9">
      <c r="A296" s="1" t="s">
        <v>2908</v>
      </c>
      <c r="B296" s="1" t="s">
        <v>154</v>
      </c>
      <c r="C296" s="1" t="s">
        <v>2904</v>
      </c>
      <c r="G296" s="2">
        <v>13794.13</v>
      </c>
      <c r="H296" s="2">
        <f t="shared" si="7"/>
        <v>13794.13</v>
      </c>
      <c r="I296"/>
    </row>
    <row r="297" spans="1:8">
      <c r="A297" s="1" t="s">
        <v>2908</v>
      </c>
      <c r="B297" s="1" t="s">
        <v>155</v>
      </c>
      <c r="C297" s="1" t="s">
        <v>2904</v>
      </c>
      <c r="G297" s="2">
        <v>22239.01</v>
      </c>
      <c r="H297" s="2">
        <f t="shared" si="7"/>
        <v>22239.01</v>
      </c>
    </row>
    <row r="298" spans="1:9">
      <c r="A298" s="1" t="s">
        <v>2908</v>
      </c>
      <c r="B298" s="1" t="s">
        <v>156</v>
      </c>
      <c r="C298" s="1" t="s">
        <v>2904</v>
      </c>
      <c r="G298" s="2">
        <v>18379.42</v>
      </c>
      <c r="H298" s="2">
        <f t="shared" si="7"/>
        <v>18379.42</v>
      </c>
      <c r="I298"/>
    </row>
    <row r="299" spans="1:9">
      <c r="A299" s="1" t="s">
        <v>2908</v>
      </c>
      <c r="B299" s="1" t="s">
        <v>157</v>
      </c>
      <c r="C299" s="1" t="s">
        <v>2904</v>
      </c>
      <c r="G299" s="2">
        <v>8529.24</v>
      </c>
      <c r="H299" s="2">
        <f t="shared" si="7"/>
        <v>8529.24</v>
      </c>
      <c r="I299"/>
    </row>
    <row r="300" spans="1:9">
      <c r="A300" s="1" t="s">
        <v>2908</v>
      </c>
      <c r="B300" s="1" t="s">
        <v>158</v>
      </c>
      <c r="C300" s="1" t="s">
        <v>2904</v>
      </c>
      <c r="G300" s="2">
        <v>6779.91</v>
      </c>
      <c r="H300" s="2">
        <f t="shared" si="7"/>
        <v>6779.91</v>
      </c>
      <c r="I300"/>
    </row>
    <row r="301" spans="1:9">
      <c r="A301" s="1" t="s">
        <v>2908</v>
      </c>
      <c r="B301" s="1" t="s">
        <v>159</v>
      </c>
      <c r="C301" s="1" t="s">
        <v>2904</v>
      </c>
      <c r="G301" s="2">
        <v>-5284.86</v>
      </c>
      <c r="H301" s="2">
        <f t="shared" si="7"/>
        <v>-5284.86</v>
      </c>
      <c r="I301"/>
    </row>
    <row r="302" spans="1:9">
      <c r="A302" s="1" t="s">
        <v>2908</v>
      </c>
      <c r="B302" s="1" t="s">
        <v>148</v>
      </c>
      <c r="C302" s="1" t="s">
        <v>2926</v>
      </c>
      <c r="G302" s="2">
        <v>64235.51</v>
      </c>
      <c r="H302" s="2">
        <f t="shared" si="7"/>
        <v>64235.51</v>
      </c>
      <c r="I302"/>
    </row>
    <row r="303" spans="1:9">
      <c r="A303" s="1" t="s">
        <v>2908</v>
      </c>
      <c r="B303" s="1" t="s">
        <v>149</v>
      </c>
      <c r="C303" s="1" t="s">
        <v>2926</v>
      </c>
      <c r="G303" s="2">
        <v>65498.34</v>
      </c>
      <c r="H303" s="2">
        <f t="shared" si="7"/>
        <v>65498.34</v>
      </c>
      <c r="I303"/>
    </row>
    <row r="304" spans="1:9">
      <c r="A304" s="1" t="s">
        <v>2908</v>
      </c>
      <c r="B304" s="1" t="s">
        <v>150</v>
      </c>
      <c r="C304" s="1" t="s">
        <v>2926</v>
      </c>
      <c r="G304" s="2">
        <v>1086893.52</v>
      </c>
      <c r="H304" s="2">
        <f t="shared" si="7"/>
        <v>1086893.52</v>
      </c>
      <c r="I304"/>
    </row>
    <row r="305" spans="1:9">
      <c r="A305" s="1" t="s">
        <v>2908</v>
      </c>
      <c r="B305" s="1" t="s">
        <v>151</v>
      </c>
      <c r="C305" s="1" t="s">
        <v>2926</v>
      </c>
      <c r="G305" s="2">
        <v>2353856.58</v>
      </c>
      <c r="H305" s="2">
        <f t="shared" si="7"/>
        <v>2353856.58</v>
      </c>
      <c r="I305"/>
    </row>
    <row r="306" spans="1:9">
      <c r="A306" s="1" t="s">
        <v>2908</v>
      </c>
      <c r="B306" s="1" t="s">
        <v>152</v>
      </c>
      <c r="C306" s="1" t="s">
        <v>2926</v>
      </c>
      <c r="G306" s="2">
        <v>1122608.33</v>
      </c>
      <c r="H306" s="2">
        <f t="shared" si="7"/>
        <v>1122608.33</v>
      </c>
      <c r="I306"/>
    </row>
    <row r="307" spans="1:9">
      <c r="A307" s="1" t="s">
        <v>2908</v>
      </c>
      <c r="B307" s="1" t="s">
        <v>153</v>
      </c>
      <c r="C307" s="1" t="s">
        <v>2926</v>
      </c>
      <c r="G307" s="2">
        <v>328713.65</v>
      </c>
      <c r="H307" s="2">
        <f t="shared" si="7"/>
        <v>328713.65</v>
      </c>
      <c r="I307"/>
    </row>
    <row r="308" spans="1:9">
      <c r="A308" s="1" t="s">
        <v>2908</v>
      </c>
      <c r="B308" s="1" t="s">
        <v>154</v>
      </c>
      <c r="C308" s="1" t="s">
        <v>2926</v>
      </c>
      <c r="G308" s="2">
        <v>29105.14</v>
      </c>
      <c r="H308" s="2">
        <f t="shared" si="7"/>
        <v>29105.14</v>
      </c>
      <c r="I308"/>
    </row>
    <row r="309" spans="1:8">
      <c r="A309" s="1" t="s">
        <v>2908</v>
      </c>
      <c r="B309" s="1" t="s">
        <v>155</v>
      </c>
      <c r="C309" s="1" t="s">
        <v>2926</v>
      </c>
      <c r="G309" s="2">
        <v>7399.17</v>
      </c>
      <c r="H309" s="2">
        <f t="shared" si="7"/>
        <v>7399.17</v>
      </c>
    </row>
    <row r="310" spans="1:9">
      <c r="A310" s="1" t="s">
        <v>2908</v>
      </c>
      <c r="B310" s="1" t="s">
        <v>156</v>
      </c>
      <c r="C310" s="1" t="s">
        <v>2926</v>
      </c>
      <c r="G310" s="2">
        <v>321618.83</v>
      </c>
      <c r="H310" s="2">
        <f t="shared" si="7"/>
        <v>321618.83</v>
      </c>
      <c r="I310"/>
    </row>
    <row r="311" spans="1:9">
      <c r="A311" s="1" t="s">
        <v>2908</v>
      </c>
      <c r="B311" s="1" t="s">
        <v>157</v>
      </c>
      <c r="C311" s="1" t="s">
        <v>2926</v>
      </c>
      <c r="G311" s="2">
        <v>724267.32</v>
      </c>
      <c r="H311" s="2">
        <f t="shared" si="7"/>
        <v>724267.32</v>
      </c>
      <c r="I311"/>
    </row>
    <row r="312" spans="1:9">
      <c r="A312" s="1" t="s">
        <v>2908</v>
      </c>
      <c r="B312" s="1" t="s">
        <v>158</v>
      </c>
      <c r="C312" s="1" t="s">
        <v>2926</v>
      </c>
      <c r="G312" s="2">
        <v>363392.17</v>
      </c>
      <c r="H312" s="2">
        <f t="shared" si="7"/>
        <v>363392.17</v>
      </c>
      <c r="I312"/>
    </row>
    <row r="313" spans="1:9">
      <c r="A313" s="1" t="s">
        <v>2908</v>
      </c>
      <c r="B313" s="1" t="s">
        <v>159</v>
      </c>
      <c r="C313" s="1" t="s">
        <v>2926</v>
      </c>
      <c r="G313" s="2">
        <v>138029.8</v>
      </c>
      <c r="H313" s="2">
        <f t="shared" si="7"/>
        <v>138029.8</v>
      </c>
      <c r="I313"/>
    </row>
    <row r="314" spans="1:9">
      <c r="A314" s="1" t="s">
        <v>2909</v>
      </c>
      <c r="B314" s="1" t="s">
        <v>148</v>
      </c>
      <c r="C314" s="1" t="s">
        <v>2892</v>
      </c>
      <c r="D314" s="2">
        <v>28948086.86</v>
      </c>
      <c r="F314" s="2">
        <v>1305406.76</v>
      </c>
      <c r="G314" s="2">
        <v>3657.72</v>
      </c>
      <c r="H314" s="2">
        <f t="shared" si="7"/>
        <v>30257151.34</v>
      </c>
      <c r="I314"/>
    </row>
    <row r="315" spans="1:9">
      <c r="A315" s="1" t="s">
        <v>2909</v>
      </c>
      <c r="B315" s="1" t="s">
        <v>149</v>
      </c>
      <c r="C315" s="1" t="s">
        <v>2892</v>
      </c>
      <c r="D315" s="2">
        <v>28326458.86</v>
      </c>
      <c r="F315" s="2">
        <v>750204.15</v>
      </c>
      <c r="G315" s="2">
        <v>6847.7</v>
      </c>
      <c r="H315" s="2">
        <f t="shared" si="7"/>
        <v>29083510.71</v>
      </c>
      <c r="I315"/>
    </row>
    <row r="316" spans="1:9">
      <c r="A316" s="1" t="s">
        <v>2909</v>
      </c>
      <c r="B316" s="1" t="s">
        <v>150</v>
      </c>
      <c r="C316" s="1" t="s">
        <v>2892</v>
      </c>
      <c r="D316" s="2">
        <v>16365109.22</v>
      </c>
      <c r="F316" s="2">
        <v>1121726.02</v>
      </c>
      <c r="G316" s="2">
        <v>4129.03</v>
      </c>
      <c r="H316" s="2">
        <f t="shared" si="7"/>
        <v>17490964.27</v>
      </c>
      <c r="I316"/>
    </row>
    <row r="317" spans="1:9">
      <c r="A317" s="1" t="s">
        <v>2909</v>
      </c>
      <c r="B317" s="1" t="s">
        <v>151</v>
      </c>
      <c r="C317" s="1" t="s">
        <v>2892</v>
      </c>
      <c r="D317" s="2">
        <v>17763504.46</v>
      </c>
      <c r="F317" s="2">
        <v>328833.12</v>
      </c>
      <c r="G317" s="2">
        <v>605.54</v>
      </c>
      <c r="H317" s="2">
        <f t="shared" si="7"/>
        <v>18092943.12</v>
      </c>
      <c r="I317"/>
    </row>
    <row r="318" spans="1:9">
      <c r="A318" s="1" t="s">
        <v>2909</v>
      </c>
      <c r="B318" s="1" t="s">
        <v>152</v>
      </c>
      <c r="C318" s="1" t="s">
        <v>2892</v>
      </c>
      <c r="D318" s="2">
        <v>15801681.1</v>
      </c>
      <c r="F318" s="2">
        <v>416921</v>
      </c>
      <c r="G318" s="2">
        <v>658.6</v>
      </c>
      <c r="H318" s="2">
        <f t="shared" si="7"/>
        <v>16219260.7</v>
      </c>
      <c r="I318"/>
    </row>
    <row r="319" spans="1:9">
      <c r="A319" s="1" t="s">
        <v>2909</v>
      </c>
      <c r="B319" s="1" t="s">
        <v>153</v>
      </c>
      <c r="C319" s="1" t="s">
        <v>2892</v>
      </c>
      <c r="D319" s="2">
        <v>11665393.93</v>
      </c>
      <c r="F319" s="2">
        <v>459069</v>
      </c>
      <c r="G319" s="2">
        <v>4567.63</v>
      </c>
      <c r="H319" s="2">
        <f t="shared" si="7"/>
        <v>12129030.56</v>
      </c>
      <c r="I319"/>
    </row>
    <row r="320" spans="1:9">
      <c r="A320" s="1" t="s">
        <v>2909</v>
      </c>
      <c r="B320" s="1" t="s">
        <v>154</v>
      </c>
      <c r="C320" s="1" t="s">
        <v>2892</v>
      </c>
      <c r="D320" s="2">
        <v>18498462.1</v>
      </c>
      <c r="E320" s="2">
        <v>209822.8</v>
      </c>
      <c r="F320" s="2">
        <v>676839.3</v>
      </c>
      <c r="G320" s="2">
        <v>5768.2</v>
      </c>
      <c r="H320" s="2">
        <f t="shared" si="7"/>
        <v>19390892.4</v>
      </c>
      <c r="I320"/>
    </row>
    <row r="321" spans="1:8">
      <c r="A321" s="1" t="s">
        <v>2909</v>
      </c>
      <c r="B321" s="1" t="s">
        <v>155</v>
      </c>
      <c r="C321" s="1" t="s">
        <v>2892</v>
      </c>
      <c r="D321" s="2">
        <v>19803093.86</v>
      </c>
      <c r="E321" s="2">
        <v>32385.8</v>
      </c>
      <c r="F321" s="2">
        <v>1505006.75</v>
      </c>
      <c r="G321" s="2">
        <v>1158.2</v>
      </c>
      <c r="H321" s="2">
        <f t="shared" si="7"/>
        <v>21341644.61</v>
      </c>
    </row>
    <row r="322" spans="1:9">
      <c r="A322" s="1" t="s">
        <v>2909</v>
      </c>
      <c r="B322" s="1" t="s">
        <v>156</v>
      </c>
      <c r="C322" s="1" t="s">
        <v>2892</v>
      </c>
      <c r="D322" s="2">
        <v>11694344</v>
      </c>
      <c r="E322" s="2">
        <v>1045</v>
      </c>
      <c r="F322" s="2">
        <v>166637.37</v>
      </c>
      <c r="G322" s="2">
        <v>337.12</v>
      </c>
      <c r="H322" s="2">
        <f t="shared" ref="H322:H385" si="8">SUM(D322:G322)</f>
        <v>11862363.49</v>
      </c>
      <c r="I322"/>
    </row>
    <row r="323" spans="1:9">
      <c r="A323" s="1" t="s">
        <v>2909</v>
      </c>
      <c r="B323" s="1" t="s">
        <v>157</v>
      </c>
      <c r="C323" s="1" t="s">
        <v>2892</v>
      </c>
      <c r="D323" s="2">
        <v>15374734.94</v>
      </c>
      <c r="E323" s="2">
        <v>9509.36</v>
      </c>
      <c r="F323" s="2">
        <v>135384.32</v>
      </c>
      <c r="G323" s="2">
        <v>1047.6</v>
      </c>
      <c r="H323" s="2">
        <f t="shared" si="8"/>
        <v>15520676.22</v>
      </c>
      <c r="I323"/>
    </row>
    <row r="324" spans="1:9">
      <c r="A324" s="1" t="s">
        <v>2909</v>
      </c>
      <c r="B324" s="1" t="s">
        <v>158</v>
      </c>
      <c r="C324" s="1" t="s">
        <v>2892</v>
      </c>
      <c r="D324" s="2">
        <v>11415821.7</v>
      </c>
      <c r="E324" s="2">
        <v>246365</v>
      </c>
      <c r="F324" s="2">
        <v>335623.95</v>
      </c>
      <c r="G324" s="2">
        <v>490059.6</v>
      </c>
      <c r="H324" s="2">
        <f t="shared" si="8"/>
        <v>12487870.25</v>
      </c>
      <c r="I324"/>
    </row>
    <row r="325" spans="1:9">
      <c r="A325" s="1" t="s">
        <v>2909</v>
      </c>
      <c r="B325" s="1" t="s">
        <v>159</v>
      </c>
      <c r="C325" s="1" t="s">
        <v>2892</v>
      </c>
      <c r="D325" s="2">
        <v>18941778.72</v>
      </c>
      <c r="E325" s="2">
        <v>51392.22</v>
      </c>
      <c r="F325" s="2">
        <v>3182696.04</v>
      </c>
      <c r="G325" s="2">
        <v>1172094.27</v>
      </c>
      <c r="H325" s="2">
        <f t="shared" si="8"/>
        <v>23347961.25</v>
      </c>
      <c r="I325"/>
    </row>
    <row r="326" spans="1:9">
      <c r="A326" s="1" t="s">
        <v>2909</v>
      </c>
      <c r="B326" s="1" t="s">
        <v>148</v>
      </c>
      <c r="C326" s="1" t="s">
        <v>2899</v>
      </c>
      <c r="D326" s="2">
        <v>28352643.08</v>
      </c>
      <c r="F326" s="2">
        <v>1354909.07</v>
      </c>
      <c r="G326" s="2">
        <v>3441.7</v>
      </c>
      <c r="H326" s="2">
        <f t="shared" si="8"/>
        <v>29710993.85</v>
      </c>
      <c r="I326"/>
    </row>
    <row r="327" spans="1:9">
      <c r="A327" s="1" t="s">
        <v>2909</v>
      </c>
      <c r="B327" s="1" t="s">
        <v>149</v>
      </c>
      <c r="C327" s="1" t="s">
        <v>2899</v>
      </c>
      <c r="D327" s="2">
        <v>27851027.7</v>
      </c>
      <c r="F327" s="2">
        <v>753648.7</v>
      </c>
      <c r="G327" s="2">
        <v>6719.2</v>
      </c>
      <c r="H327" s="2">
        <f t="shared" si="8"/>
        <v>28611395.6</v>
      </c>
      <c r="I327"/>
    </row>
    <row r="328" spans="1:9">
      <c r="A328" s="1" t="s">
        <v>2909</v>
      </c>
      <c r="B328" s="1" t="s">
        <v>150</v>
      </c>
      <c r="C328" s="1" t="s">
        <v>2899</v>
      </c>
      <c r="D328" s="2">
        <v>16056388.83</v>
      </c>
      <c r="F328" s="2">
        <v>1161427.39</v>
      </c>
      <c r="G328" s="2">
        <v>4088.16</v>
      </c>
      <c r="H328" s="2">
        <f t="shared" si="8"/>
        <v>17221904.38</v>
      </c>
      <c r="I328"/>
    </row>
    <row r="329" spans="1:9">
      <c r="A329" s="1" t="s">
        <v>2909</v>
      </c>
      <c r="B329" s="1" t="s">
        <v>151</v>
      </c>
      <c r="C329" s="1" t="s">
        <v>2899</v>
      </c>
      <c r="D329" s="2">
        <v>17435735.6</v>
      </c>
      <c r="F329" s="2">
        <v>322974.6</v>
      </c>
      <c r="G329" s="2">
        <v>568.1</v>
      </c>
      <c r="H329" s="2">
        <f t="shared" si="8"/>
        <v>17759278.3</v>
      </c>
      <c r="I329"/>
    </row>
    <row r="330" spans="1:9">
      <c r="A330" s="1" t="s">
        <v>2909</v>
      </c>
      <c r="B330" s="1" t="s">
        <v>152</v>
      </c>
      <c r="C330" s="1" t="s">
        <v>2899</v>
      </c>
      <c r="D330" s="2">
        <v>15442173.5</v>
      </c>
      <c r="F330" s="2">
        <v>403979.22</v>
      </c>
      <c r="G330" s="2">
        <v>613.14</v>
      </c>
      <c r="H330" s="2">
        <f t="shared" si="8"/>
        <v>15846765.86</v>
      </c>
      <c r="I330"/>
    </row>
    <row r="331" spans="1:9">
      <c r="A331" s="1" t="s">
        <v>2909</v>
      </c>
      <c r="B331" s="1" t="s">
        <v>153</v>
      </c>
      <c r="C331" s="1" t="s">
        <v>2899</v>
      </c>
      <c r="D331" s="2">
        <v>11439489</v>
      </c>
      <c r="F331" s="2">
        <v>438129.7966</v>
      </c>
      <c r="G331" s="2">
        <v>10271.6688</v>
      </c>
      <c r="H331" s="2">
        <f t="shared" si="8"/>
        <v>11887890.4654</v>
      </c>
      <c r="I331"/>
    </row>
    <row r="332" spans="1:9">
      <c r="A332" s="1" t="s">
        <v>2909</v>
      </c>
      <c r="B332" s="1" t="s">
        <v>154</v>
      </c>
      <c r="C332" s="1" t="s">
        <v>2899</v>
      </c>
      <c r="D332" s="2">
        <v>18116266.25</v>
      </c>
      <c r="E332" s="2">
        <v>156583.65</v>
      </c>
      <c r="F332" s="2">
        <v>723840.9</v>
      </c>
      <c r="G332" s="2">
        <v>36066.75</v>
      </c>
      <c r="H332" s="2">
        <f t="shared" si="8"/>
        <v>19032757.55</v>
      </c>
      <c r="I332"/>
    </row>
    <row r="333" spans="1:8">
      <c r="A333" s="1" t="s">
        <v>2909</v>
      </c>
      <c r="B333" s="1" t="s">
        <v>155</v>
      </c>
      <c r="C333" s="1" t="s">
        <v>2899</v>
      </c>
      <c r="D333" s="2">
        <v>19447858.9238</v>
      </c>
      <c r="E333" s="2">
        <v>48700.65</v>
      </c>
      <c r="F333" s="2">
        <v>1270657.2954</v>
      </c>
      <c r="G333" s="2">
        <v>2548.06</v>
      </c>
      <c r="H333" s="2">
        <f t="shared" si="8"/>
        <v>20769764.9292</v>
      </c>
    </row>
    <row r="334" spans="1:9">
      <c r="A334" s="1" t="s">
        <v>2909</v>
      </c>
      <c r="B334" s="1" t="s">
        <v>156</v>
      </c>
      <c r="C334" s="1" t="s">
        <v>2899</v>
      </c>
      <c r="D334" s="2">
        <v>11491134.0774</v>
      </c>
      <c r="E334" s="2">
        <v>1092.3</v>
      </c>
      <c r="F334" s="2">
        <v>65397.0348</v>
      </c>
      <c r="G334" s="2">
        <v>1386.32</v>
      </c>
      <c r="H334" s="2">
        <f t="shared" si="8"/>
        <v>11559009.7322</v>
      </c>
      <c r="I334"/>
    </row>
    <row r="335" spans="1:9">
      <c r="A335" s="1" t="s">
        <v>2909</v>
      </c>
      <c r="B335" s="1" t="s">
        <v>157</v>
      </c>
      <c r="C335" s="1" t="s">
        <v>2899</v>
      </c>
      <c r="D335" s="2">
        <v>15089993.7</v>
      </c>
      <c r="E335" s="2">
        <v>17675.4</v>
      </c>
      <c r="F335" s="2">
        <v>129790.7</v>
      </c>
      <c r="G335" s="2">
        <v>1874.97</v>
      </c>
      <c r="H335" s="2">
        <f t="shared" si="8"/>
        <v>15239334.77</v>
      </c>
      <c r="I335"/>
    </row>
    <row r="336" spans="1:9">
      <c r="A336" s="1" t="s">
        <v>2909</v>
      </c>
      <c r="B336" s="1" t="s">
        <v>158</v>
      </c>
      <c r="C336" s="1" t="s">
        <v>2899</v>
      </c>
      <c r="D336" s="2">
        <v>11228313.5</v>
      </c>
      <c r="E336" s="2">
        <v>452780.05</v>
      </c>
      <c r="F336" s="2">
        <v>404779.4</v>
      </c>
      <c r="G336" s="2">
        <v>446913.61</v>
      </c>
      <c r="H336" s="2">
        <f t="shared" si="8"/>
        <v>12532786.56</v>
      </c>
      <c r="I336"/>
    </row>
    <row r="337" spans="1:9">
      <c r="A337" s="1" t="s">
        <v>2909</v>
      </c>
      <c r="B337" s="1" t="s">
        <v>159</v>
      </c>
      <c r="C337" s="1" t="s">
        <v>2899</v>
      </c>
      <c r="D337" s="2">
        <v>18552160.326</v>
      </c>
      <c r="E337" s="2">
        <v>95328</v>
      </c>
      <c r="F337" s="2">
        <v>3069864.26</v>
      </c>
      <c r="G337" s="2">
        <v>1069403.534</v>
      </c>
      <c r="H337" s="2">
        <f t="shared" si="8"/>
        <v>22786756.12</v>
      </c>
      <c r="I337"/>
    </row>
    <row r="338" spans="1:9">
      <c r="A338" s="1" t="s">
        <v>2909</v>
      </c>
      <c r="B338" s="1" t="s">
        <v>148</v>
      </c>
      <c r="C338" s="1" t="s">
        <v>2896</v>
      </c>
      <c r="D338" s="2">
        <v>-709.43</v>
      </c>
      <c r="F338" s="2">
        <v>20629142.06</v>
      </c>
      <c r="G338" s="2">
        <v>5471.71</v>
      </c>
      <c r="H338" s="2">
        <f t="shared" si="8"/>
        <v>20633904.34</v>
      </c>
      <c r="I338"/>
    </row>
    <row r="339" spans="1:9">
      <c r="A339" s="1" t="s">
        <v>2909</v>
      </c>
      <c r="B339" s="1" t="s">
        <v>149</v>
      </c>
      <c r="C339" s="1" t="s">
        <v>2896</v>
      </c>
      <c r="E339" s="2">
        <v>82.26</v>
      </c>
      <c r="F339" s="2">
        <v>11416717.45</v>
      </c>
      <c r="G339" s="2">
        <v>3497.76</v>
      </c>
      <c r="H339" s="2">
        <f t="shared" si="8"/>
        <v>11420297.47</v>
      </c>
      <c r="I339"/>
    </row>
    <row r="340" spans="1:9">
      <c r="A340" s="1" t="s">
        <v>2909</v>
      </c>
      <c r="B340" s="1" t="s">
        <v>150</v>
      </c>
      <c r="C340" s="1" t="s">
        <v>2896</v>
      </c>
      <c r="F340" s="2">
        <v>14697911.93</v>
      </c>
      <c r="H340" s="2">
        <f t="shared" si="8"/>
        <v>14697911.93</v>
      </c>
      <c r="I340"/>
    </row>
    <row r="341" spans="1:9">
      <c r="A341" s="1" t="s">
        <v>2909</v>
      </c>
      <c r="B341" s="1" t="s">
        <v>151</v>
      </c>
      <c r="C341" s="1" t="s">
        <v>2896</v>
      </c>
      <c r="D341" s="2">
        <v>-335.09</v>
      </c>
      <c r="F341" s="2">
        <v>24063748.66</v>
      </c>
      <c r="H341" s="2">
        <f t="shared" si="8"/>
        <v>24063413.57</v>
      </c>
      <c r="I341"/>
    </row>
    <row r="342" spans="1:9">
      <c r="A342" s="1" t="s">
        <v>2909</v>
      </c>
      <c r="B342" s="1" t="s">
        <v>152</v>
      </c>
      <c r="C342" s="1" t="s">
        <v>2896</v>
      </c>
      <c r="F342" s="2">
        <v>31903356.97</v>
      </c>
      <c r="H342" s="2">
        <f t="shared" si="8"/>
        <v>31903356.97</v>
      </c>
      <c r="I342"/>
    </row>
    <row r="343" spans="1:9">
      <c r="A343" s="1" t="s">
        <v>2909</v>
      </c>
      <c r="B343" s="1" t="s">
        <v>153</v>
      </c>
      <c r="C343" s="1" t="s">
        <v>2896</v>
      </c>
      <c r="F343" s="2">
        <v>50397908.7</v>
      </c>
      <c r="H343" s="2">
        <f t="shared" si="8"/>
        <v>50397908.7</v>
      </c>
      <c r="I343"/>
    </row>
    <row r="344" spans="1:9">
      <c r="A344" s="1" t="s">
        <v>2909</v>
      </c>
      <c r="B344" s="1" t="s">
        <v>154</v>
      </c>
      <c r="C344" s="1" t="s">
        <v>2896</v>
      </c>
      <c r="F344" s="2">
        <v>51022907.59</v>
      </c>
      <c r="H344" s="2">
        <f t="shared" si="8"/>
        <v>51022907.59</v>
      </c>
      <c r="I344"/>
    </row>
    <row r="345" spans="1:8">
      <c r="A345" s="1" t="s">
        <v>2909</v>
      </c>
      <c r="B345" s="1" t="s">
        <v>155</v>
      </c>
      <c r="C345" s="1" t="s">
        <v>2896</v>
      </c>
      <c r="F345" s="2">
        <v>96999674.03</v>
      </c>
      <c r="H345" s="2">
        <f t="shared" si="8"/>
        <v>96999674.03</v>
      </c>
    </row>
    <row r="346" spans="1:9">
      <c r="A346" s="1" t="s">
        <v>2909</v>
      </c>
      <c r="B346" s="1" t="s">
        <v>156</v>
      </c>
      <c r="C346" s="1" t="s">
        <v>2896</v>
      </c>
      <c r="F346" s="2">
        <v>116213174.06</v>
      </c>
      <c r="G346" s="2">
        <v>0.02</v>
      </c>
      <c r="H346" s="2">
        <f t="shared" si="8"/>
        <v>116213174.08</v>
      </c>
      <c r="I346"/>
    </row>
    <row r="347" spans="1:9">
      <c r="A347" s="1" t="s">
        <v>2909</v>
      </c>
      <c r="B347" s="1" t="s">
        <v>157</v>
      </c>
      <c r="C347" s="1" t="s">
        <v>2896</v>
      </c>
      <c r="F347" s="2">
        <v>40220536.62</v>
      </c>
      <c r="G347" s="2">
        <v>0.03</v>
      </c>
      <c r="H347" s="2">
        <f t="shared" si="8"/>
        <v>40220536.65</v>
      </c>
      <c r="I347"/>
    </row>
    <row r="348" spans="1:9">
      <c r="A348" s="1" t="s">
        <v>2909</v>
      </c>
      <c r="B348" s="1" t="s">
        <v>158</v>
      </c>
      <c r="C348" s="1" t="s">
        <v>2896</v>
      </c>
      <c r="D348" s="2">
        <v>0</v>
      </c>
      <c r="E348" s="2">
        <v>0</v>
      </c>
      <c r="F348" s="2">
        <v>81344461.7</v>
      </c>
      <c r="G348" s="2">
        <v>815.79</v>
      </c>
      <c r="H348" s="2">
        <f t="shared" si="8"/>
        <v>81345277.49</v>
      </c>
      <c r="I348"/>
    </row>
    <row r="349" spans="1:9">
      <c r="A349" s="1" t="s">
        <v>2909</v>
      </c>
      <c r="B349" s="1" t="s">
        <v>159</v>
      </c>
      <c r="C349" s="1" t="s">
        <v>2896</v>
      </c>
      <c r="F349" s="2">
        <v>121719423.62</v>
      </c>
      <c r="G349" s="2">
        <v>18324.4</v>
      </c>
      <c r="H349" s="2">
        <f t="shared" si="8"/>
        <v>121737748.02</v>
      </c>
      <c r="I349"/>
    </row>
    <row r="350" spans="1:9">
      <c r="A350" s="1" t="s">
        <v>2909</v>
      </c>
      <c r="B350" s="1" t="s">
        <v>148</v>
      </c>
      <c r="C350" s="1" t="s">
        <v>2893</v>
      </c>
      <c r="F350" s="2">
        <v>20407106.05</v>
      </c>
      <c r="G350" s="2">
        <v>5471.67</v>
      </c>
      <c r="H350" s="2">
        <f t="shared" si="8"/>
        <v>20412577.72</v>
      </c>
      <c r="I350"/>
    </row>
    <row r="351" spans="1:9">
      <c r="A351" s="1" t="s">
        <v>2909</v>
      </c>
      <c r="B351" s="1" t="s">
        <v>149</v>
      </c>
      <c r="C351" s="1" t="s">
        <v>2893</v>
      </c>
      <c r="F351" s="2">
        <v>12158062.75</v>
      </c>
      <c r="G351" s="2">
        <v>4035.85</v>
      </c>
      <c r="H351" s="2">
        <f t="shared" si="8"/>
        <v>12162098.6</v>
      </c>
      <c r="I351"/>
    </row>
    <row r="352" spans="1:9">
      <c r="A352" s="1" t="s">
        <v>2909</v>
      </c>
      <c r="B352" s="1" t="s">
        <v>150</v>
      </c>
      <c r="C352" s="1" t="s">
        <v>2893</v>
      </c>
      <c r="F352" s="2">
        <v>14743799.74</v>
      </c>
      <c r="H352" s="2">
        <f t="shared" si="8"/>
        <v>14743799.74</v>
      </c>
      <c r="I352"/>
    </row>
    <row r="353" spans="1:9">
      <c r="A353" s="1" t="s">
        <v>2909</v>
      </c>
      <c r="B353" s="1" t="s">
        <v>151</v>
      </c>
      <c r="C353" s="1" t="s">
        <v>2893</v>
      </c>
      <c r="F353" s="2">
        <v>24125062.22</v>
      </c>
      <c r="H353" s="2">
        <f t="shared" si="8"/>
        <v>24125062.22</v>
      </c>
      <c r="I353"/>
    </row>
    <row r="354" spans="1:9">
      <c r="A354" s="1" t="s">
        <v>2909</v>
      </c>
      <c r="B354" s="1" t="s">
        <v>152</v>
      </c>
      <c r="C354" s="1" t="s">
        <v>2893</v>
      </c>
      <c r="F354" s="2">
        <v>32144262.52</v>
      </c>
      <c r="H354" s="2">
        <f t="shared" si="8"/>
        <v>32144262.52</v>
      </c>
      <c r="I354"/>
    </row>
    <row r="355" spans="1:9">
      <c r="A355" s="1" t="s">
        <v>2909</v>
      </c>
      <c r="B355" s="1" t="s">
        <v>153</v>
      </c>
      <c r="C355" s="1" t="s">
        <v>2893</v>
      </c>
      <c r="F355" s="2">
        <v>52892867.3</v>
      </c>
      <c r="H355" s="2">
        <f t="shared" si="8"/>
        <v>52892867.3</v>
      </c>
      <c r="I355"/>
    </row>
    <row r="356" spans="1:9">
      <c r="A356" s="1" t="s">
        <v>2909</v>
      </c>
      <c r="B356" s="1" t="s">
        <v>154</v>
      </c>
      <c r="C356" s="1" t="s">
        <v>2893</v>
      </c>
      <c r="F356" s="2">
        <v>52084183.64</v>
      </c>
      <c r="H356" s="2">
        <f t="shared" si="8"/>
        <v>52084183.64</v>
      </c>
      <c r="I356"/>
    </row>
    <row r="357" spans="1:8">
      <c r="A357" s="1" t="s">
        <v>2909</v>
      </c>
      <c r="B357" s="1" t="s">
        <v>155</v>
      </c>
      <c r="C357" s="1" t="s">
        <v>2893</v>
      </c>
      <c r="F357" s="2">
        <v>97568027.99</v>
      </c>
      <c r="H357" s="2">
        <f t="shared" si="8"/>
        <v>97568027.99</v>
      </c>
    </row>
    <row r="358" spans="1:9">
      <c r="A358" s="1" t="s">
        <v>2909</v>
      </c>
      <c r="B358" s="1" t="s">
        <v>156</v>
      </c>
      <c r="C358" s="1" t="s">
        <v>2893</v>
      </c>
      <c r="F358" s="2">
        <v>119438114.58</v>
      </c>
      <c r="G358" s="2">
        <v>-0.32</v>
      </c>
      <c r="H358" s="2">
        <f t="shared" si="8"/>
        <v>119438114.26</v>
      </c>
      <c r="I358"/>
    </row>
    <row r="359" spans="1:9">
      <c r="A359" s="1" t="s">
        <v>2909</v>
      </c>
      <c r="B359" s="1" t="s">
        <v>157</v>
      </c>
      <c r="C359" s="1" t="s">
        <v>2893</v>
      </c>
      <c r="F359" s="2">
        <v>41321325.12</v>
      </c>
      <c r="H359" s="2">
        <f t="shared" si="8"/>
        <v>41321325.12</v>
      </c>
      <c r="I359"/>
    </row>
    <row r="360" spans="1:9">
      <c r="A360" s="1" t="s">
        <v>2909</v>
      </c>
      <c r="B360" s="1" t="s">
        <v>158</v>
      </c>
      <c r="C360" s="1" t="s">
        <v>2893</v>
      </c>
      <c r="D360" s="2">
        <v>0</v>
      </c>
      <c r="E360" s="2">
        <v>0</v>
      </c>
      <c r="F360" s="2">
        <v>82900032.33</v>
      </c>
      <c r="G360" s="2">
        <v>0</v>
      </c>
      <c r="H360" s="2">
        <f t="shared" si="8"/>
        <v>82900032.33</v>
      </c>
      <c r="I360"/>
    </row>
    <row r="361" spans="1:9">
      <c r="A361" s="1" t="s">
        <v>2909</v>
      </c>
      <c r="B361" s="1" t="s">
        <v>159</v>
      </c>
      <c r="C361" s="1" t="s">
        <v>2893</v>
      </c>
      <c r="F361" s="2">
        <v>129624451.92</v>
      </c>
      <c r="G361" s="2">
        <v>320.75</v>
      </c>
      <c r="H361" s="2">
        <f t="shared" si="8"/>
        <v>129624772.67</v>
      </c>
      <c r="I361"/>
    </row>
    <row r="362" spans="1:9">
      <c r="A362" s="1" t="s">
        <v>2909</v>
      </c>
      <c r="B362" s="1" t="s">
        <v>148</v>
      </c>
      <c r="C362" s="1" t="s">
        <v>2902</v>
      </c>
      <c r="F362" s="2">
        <v>726710.68</v>
      </c>
      <c r="H362" s="2">
        <f t="shared" si="8"/>
        <v>726710.68</v>
      </c>
      <c r="I362"/>
    </row>
    <row r="363" spans="1:9">
      <c r="A363" s="1" t="s">
        <v>2909</v>
      </c>
      <c r="B363" s="1" t="s">
        <v>149</v>
      </c>
      <c r="C363" s="1" t="s">
        <v>2902</v>
      </c>
      <c r="F363" s="2">
        <v>826988.22</v>
      </c>
      <c r="H363" s="2">
        <f t="shared" si="8"/>
        <v>826988.22</v>
      </c>
      <c r="I363"/>
    </row>
    <row r="364" spans="1:9">
      <c r="A364" s="1" t="s">
        <v>2909</v>
      </c>
      <c r="B364" s="1" t="s">
        <v>150</v>
      </c>
      <c r="C364" s="1" t="s">
        <v>2902</v>
      </c>
      <c r="F364" s="2">
        <v>260923.79</v>
      </c>
      <c r="H364" s="2">
        <f t="shared" si="8"/>
        <v>260923.79</v>
      </c>
      <c r="I364"/>
    </row>
    <row r="365" spans="1:9">
      <c r="A365" s="1" t="s">
        <v>2909</v>
      </c>
      <c r="B365" s="1" t="s">
        <v>151</v>
      </c>
      <c r="C365" s="1" t="s">
        <v>2902</v>
      </c>
      <c r="F365" s="2">
        <v>205653.97</v>
      </c>
      <c r="H365" s="2">
        <f t="shared" si="8"/>
        <v>205653.97</v>
      </c>
      <c r="I365"/>
    </row>
    <row r="366" spans="1:9">
      <c r="A366" s="1" t="s">
        <v>2909</v>
      </c>
      <c r="B366" s="1" t="s">
        <v>152</v>
      </c>
      <c r="C366" s="1" t="s">
        <v>2902</v>
      </c>
      <c r="F366" s="2">
        <v>626229.03</v>
      </c>
      <c r="H366" s="2">
        <f t="shared" si="8"/>
        <v>626229.03</v>
      </c>
      <c r="I366"/>
    </row>
    <row r="367" spans="1:9">
      <c r="A367" s="1" t="s">
        <v>2909</v>
      </c>
      <c r="B367" s="1" t="s">
        <v>153</v>
      </c>
      <c r="C367" s="1" t="s">
        <v>2902</v>
      </c>
      <c r="F367" s="2">
        <v>2001824.69</v>
      </c>
      <c r="H367" s="2">
        <f t="shared" si="8"/>
        <v>2001824.69</v>
      </c>
      <c r="I367"/>
    </row>
    <row r="368" spans="1:9">
      <c r="A368" s="1" t="s">
        <v>2909</v>
      </c>
      <c r="B368" s="1" t="s">
        <v>154</v>
      </c>
      <c r="C368" s="1" t="s">
        <v>2902</v>
      </c>
      <c r="F368" s="2">
        <v>962583.85</v>
      </c>
      <c r="H368" s="2">
        <f t="shared" si="8"/>
        <v>962583.85</v>
      </c>
      <c r="I368"/>
    </row>
    <row r="369" spans="1:8">
      <c r="A369" s="1" t="s">
        <v>2909</v>
      </c>
      <c r="B369" s="1" t="s">
        <v>155</v>
      </c>
      <c r="C369" s="1" t="s">
        <v>2902</v>
      </c>
      <c r="F369" s="2">
        <v>2682125.56</v>
      </c>
      <c r="H369" s="2">
        <f t="shared" si="8"/>
        <v>2682125.56</v>
      </c>
    </row>
    <row r="370" spans="1:9">
      <c r="A370" s="1" t="s">
        <v>2909</v>
      </c>
      <c r="B370" s="1" t="s">
        <v>156</v>
      </c>
      <c r="C370" s="1" t="s">
        <v>2902</v>
      </c>
      <c r="F370" s="2">
        <v>4106464.95</v>
      </c>
      <c r="H370" s="2">
        <f t="shared" si="8"/>
        <v>4106464.95</v>
      </c>
      <c r="I370"/>
    </row>
    <row r="371" spans="1:9">
      <c r="A371" s="1" t="s">
        <v>2909</v>
      </c>
      <c r="B371" s="1" t="s">
        <v>157</v>
      </c>
      <c r="C371" s="1" t="s">
        <v>2902</v>
      </c>
      <c r="F371" s="2">
        <v>1517736.97</v>
      </c>
      <c r="H371" s="2">
        <f t="shared" si="8"/>
        <v>1517736.97</v>
      </c>
      <c r="I371"/>
    </row>
    <row r="372" spans="1:9">
      <c r="A372" s="1" t="s">
        <v>2909</v>
      </c>
      <c r="B372" s="1" t="s">
        <v>158</v>
      </c>
      <c r="C372" s="1" t="s">
        <v>2902</v>
      </c>
      <c r="D372" s="2">
        <v>0</v>
      </c>
      <c r="F372" s="2">
        <v>1906042.64</v>
      </c>
      <c r="G372" s="2">
        <v>0</v>
      </c>
      <c r="H372" s="2">
        <f t="shared" si="8"/>
        <v>1906042.64</v>
      </c>
      <c r="I372"/>
    </row>
    <row r="373" spans="1:9">
      <c r="A373" s="1" t="s">
        <v>2909</v>
      </c>
      <c r="B373" s="1" t="s">
        <v>159</v>
      </c>
      <c r="C373" s="1" t="s">
        <v>2902</v>
      </c>
      <c r="F373" s="2">
        <v>4013058.32</v>
      </c>
      <c r="H373" s="2">
        <f t="shared" si="8"/>
        <v>4013058.32</v>
      </c>
      <c r="I373"/>
    </row>
    <row r="374" spans="1:9">
      <c r="A374" s="1" t="s">
        <v>2909</v>
      </c>
      <c r="B374" s="1" t="s">
        <v>148</v>
      </c>
      <c r="C374" s="1" t="s">
        <v>2931</v>
      </c>
      <c r="F374" s="2">
        <v>101048.77</v>
      </c>
      <c r="H374" s="2">
        <f t="shared" si="8"/>
        <v>101048.77</v>
      </c>
      <c r="I374"/>
    </row>
    <row r="375" spans="1:9">
      <c r="A375" s="1" t="s">
        <v>2909</v>
      </c>
      <c r="B375" s="1" t="s">
        <v>149</v>
      </c>
      <c r="C375" s="1" t="s">
        <v>2931</v>
      </c>
      <c r="F375" s="2">
        <v>81130.49</v>
      </c>
      <c r="H375" s="2">
        <f t="shared" si="8"/>
        <v>81130.49</v>
      </c>
      <c r="I375"/>
    </row>
    <row r="376" spans="1:9">
      <c r="A376" s="1" t="s">
        <v>2909</v>
      </c>
      <c r="B376" s="1" t="s">
        <v>150</v>
      </c>
      <c r="C376" s="1" t="s">
        <v>2931</v>
      </c>
      <c r="F376" s="2">
        <v>105180.42</v>
      </c>
      <c r="H376" s="2">
        <f t="shared" si="8"/>
        <v>105180.42</v>
      </c>
      <c r="I376"/>
    </row>
    <row r="377" spans="1:9">
      <c r="A377" s="1" t="s">
        <v>2909</v>
      </c>
      <c r="B377" s="1" t="s">
        <v>151</v>
      </c>
      <c r="C377" s="1" t="s">
        <v>2931</v>
      </c>
      <c r="F377" s="2">
        <v>72231.56</v>
      </c>
      <c r="H377" s="2">
        <f t="shared" si="8"/>
        <v>72231.56</v>
      </c>
      <c r="I377"/>
    </row>
    <row r="378" spans="1:9">
      <c r="A378" s="1" t="s">
        <v>2909</v>
      </c>
      <c r="B378" s="1" t="s">
        <v>152</v>
      </c>
      <c r="C378" s="1" t="s">
        <v>2931</v>
      </c>
      <c r="F378" s="2">
        <v>89314.28</v>
      </c>
      <c r="H378" s="2">
        <f t="shared" si="8"/>
        <v>89314.28</v>
      </c>
      <c r="I378"/>
    </row>
    <row r="379" spans="1:9">
      <c r="A379" s="1" t="s">
        <v>2909</v>
      </c>
      <c r="B379" s="1" t="s">
        <v>153</v>
      </c>
      <c r="C379" s="1" t="s">
        <v>2931</v>
      </c>
      <c r="F379" s="2">
        <v>119465.42</v>
      </c>
      <c r="H379" s="2">
        <f t="shared" si="8"/>
        <v>119465.42</v>
      </c>
      <c r="I379"/>
    </row>
    <row r="380" spans="1:9">
      <c r="A380" s="1" t="s">
        <v>2909</v>
      </c>
      <c r="B380" s="1" t="s">
        <v>154</v>
      </c>
      <c r="C380" s="1" t="s">
        <v>2931</v>
      </c>
      <c r="F380" s="2">
        <v>46098.6</v>
      </c>
      <c r="H380" s="2">
        <f t="shared" si="8"/>
        <v>46098.6</v>
      </c>
      <c r="I380"/>
    </row>
    <row r="381" spans="1:8">
      <c r="A381" s="1" t="s">
        <v>2909</v>
      </c>
      <c r="B381" s="1" t="s">
        <v>155</v>
      </c>
      <c r="C381" s="1" t="s">
        <v>2931</v>
      </c>
      <c r="F381" s="2">
        <v>116121.9</v>
      </c>
      <c r="H381" s="2">
        <f t="shared" si="8"/>
        <v>116121.9</v>
      </c>
    </row>
    <row r="382" spans="1:9">
      <c r="A382" s="1" t="s">
        <v>2909</v>
      </c>
      <c r="B382" s="1" t="s">
        <v>156</v>
      </c>
      <c r="C382" s="1" t="s">
        <v>2931</v>
      </c>
      <c r="F382" s="2">
        <v>23441.89</v>
      </c>
      <c r="H382" s="2">
        <f t="shared" si="8"/>
        <v>23441.89</v>
      </c>
      <c r="I382"/>
    </row>
    <row r="383" spans="1:9">
      <c r="A383" s="1" t="s">
        <v>2909</v>
      </c>
      <c r="B383" s="1" t="s">
        <v>157</v>
      </c>
      <c r="C383" s="1" t="s">
        <v>2931</v>
      </c>
      <c r="F383" s="2">
        <v>16336.73</v>
      </c>
      <c r="H383" s="2">
        <f t="shared" si="8"/>
        <v>16336.73</v>
      </c>
      <c r="I383"/>
    </row>
    <row r="384" spans="1:9">
      <c r="A384" s="1" t="s">
        <v>2909</v>
      </c>
      <c r="B384" s="1" t="s">
        <v>158</v>
      </c>
      <c r="C384" s="1" t="s">
        <v>2931</v>
      </c>
      <c r="D384" s="2">
        <v>0</v>
      </c>
      <c r="F384" s="2">
        <v>101903.73</v>
      </c>
      <c r="G384" s="2">
        <v>0</v>
      </c>
      <c r="H384" s="2">
        <f t="shared" si="8"/>
        <v>101903.73</v>
      </c>
      <c r="I384"/>
    </row>
    <row r="385" spans="1:9">
      <c r="A385" s="1" t="s">
        <v>2909</v>
      </c>
      <c r="B385" s="1" t="s">
        <v>159</v>
      </c>
      <c r="C385" s="1" t="s">
        <v>2931</v>
      </c>
      <c r="F385" s="2">
        <v>76176.99</v>
      </c>
      <c r="H385" s="2">
        <f t="shared" si="8"/>
        <v>76176.99</v>
      </c>
      <c r="I385"/>
    </row>
    <row r="386" spans="1:9">
      <c r="A386" s="1" t="s">
        <v>2909</v>
      </c>
      <c r="B386" s="1" t="s">
        <v>148</v>
      </c>
      <c r="C386" s="1" t="s">
        <v>2904</v>
      </c>
      <c r="G386" s="2">
        <v>2390.35</v>
      </c>
      <c r="H386" s="2">
        <f t="shared" ref="H386:H449" si="9">SUM(D386:G386)</f>
        <v>2390.35</v>
      </c>
      <c r="I386"/>
    </row>
    <row r="387" spans="1:9">
      <c r="A387" s="1" t="s">
        <v>2909</v>
      </c>
      <c r="B387" s="1" t="s">
        <v>149</v>
      </c>
      <c r="C387" s="1" t="s">
        <v>2904</v>
      </c>
      <c r="G387" s="2">
        <v>1095.88</v>
      </c>
      <c r="H387" s="2">
        <f t="shared" si="9"/>
        <v>1095.88</v>
      </c>
      <c r="I387"/>
    </row>
    <row r="388" spans="1:9">
      <c r="A388" s="1" t="s">
        <v>2909</v>
      </c>
      <c r="B388" s="1" t="s">
        <v>150</v>
      </c>
      <c r="C388" s="1" t="s">
        <v>2904</v>
      </c>
      <c r="H388" s="2">
        <f t="shared" si="9"/>
        <v>0</v>
      </c>
      <c r="I388"/>
    </row>
    <row r="389" spans="1:9">
      <c r="A389" s="1" t="s">
        <v>2909</v>
      </c>
      <c r="B389" s="1" t="s">
        <v>151</v>
      </c>
      <c r="C389" s="1" t="s">
        <v>2904</v>
      </c>
      <c r="H389" s="2">
        <f t="shared" si="9"/>
        <v>0</v>
      </c>
      <c r="I389"/>
    </row>
    <row r="390" spans="1:9">
      <c r="A390" s="1" t="s">
        <v>2909</v>
      </c>
      <c r="B390" s="1" t="s">
        <v>152</v>
      </c>
      <c r="C390" s="1" t="s">
        <v>2904</v>
      </c>
      <c r="H390" s="2">
        <f t="shared" si="9"/>
        <v>0</v>
      </c>
      <c r="I390"/>
    </row>
    <row r="391" spans="1:9">
      <c r="A391" s="1" t="s">
        <v>2909</v>
      </c>
      <c r="B391" s="1" t="s">
        <v>153</v>
      </c>
      <c r="C391" s="1" t="s">
        <v>2904</v>
      </c>
      <c r="H391" s="2">
        <f t="shared" si="9"/>
        <v>0</v>
      </c>
      <c r="I391"/>
    </row>
    <row r="392" spans="1:9">
      <c r="A392" s="1" t="s">
        <v>2909</v>
      </c>
      <c r="B392" s="1" t="s">
        <v>154</v>
      </c>
      <c r="C392" s="1" t="s">
        <v>2904</v>
      </c>
      <c r="G392" s="2">
        <v>11.78</v>
      </c>
      <c r="H392" s="2">
        <f t="shared" si="9"/>
        <v>11.78</v>
      </c>
      <c r="I392"/>
    </row>
    <row r="393" spans="1:8">
      <c r="A393" s="1" t="s">
        <v>2909</v>
      </c>
      <c r="B393" s="1" t="s">
        <v>155</v>
      </c>
      <c r="C393" s="1" t="s">
        <v>2904</v>
      </c>
      <c r="G393" s="2">
        <v>3.79</v>
      </c>
      <c r="H393" s="2">
        <f t="shared" si="9"/>
        <v>3.79</v>
      </c>
    </row>
    <row r="394" spans="1:9">
      <c r="A394" s="1" t="s">
        <v>2909</v>
      </c>
      <c r="B394" s="1" t="s">
        <v>156</v>
      </c>
      <c r="C394" s="1" t="s">
        <v>2904</v>
      </c>
      <c r="G394" s="2">
        <v>1.97</v>
      </c>
      <c r="H394" s="2">
        <f t="shared" si="9"/>
        <v>1.97</v>
      </c>
      <c r="I394"/>
    </row>
    <row r="395" spans="1:9">
      <c r="A395" s="1" t="s">
        <v>2909</v>
      </c>
      <c r="B395" s="1" t="s">
        <v>157</v>
      </c>
      <c r="C395" s="1" t="s">
        <v>2904</v>
      </c>
      <c r="H395" s="2">
        <f t="shared" si="9"/>
        <v>0</v>
      </c>
      <c r="I395"/>
    </row>
    <row r="396" spans="1:9">
      <c r="A396" s="1" t="s">
        <v>2909</v>
      </c>
      <c r="B396" s="1" t="s">
        <v>158</v>
      </c>
      <c r="C396" s="1" t="s">
        <v>2904</v>
      </c>
      <c r="D396" s="2">
        <v>0</v>
      </c>
      <c r="G396" s="2">
        <v>1.73</v>
      </c>
      <c r="H396" s="2">
        <f t="shared" si="9"/>
        <v>1.73</v>
      </c>
      <c r="I396"/>
    </row>
    <row r="397" spans="1:9">
      <c r="A397" s="1" t="s">
        <v>2909</v>
      </c>
      <c r="B397" s="1" t="s">
        <v>159</v>
      </c>
      <c r="C397" s="1" t="s">
        <v>2904</v>
      </c>
      <c r="H397" s="2">
        <f t="shared" si="9"/>
        <v>0</v>
      </c>
      <c r="I397"/>
    </row>
    <row r="398" spans="1:9">
      <c r="A398" s="1" t="s">
        <v>2909</v>
      </c>
      <c r="B398" s="1" t="s">
        <v>148</v>
      </c>
      <c r="C398" s="1" t="s">
        <v>1901</v>
      </c>
      <c r="H398" s="2">
        <f t="shared" si="9"/>
        <v>0</v>
      </c>
      <c r="I398"/>
    </row>
    <row r="399" spans="1:9">
      <c r="A399" s="1" t="s">
        <v>2909</v>
      </c>
      <c r="B399" s="1" t="s">
        <v>149</v>
      </c>
      <c r="C399" s="1" t="s">
        <v>1901</v>
      </c>
      <c r="H399" s="2">
        <f t="shared" si="9"/>
        <v>0</v>
      </c>
      <c r="I399"/>
    </row>
    <row r="400" spans="1:9">
      <c r="A400" s="1" t="s">
        <v>2909</v>
      </c>
      <c r="B400" s="1" t="s">
        <v>150</v>
      </c>
      <c r="C400" s="1" t="s">
        <v>1901</v>
      </c>
      <c r="H400" s="2">
        <f t="shared" si="9"/>
        <v>0</v>
      </c>
      <c r="I400"/>
    </row>
    <row r="401" spans="1:9">
      <c r="A401" s="1" t="s">
        <v>2909</v>
      </c>
      <c r="B401" s="1" t="s">
        <v>151</v>
      </c>
      <c r="C401" s="1" t="s">
        <v>1901</v>
      </c>
      <c r="H401" s="2">
        <f t="shared" si="9"/>
        <v>0</v>
      </c>
      <c r="I401"/>
    </row>
    <row r="402" spans="1:9">
      <c r="A402" s="1" t="s">
        <v>2909</v>
      </c>
      <c r="B402" s="1" t="s">
        <v>152</v>
      </c>
      <c r="C402" s="1" t="s">
        <v>1901</v>
      </c>
      <c r="H402" s="2">
        <f t="shared" si="9"/>
        <v>0</v>
      </c>
      <c r="I402"/>
    </row>
    <row r="403" spans="1:9">
      <c r="A403" s="1" t="s">
        <v>2909</v>
      </c>
      <c r="B403" s="1" t="s">
        <v>153</v>
      </c>
      <c r="C403" s="1" t="s">
        <v>1901</v>
      </c>
      <c r="H403" s="2">
        <f t="shared" si="9"/>
        <v>0</v>
      </c>
      <c r="I403"/>
    </row>
    <row r="404" spans="1:9">
      <c r="A404" s="1" t="s">
        <v>2909</v>
      </c>
      <c r="B404" s="1" t="s">
        <v>154</v>
      </c>
      <c r="C404" s="1" t="s">
        <v>1901</v>
      </c>
      <c r="H404" s="2">
        <f t="shared" si="9"/>
        <v>0</v>
      </c>
      <c r="I404"/>
    </row>
    <row r="405" spans="1:9">
      <c r="A405" s="1" t="s">
        <v>2909</v>
      </c>
      <c r="B405" s="1" t="s">
        <v>155</v>
      </c>
      <c r="C405" s="1" t="s">
        <v>1901</v>
      </c>
      <c r="H405" s="2">
        <f t="shared" si="9"/>
        <v>0</v>
      </c>
      <c r="I405"/>
    </row>
    <row r="406" spans="1:9">
      <c r="A406" s="1" t="s">
        <v>2909</v>
      </c>
      <c r="B406" s="1" t="s">
        <v>156</v>
      </c>
      <c r="C406" s="1" t="s">
        <v>1901</v>
      </c>
      <c r="H406" s="2">
        <f t="shared" si="9"/>
        <v>0</v>
      </c>
      <c r="I406"/>
    </row>
    <row r="407" spans="1:9">
      <c r="A407" s="1" t="s">
        <v>2909</v>
      </c>
      <c r="B407" s="1" t="s">
        <v>157</v>
      </c>
      <c r="C407" s="1" t="s">
        <v>1901</v>
      </c>
      <c r="H407" s="2">
        <f t="shared" si="9"/>
        <v>0</v>
      </c>
      <c r="I407"/>
    </row>
    <row r="408" spans="1:9">
      <c r="A408" s="1" t="s">
        <v>2909</v>
      </c>
      <c r="B408" s="1" t="s">
        <v>158</v>
      </c>
      <c r="C408" s="1" t="s">
        <v>1901</v>
      </c>
      <c r="F408" s="2">
        <v>24209.6</v>
      </c>
      <c r="H408" s="2">
        <f t="shared" si="9"/>
        <v>24209.6</v>
      </c>
      <c r="I408"/>
    </row>
    <row r="409" spans="1:9">
      <c r="A409" s="1" t="s">
        <v>2909</v>
      </c>
      <c r="B409" s="1" t="s">
        <v>159</v>
      </c>
      <c r="C409" s="1" t="s">
        <v>1901</v>
      </c>
      <c r="F409" s="2">
        <v>45885.38</v>
      </c>
      <c r="H409" s="2">
        <f t="shared" si="9"/>
        <v>45885.38</v>
      </c>
      <c r="I409"/>
    </row>
    <row r="410" spans="1:9">
      <c r="A410" s="1" t="s">
        <v>2909</v>
      </c>
      <c r="B410" s="1" t="s">
        <v>148</v>
      </c>
      <c r="C410" s="1" t="s">
        <v>2926</v>
      </c>
      <c r="H410" s="2">
        <f t="shared" si="9"/>
        <v>0</v>
      </c>
      <c r="I410"/>
    </row>
    <row r="411" spans="1:9">
      <c r="A411" s="1" t="s">
        <v>2909</v>
      </c>
      <c r="B411" s="1" t="s">
        <v>149</v>
      </c>
      <c r="C411" s="1" t="s">
        <v>2926</v>
      </c>
      <c r="H411" s="2">
        <f t="shared" si="9"/>
        <v>0</v>
      </c>
      <c r="I411"/>
    </row>
    <row r="412" spans="1:9">
      <c r="A412" s="1" t="s">
        <v>2909</v>
      </c>
      <c r="B412" s="1" t="s">
        <v>150</v>
      </c>
      <c r="C412" s="1" t="s">
        <v>2926</v>
      </c>
      <c r="H412" s="2">
        <f t="shared" si="9"/>
        <v>0</v>
      </c>
      <c r="I412"/>
    </row>
    <row r="413" spans="1:9">
      <c r="A413" s="1" t="s">
        <v>2909</v>
      </c>
      <c r="B413" s="1" t="s">
        <v>151</v>
      </c>
      <c r="C413" s="1" t="s">
        <v>2926</v>
      </c>
      <c r="H413" s="2">
        <f t="shared" si="9"/>
        <v>0</v>
      </c>
      <c r="I413"/>
    </row>
    <row r="414" spans="1:9">
      <c r="A414" s="1" t="s">
        <v>2909</v>
      </c>
      <c r="B414" s="1" t="s">
        <v>152</v>
      </c>
      <c r="C414" s="1" t="s">
        <v>2926</v>
      </c>
      <c r="H414" s="2">
        <f t="shared" si="9"/>
        <v>0</v>
      </c>
      <c r="I414"/>
    </row>
    <row r="415" spans="1:9">
      <c r="A415" s="1" t="s">
        <v>2909</v>
      </c>
      <c r="B415" s="1" t="s">
        <v>153</v>
      </c>
      <c r="C415" s="1" t="s">
        <v>2926</v>
      </c>
      <c r="G415" s="2">
        <v>23712.13</v>
      </c>
      <c r="H415" s="2">
        <f t="shared" si="9"/>
        <v>23712.13</v>
      </c>
      <c r="I415"/>
    </row>
    <row r="416" spans="1:9">
      <c r="A416" s="1" t="s">
        <v>2909</v>
      </c>
      <c r="B416" s="1" t="s">
        <v>154</v>
      </c>
      <c r="C416" s="1" t="s">
        <v>2926</v>
      </c>
      <c r="H416" s="2">
        <f t="shared" si="9"/>
        <v>0</v>
      </c>
      <c r="I416"/>
    </row>
    <row r="417" spans="1:8">
      <c r="A417" s="1" t="s">
        <v>2909</v>
      </c>
      <c r="B417" s="1" t="s">
        <v>155</v>
      </c>
      <c r="C417" s="1" t="s">
        <v>2926</v>
      </c>
      <c r="H417" s="2">
        <f t="shared" si="9"/>
        <v>0</v>
      </c>
    </row>
    <row r="418" spans="1:9">
      <c r="A418" s="1" t="s">
        <v>2909</v>
      </c>
      <c r="B418" s="1" t="s">
        <v>156</v>
      </c>
      <c r="C418" s="1" t="s">
        <v>2926</v>
      </c>
      <c r="H418" s="2">
        <f t="shared" si="9"/>
        <v>0</v>
      </c>
      <c r="I418"/>
    </row>
    <row r="419" spans="1:9">
      <c r="A419" s="1" t="s">
        <v>2909</v>
      </c>
      <c r="B419" s="1" t="s">
        <v>157</v>
      </c>
      <c r="C419" s="1" t="s">
        <v>2926</v>
      </c>
      <c r="H419" s="2">
        <f t="shared" si="9"/>
        <v>0</v>
      </c>
      <c r="I419"/>
    </row>
    <row r="420" spans="1:9">
      <c r="A420" s="1" t="s">
        <v>2909</v>
      </c>
      <c r="B420" s="1" t="s">
        <v>158</v>
      </c>
      <c r="C420" s="1" t="s">
        <v>2926</v>
      </c>
      <c r="H420" s="2">
        <f t="shared" si="9"/>
        <v>0</v>
      </c>
      <c r="I420"/>
    </row>
    <row r="421" spans="1:9">
      <c r="A421" s="1" t="s">
        <v>2909</v>
      </c>
      <c r="B421" s="1" t="s">
        <v>159</v>
      </c>
      <c r="C421" s="1" t="s">
        <v>2926</v>
      </c>
      <c r="H421" s="2">
        <f t="shared" si="9"/>
        <v>0</v>
      </c>
      <c r="I421"/>
    </row>
    <row r="422" spans="1:9">
      <c r="A422" s="1" t="s">
        <v>2910</v>
      </c>
      <c r="B422" s="1" t="s">
        <v>148</v>
      </c>
      <c r="C422" s="1" t="s">
        <v>2892</v>
      </c>
      <c r="D422" s="2">
        <v>7405175.35</v>
      </c>
      <c r="E422" s="2">
        <v>15995112.99</v>
      </c>
      <c r="F422" s="2">
        <v>65382040.48</v>
      </c>
      <c r="G422" s="2">
        <v>82166003.77</v>
      </c>
      <c r="H422" s="2">
        <f t="shared" si="9"/>
        <v>170948332.59</v>
      </c>
      <c r="I422"/>
    </row>
    <row r="423" spans="1:9">
      <c r="A423" s="1" t="s">
        <v>2910</v>
      </c>
      <c r="B423" s="1" t="s">
        <v>149</v>
      </c>
      <c r="C423" s="1" t="s">
        <v>2892</v>
      </c>
      <c r="D423" s="2">
        <v>5229402.31</v>
      </c>
      <c r="E423" s="2">
        <v>17083711</v>
      </c>
      <c r="F423" s="2">
        <v>31619413.1499999</v>
      </c>
      <c r="G423" s="2">
        <v>47115354.28</v>
      </c>
      <c r="H423" s="2">
        <f t="shared" si="9"/>
        <v>101047880.74</v>
      </c>
      <c r="I423"/>
    </row>
    <row r="424" spans="1:9">
      <c r="A424" s="1" t="s">
        <v>2910</v>
      </c>
      <c r="B424" s="1" t="s">
        <v>150</v>
      </c>
      <c r="C424" s="1" t="s">
        <v>2892</v>
      </c>
      <c r="D424" s="2">
        <v>5361451.62</v>
      </c>
      <c r="E424" s="2">
        <v>20865893.66</v>
      </c>
      <c r="F424" s="2">
        <v>27566874.6999999</v>
      </c>
      <c r="G424" s="2">
        <v>91602614.1</v>
      </c>
      <c r="H424" s="2">
        <f t="shared" si="9"/>
        <v>145396834.08</v>
      </c>
      <c r="I424"/>
    </row>
    <row r="425" spans="1:9">
      <c r="A425" s="1" t="s">
        <v>2910</v>
      </c>
      <c r="B425" s="1" t="s">
        <v>151</v>
      </c>
      <c r="C425" s="1" t="s">
        <v>2892</v>
      </c>
      <c r="D425" s="2">
        <v>9768057.59</v>
      </c>
      <c r="E425" s="2">
        <v>14662826.07</v>
      </c>
      <c r="F425" s="2">
        <v>22590856.43</v>
      </c>
      <c r="G425" s="2">
        <v>45758351.61</v>
      </c>
      <c r="H425" s="2">
        <f t="shared" si="9"/>
        <v>92780091.7</v>
      </c>
      <c r="I425"/>
    </row>
    <row r="426" spans="1:9">
      <c r="A426" s="1" t="s">
        <v>2910</v>
      </c>
      <c r="B426" s="1" t="s">
        <v>152</v>
      </c>
      <c r="C426" s="1" t="s">
        <v>2892</v>
      </c>
      <c r="D426" s="2">
        <v>16940163.79</v>
      </c>
      <c r="E426" s="2">
        <v>15401360</v>
      </c>
      <c r="F426" s="2">
        <v>24257355.3</v>
      </c>
      <c r="G426" s="2">
        <v>58363388.4</v>
      </c>
      <c r="H426" s="2">
        <f t="shared" si="9"/>
        <v>114962267.49</v>
      </c>
      <c r="I426"/>
    </row>
    <row r="427" spans="1:9">
      <c r="A427" s="1" t="s">
        <v>2910</v>
      </c>
      <c r="B427" s="1" t="s">
        <v>153</v>
      </c>
      <c r="C427" s="1" t="s">
        <v>2892</v>
      </c>
      <c r="D427" s="2">
        <v>21062532</v>
      </c>
      <c r="E427" s="2">
        <v>28410794.92</v>
      </c>
      <c r="F427" s="2">
        <v>37649788.8000001</v>
      </c>
      <c r="G427" s="2">
        <v>75955479.61</v>
      </c>
      <c r="H427" s="2">
        <f t="shared" si="9"/>
        <v>163078595.33</v>
      </c>
      <c r="I427"/>
    </row>
    <row r="428" spans="1:9">
      <c r="A428" s="1" t="s">
        <v>2910</v>
      </c>
      <c r="B428" s="1" t="s">
        <v>154</v>
      </c>
      <c r="C428" s="1" t="s">
        <v>2892</v>
      </c>
      <c r="D428" s="2">
        <v>29947674.4</v>
      </c>
      <c r="E428" s="2">
        <v>19676272.6</v>
      </c>
      <c r="F428" s="2">
        <v>31238070</v>
      </c>
      <c r="G428" s="2">
        <v>58650009.5</v>
      </c>
      <c r="H428" s="2">
        <f t="shared" si="9"/>
        <v>139512026.5</v>
      </c>
      <c r="I428"/>
    </row>
    <row r="429" spans="1:8">
      <c r="A429" s="1" t="s">
        <v>2910</v>
      </c>
      <c r="B429" s="1" t="s">
        <v>155</v>
      </c>
      <c r="C429" s="1" t="s">
        <v>2892</v>
      </c>
      <c r="D429" s="2">
        <v>30064201.97</v>
      </c>
      <c r="E429" s="2">
        <v>15612699.28</v>
      </c>
      <c r="F429" s="2">
        <v>24231640.9499996</v>
      </c>
      <c r="G429" s="2">
        <v>81370811.25</v>
      </c>
      <c r="H429" s="2">
        <f t="shared" si="9"/>
        <v>151279353.45</v>
      </c>
    </row>
    <row r="430" spans="1:9">
      <c r="A430" s="1" t="s">
        <v>2910</v>
      </c>
      <c r="B430" s="1" t="s">
        <v>156</v>
      </c>
      <c r="C430" s="1" t="s">
        <v>2892</v>
      </c>
      <c r="D430" s="2">
        <v>20081110.17</v>
      </c>
      <c r="E430" s="2">
        <v>13930485.99</v>
      </c>
      <c r="F430" s="2">
        <v>27974967.1699994</v>
      </c>
      <c r="G430" s="2">
        <v>124870822.55</v>
      </c>
      <c r="H430" s="2">
        <f t="shared" si="9"/>
        <v>186857385.879999</v>
      </c>
      <c r="I430"/>
    </row>
    <row r="431" spans="1:9">
      <c r="A431" s="1" t="s">
        <v>2910</v>
      </c>
      <c r="B431" s="1" t="s">
        <v>157</v>
      </c>
      <c r="C431" s="1" t="s">
        <v>2892</v>
      </c>
      <c r="D431" s="2">
        <v>21620556.45</v>
      </c>
      <c r="E431" s="2">
        <v>15049932.53</v>
      </c>
      <c r="F431" s="2">
        <v>28945914.1</v>
      </c>
      <c r="G431" s="2">
        <v>108484339.8</v>
      </c>
      <c r="H431" s="2">
        <f t="shared" si="9"/>
        <v>174100742.88</v>
      </c>
      <c r="I431"/>
    </row>
    <row r="432" spans="1:9">
      <c r="A432" s="1" t="s">
        <v>2910</v>
      </c>
      <c r="B432" s="1" t="s">
        <v>158</v>
      </c>
      <c r="C432" s="1" t="s">
        <v>2892</v>
      </c>
      <c r="D432" s="2">
        <v>20635361.38</v>
      </c>
      <c r="E432" s="2">
        <v>9245766.45000002</v>
      </c>
      <c r="F432" s="2">
        <v>65618811.53</v>
      </c>
      <c r="G432" s="2">
        <v>105503467.33</v>
      </c>
      <c r="H432" s="2">
        <f t="shared" si="9"/>
        <v>201003406.69</v>
      </c>
      <c r="I432"/>
    </row>
    <row r="433" spans="1:9">
      <c r="A433" s="1" t="s">
        <v>2910</v>
      </c>
      <c r="B433" s="1" t="s">
        <v>159</v>
      </c>
      <c r="C433" s="1" t="s">
        <v>2892</v>
      </c>
      <c r="D433" s="2">
        <v>29292961.86</v>
      </c>
      <c r="E433" s="2">
        <v>7427005.24</v>
      </c>
      <c r="F433" s="2">
        <v>24309266.3388</v>
      </c>
      <c r="G433" s="2">
        <v>87758912.4712001</v>
      </c>
      <c r="H433" s="2">
        <f t="shared" si="9"/>
        <v>148788145.91</v>
      </c>
      <c r="I433"/>
    </row>
    <row r="434" spans="1:9">
      <c r="A434" s="1" t="s">
        <v>2910</v>
      </c>
      <c r="B434" s="1" t="s">
        <v>148</v>
      </c>
      <c r="C434" s="1" t="s">
        <v>2899</v>
      </c>
      <c r="D434" s="2">
        <v>7270872.9078</v>
      </c>
      <c r="E434" s="2">
        <v>15959411.61</v>
      </c>
      <c r="F434" s="2">
        <v>66061588.1396</v>
      </c>
      <c r="G434" s="2">
        <v>81862360.6152</v>
      </c>
      <c r="H434" s="2">
        <f t="shared" si="9"/>
        <v>171154233.2726</v>
      </c>
      <c r="I434"/>
    </row>
    <row r="435" spans="1:9">
      <c r="A435" s="1" t="s">
        <v>2910</v>
      </c>
      <c r="B435" s="1" t="s">
        <v>149</v>
      </c>
      <c r="C435" s="1" t="s">
        <v>2899</v>
      </c>
      <c r="D435" s="2">
        <v>5161246.4</v>
      </c>
      <c r="E435" s="2">
        <v>17048134.4108</v>
      </c>
      <c r="F435" s="2">
        <v>31643339.91</v>
      </c>
      <c r="G435" s="2">
        <v>46819020.476</v>
      </c>
      <c r="H435" s="2">
        <f t="shared" si="9"/>
        <v>100671741.1968</v>
      </c>
      <c r="I435"/>
    </row>
    <row r="436" spans="1:9">
      <c r="A436" s="1" t="s">
        <v>2910</v>
      </c>
      <c r="B436" s="1" t="s">
        <v>150</v>
      </c>
      <c r="C436" s="1" t="s">
        <v>2899</v>
      </c>
      <c r="D436" s="2">
        <v>5128834.1</v>
      </c>
      <c r="E436" s="2">
        <v>20780900.6</v>
      </c>
      <c r="F436" s="2">
        <v>24309600.3</v>
      </c>
      <c r="G436" s="2">
        <v>90636954.1</v>
      </c>
      <c r="H436" s="2">
        <f t="shared" si="9"/>
        <v>140856289.1</v>
      </c>
      <c r="I436"/>
    </row>
    <row r="437" spans="1:9">
      <c r="A437" s="1" t="s">
        <v>2910</v>
      </c>
      <c r="B437" s="1" t="s">
        <v>151</v>
      </c>
      <c r="C437" s="1" t="s">
        <v>2899</v>
      </c>
      <c r="D437" s="2">
        <v>9608435.7274</v>
      </c>
      <c r="E437" s="2">
        <v>14612070.5988</v>
      </c>
      <c r="F437" s="2">
        <v>22148036.8406</v>
      </c>
      <c r="G437" s="2">
        <v>44525865.7296</v>
      </c>
      <c r="H437" s="2">
        <f t="shared" si="9"/>
        <v>90894408.8964</v>
      </c>
      <c r="I437"/>
    </row>
    <row r="438" spans="1:9">
      <c r="A438" s="1" t="s">
        <v>2910</v>
      </c>
      <c r="B438" s="1" t="s">
        <v>152</v>
      </c>
      <c r="C438" s="1" t="s">
        <v>2899</v>
      </c>
      <c r="D438" s="2">
        <v>16684219</v>
      </c>
      <c r="E438" s="2">
        <v>15285960.86</v>
      </c>
      <c r="F438" s="2">
        <v>22513197.6</v>
      </c>
      <c r="G438" s="2">
        <v>58168986.25</v>
      </c>
      <c r="H438" s="2">
        <f t="shared" si="9"/>
        <v>112652363.71</v>
      </c>
      <c r="I438"/>
    </row>
    <row r="439" spans="1:9">
      <c r="A439" s="1" t="s">
        <v>2910</v>
      </c>
      <c r="B439" s="1" t="s">
        <v>153</v>
      </c>
      <c r="C439" s="1" t="s">
        <v>2899</v>
      </c>
      <c r="D439" s="2">
        <v>20960480.5</v>
      </c>
      <c r="E439" s="2">
        <v>28421633.987</v>
      </c>
      <c r="F439" s="2">
        <v>33919595.5942</v>
      </c>
      <c r="G439" s="2">
        <v>75319914.5032</v>
      </c>
      <c r="H439" s="2">
        <f t="shared" si="9"/>
        <v>158621624.5844</v>
      </c>
      <c r="I439"/>
    </row>
    <row r="440" spans="1:9">
      <c r="A440" s="1" t="s">
        <v>2910</v>
      </c>
      <c r="B440" s="1" t="s">
        <v>154</v>
      </c>
      <c r="C440" s="1" t="s">
        <v>2899</v>
      </c>
      <c r="D440" s="2">
        <v>29392387.1</v>
      </c>
      <c r="E440" s="2">
        <v>19486848.7</v>
      </c>
      <c r="F440" s="2">
        <v>29056482.5</v>
      </c>
      <c r="G440" s="2">
        <v>58474006.2</v>
      </c>
      <c r="H440" s="2">
        <f t="shared" si="9"/>
        <v>136409724.5</v>
      </c>
      <c r="I440"/>
    </row>
    <row r="441" spans="1:8">
      <c r="A441" s="1" t="s">
        <v>2910</v>
      </c>
      <c r="B441" s="1" t="s">
        <v>155</v>
      </c>
      <c r="C441" s="1" t="s">
        <v>2899</v>
      </c>
      <c r="D441" s="2">
        <v>29778495.25</v>
      </c>
      <c r="E441" s="2">
        <v>15459988.11</v>
      </c>
      <c r="F441" s="2">
        <v>23119727.0644</v>
      </c>
      <c r="G441" s="2">
        <v>81044567.95</v>
      </c>
      <c r="H441" s="2">
        <f t="shared" si="9"/>
        <v>149402778.3744</v>
      </c>
    </row>
    <row r="442" spans="1:9">
      <c r="A442" s="1" t="s">
        <v>2910</v>
      </c>
      <c r="B442" s="1" t="s">
        <v>156</v>
      </c>
      <c r="C442" s="1" t="s">
        <v>2899</v>
      </c>
      <c r="D442" s="2">
        <v>19817915.215</v>
      </c>
      <c r="E442" s="2">
        <v>13770801.9996</v>
      </c>
      <c r="F442" s="2">
        <v>27228435.258</v>
      </c>
      <c r="G442" s="2">
        <v>124370263.2084</v>
      </c>
      <c r="H442" s="2">
        <f t="shared" si="9"/>
        <v>185187415.681</v>
      </c>
      <c r="I442"/>
    </row>
    <row r="443" spans="1:9">
      <c r="A443" s="1" t="s">
        <v>2910</v>
      </c>
      <c r="B443" s="1" t="s">
        <v>157</v>
      </c>
      <c r="C443" s="1" t="s">
        <v>2899</v>
      </c>
      <c r="D443" s="2">
        <v>21301098.3004</v>
      </c>
      <c r="E443" s="2">
        <v>14912592.36</v>
      </c>
      <c r="F443" s="2">
        <v>28547360</v>
      </c>
      <c r="G443" s="2">
        <v>107579308.5</v>
      </c>
      <c r="H443" s="2">
        <f t="shared" si="9"/>
        <v>172340359.1604</v>
      </c>
      <c r="I443"/>
    </row>
    <row r="444" spans="1:9">
      <c r="A444" s="1" t="s">
        <v>2910</v>
      </c>
      <c r="B444" s="1" t="s">
        <v>158</v>
      </c>
      <c r="C444" s="1" t="s">
        <v>2899</v>
      </c>
      <c r="D444" s="2">
        <v>20374432.72</v>
      </c>
      <c r="E444" s="2">
        <v>9212035.68</v>
      </c>
      <c r="F444" s="2">
        <v>58943401.6</v>
      </c>
      <c r="G444" s="2">
        <v>104003430.3762</v>
      </c>
      <c r="H444" s="2">
        <f t="shared" si="9"/>
        <v>192533300.3762</v>
      </c>
      <c r="I444"/>
    </row>
    <row r="445" spans="1:9">
      <c r="A445" s="1" t="s">
        <v>2910</v>
      </c>
      <c r="B445" s="1" t="s">
        <v>159</v>
      </c>
      <c r="C445" s="1" t="s">
        <v>2899</v>
      </c>
      <c r="D445" s="2">
        <v>29502630.14</v>
      </c>
      <c r="E445" s="2">
        <v>7386434.5174</v>
      </c>
      <c r="F445" s="2">
        <v>16804448.668</v>
      </c>
      <c r="G445" s="2">
        <v>87462704.3622</v>
      </c>
      <c r="H445" s="2">
        <f t="shared" si="9"/>
        <v>141156217.6876</v>
      </c>
      <c r="I445"/>
    </row>
    <row r="446" spans="1:9">
      <c r="A446" s="1" t="s">
        <v>2910</v>
      </c>
      <c r="B446" s="1" t="s">
        <v>148</v>
      </c>
      <c r="C446" s="1" t="s">
        <v>2896</v>
      </c>
      <c r="D446" s="2">
        <v>6281020.94</v>
      </c>
      <c r="E446" s="2">
        <v>1757302.41</v>
      </c>
      <c r="F446" s="2">
        <v>62472258.6</v>
      </c>
      <c r="G446" s="2">
        <v>22776792.86</v>
      </c>
      <c r="H446" s="2">
        <f t="shared" si="9"/>
        <v>93287374.81</v>
      </c>
      <c r="I446"/>
    </row>
    <row r="447" spans="1:9">
      <c r="A447" s="1" t="s">
        <v>2910</v>
      </c>
      <c r="B447" s="1" t="s">
        <v>149</v>
      </c>
      <c r="C447" s="1" t="s">
        <v>2896</v>
      </c>
      <c r="D447" s="2">
        <v>6232822.4</v>
      </c>
      <c r="E447" s="2">
        <v>1082154.81</v>
      </c>
      <c r="F447" s="2">
        <v>78289118.88</v>
      </c>
      <c r="G447" s="2">
        <v>12140857.13</v>
      </c>
      <c r="H447" s="2">
        <f t="shared" si="9"/>
        <v>97744953.22</v>
      </c>
      <c r="I447"/>
    </row>
    <row r="448" spans="1:9">
      <c r="A448" s="1" t="s">
        <v>2910</v>
      </c>
      <c r="B448" s="1" t="s">
        <v>150</v>
      </c>
      <c r="C448" s="1" t="s">
        <v>2896</v>
      </c>
      <c r="D448" s="2">
        <v>5720636.85</v>
      </c>
      <c r="E448" s="2">
        <v>3763176.25</v>
      </c>
      <c r="F448" s="2">
        <v>91366583.98</v>
      </c>
      <c r="G448" s="2">
        <v>21587544.9</v>
      </c>
      <c r="H448" s="2">
        <f t="shared" si="9"/>
        <v>122437941.98</v>
      </c>
      <c r="I448"/>
    </row>
    <row r="449" spans="1:9">
      <c r="A449" s="1" t="s">
        <v>2910</v>
      </c>
      <c r="B449" s="1" t="s">
        <v>151</v>
      </c>
      <c r="C449" s="1" t="s">
        <v>2896</v>
      </c>
      <c r="D449" s="2">
        <v>5734954.72</v>
      </c>
      <c r="E449" s="2">
        <v>2600536.07</v>
      </c>
      <c r="F449" s="2">
        <v>112922343.62</v>
      </c>
      <c r="G449" s="2">
        <v>14292594.2</v>
      </c>
      <c r="H449" s="2">
        <f t="shared" si="9"/>
        <v>135550428.61</v>
      </c>
      <c r="I449"/>
    </row>
    <row r="450" spans="1:9">
      <c r="A450" s="1" t="s">
        <v>2910</v>
      </c>
      <c r="B450" s="1" t="s">
        <v>152</v>
      </c>
      <c r="C450" s="1" t="s">
        <v>2896</v>
      </c>
      <c r="D450" s="2">
        <v>9546157.32</v>
      </c>
      <c r="E450" s="2">
        <v>2920035.17</v>
      </c>
      <c r="F450" s="2">
        <v>156537008.84</v>
      </c>
      <c r="G450" s="2">
        <v>16719824.09</v>
      </c>
      <c r="H450" s="2">
        <f t="shared" ref="H450:H513" si="10">SUM(D450:G450)</f>
        <v>185723025.42</v>
      </c>
      <c r="I450"/>
    </row>
    <row r="451" spans="1:9">
      <c r="A451" s="1" t="s">
        <v>2910</v>
      </c>
      <c r="B451" s="1" t="s">
        <v>153</v>
      </c>
      <c r="C451" s="1" t="s">
        <v>2896</v>
      </c>
      <c r="D451" s="2">
        <v>9354251.49</v>
      </c>
      <c r="E451" s="2">
        <v>6770801.43</v>
      </c>
      <c r="F451" s="2">
        <v>316117750.41</v>
      </c>
      <c r="G451" s="2">
        <v>24844433.7</v>
      </c>
      <c r="H451" s="2">
        <f t="shared" si="10"/>
        <v>357087237.03</v>
      </c>
      <c r="I451"/>
    </row>
    <row r="452" spans="1:9">
      <c r="A452" s="1" t="s">
        <v>2910</v>
      </c>
      <c r="B452" s="1" t="s">
        <v>154</v>
      </c>
      <c r="C452" s="1" t="s">
        <v>2896</v>
      </c>
      <c r="D452" s="2">
        <v>6943902.96</v>
      </c>
      <c r="E452" s="2">
        <v>5175568.22</v>
      </c>
      <c r="F452" s="2">
        <v>166089279.31</v>
      </c>
      <c r="G452" s="2">
        <v>18959214.65</v>
      </c>
      <c r="H452" s="2">
        <f t="shared" si="10"/>
        <v>197167965.14</v>
      </c>
      <c r="I452"/>
    </row>
    <row r="453" spans="1:8">
      <c r="A453" s="1" t="s">
        <v>2910</v>
      </c>
      <c r="B453" s="1" t="s">
        <v>155</v>
      </c>
      <c r="C453" s="1" t="s">
        <v>2896</v>
      </c>
      <c r="D453" s="2">
        <v>6429932.26</v>
      </c>
      <c r="E453" s="2">
        <v>5350416.21</v>
      </c>
      <c r="F453" s="2">
        <v>267313350.76</v>
      </c>
      <c r="G453" s="2">
        <v>25966379.31</v>
      </c>
      <c r="H453" s="2">
        <f t="shared" si="10"/>
        <v>305060078.54</v>
      </c>
    </row>
    <row r="454" spans="1:9">
      <c r="A454" s="1" t="s">
        <v>2910</v>
      </c>
      <c r="B454" s="1" t="s">
        <v>156</v>
      </c>
      <c r="C454" s="1" t="s">
        <v>2896</v>
      </c>
      <c r="D454" s="2">
        <v>7341432.34</v>
      </c>
      <c r="E454" s="2">
        <v>6928932.71</v>
      </c>
      <c r="F454" s="2">
        <v>380950148.33</v>
      </c>
      <c r="G454" s="2">
        <v>32313120.87</v>
      </c>
      <c r="H454" s="2">
        <f t="shared" si="10"/>
        <v>427533634.25</v>
      </c>
      <c r="I454"/>
    </row>
    <row r="455" spans="1:9">
      <c r="A455" s="1" t="s">
        <v>2910</v>
      </c>
      <c r="B455" s="1" t="s">
        <v>157</v>
      </c>
      <c r="C455" s="1" t="s">
        <v>2896</v>
      </c>
      <c r="D455" s="2">
        <v>6770108.09</v>
      </c>
      <c r="E455" s="2">
        <v>6323991.77</v>
      </c>
      <c r="F455" s="2">
        <v>204845724.81</v>
      </c>
      <c r="G455" s="2">
        <v>39010290.37</v>
      </c>
      <c r="H455" s="2">
        <f t="shared" si="10"/>
        <v>256950115.04</v>
      </c>
      <c r="I455"/>
    </row>
    <row r="456" spans="1:9">
      <c r="A456" s="1" t="s">
        <v>2910</v>
      </c>
      <c r="B456" s="1" t="s">
        <v>158</v>
      </c>
      <c r="C456" s="1" t="s">
        <v>2896</v>
      </c>
      <c r="D456" s="2">
        <v>9441986.49</v>
      </c>
      <c r="E456" s="2">
        <v>7505388.12</v>
      </c>
      <c r="F456" s="2">
        <v>325230286.37</v>
      </c>
      <c r="G456" s="2">
        <v>57330929.41</v>
      </c>
      <c r="H456" s="2">
        <f t="shared" si="10"/>
        <v>399508590.39</v>
      </c>
      <c r="I456"/>
    </row>
    <row r="457" spans="1:9">
      <c r="A457" s="1" t="s">
        <v>2910</v>
      </c>
      <c r="B457" s="1" t="s">
        <v>159</v>
      </c>
      <c r="C457" s="1" t="s">
        <v>2896</v>
      </c>
      <c r="D457" s="2">
        <v>6540201.34</v>
      </c>
      <c r="E457" s="2">
        <v>10002144.6</v>
      </c>
      <c r="F457" s="2">
        <v>460371245.21</v>
      </c>
      <c r="G457" s="2">
        <v>58826757.84</v>
      </c>
      <c r="H457" s="2">
        <f t="shared" si="10"/>
        <v>535740348.99</v>
      </c>
      <c r="I457"/>
    </row>
    <row r="458" spans="1:9">
      <c r="A458" s="1" t="s">
        <v>2910</v>
      </c>
      <c r="B458" s="1" t="s">
        <v>148</v>
      </c>
      <c r="C458" s="1" t="s">
        <v>2893</v>
      </c>
      <c r="D458" s="2">
        <v>4589204.14</v>
      </c>
      <c r="E458" s="2">
        <v>1674621.9</v>
      </c>
      <c r="F458" s="2">
        <v>56889241.44</v>
      </c>
      <c r="G458" s="2">
        <v>20580416.2</v>
      </c>
      <c r="H458" s="2">
        <f t="shared" si="10"/>
        <v>83733483.68</v>
      </c>
      <c r="I458"/>
    </row>
    <row r="459" spans="1:9">
      <c r="A459" s="1" t="s">
        <v>2910</v>
      </c>
      <c r="B459" s="1" t="s">
        <v>149</v>
      </c>
      <c r="C459" s="1" t="s">
        <v>2893</v>
      </c>
      <c r="D459" s="2">
        <v>5485818.48</v>
      </c>
      <c r="E459" s="2">
        <v>1073146.26</v>
      </c>
      <c r="F459" s="2">
        <v>74467784.29</v>
      </c>
      <c r="G459" s="2">
        <v>10686180.39</v>
      </c>
      <c r="H459" s="2">
        <f t="shared" si="10"/>
        <v>91712929.42</v>
      </c>
      <c r="I459"/>
    </row>
    <row r="460" spans="1:9">
      <c r="A460" s="1" t="s">
        <v>2910</v>
      </c>
      <c r="B460" s="1" t="s">
        <v>150</v>
      </c>
      <c r="C460" s="1" t="s">
        <v>2893</v>
      </c>
      <c r="D460" s="2">
        <v>6288516.49</v>
      </c>
      <c r="E460" s="2">
        <v>3742833.98</v>
      </c>
      <c r="F460" s="2">
        <v>93065696.43</v>
      </c>
      <c r="G460" s="2">
        <v>20741849.79</v>
      </c>
      <c r="H460" s="2">
        <f t="shared" si="10"/>
        <v>123838896.69</v>
      </c>
      <c r="I460"/>
    </row>
    <row r="461" spans="1:9">
      <c r="A461" s="1" t="s">
        <v>2910</v>
      </c>
      <c r="B461" s="1" t="s">
        <v>151</v>
      </c>
      <c r="C461" s="1" t="s">
        <v>2893</v>
      </c>
      <c r="D461" s="2">
        <v>5181236.79</v>
      </c>
      <c r="E461" s="2">
        <v>2580685.62</v>
      </c>
      <c r="F461" s="2">
        <v>114926786.06</v>
      </c>
      <c r="G461" s="2">
        <v>12237838.42</v>
      </c>
      <c r="H461" s="2">
        <f t="shared" si="10"/>
        <v>134926546.89</v>
      </c>
      <c r="I461"/>
    </row>
    <row r="462" spans="1:9">
      <c r="A462" s="1" t="s">
        <v>2910</v>
      </c>
      <c r="B462" s="1" t="s">
        <v>152</v>
      </c>
      <c r="C462" s="1" t="s">
        <v>2893</v>
      </c>
      <c r="D462" s="2">
        <v>9057852.11</v>
      </c>
      <c r="E462" s="2">
        <v>2894408.71</v>
      </c>
      <c r="F462" s="2">
        <v>156343417.44</v>
      </c>
      <c r="G462" s="2">
        <v>15391998.87</v>
      </c>
      <c r="H462" s="2">
        <f t="shared" si="10"/>
        <v>183687677.13</v>
      </c>
      <c r="I462"/>
    </row>
    <row r="463" spans="1:9">
      <c r="A463" s="1" t="s">
        <v>2910</v>
      </c>
      <c r="B463" s="1" t="s">
        <v>153</v>
      </c>
      <c r="C463" s="1" t="s">
        <v>2893</v>
      </c>
      <c r="D463" s="2">
        <v>6025740.23</v>
      </c>
      <c r="E463" s="2">
        <v>6690075.73</v>
      </c>
      <c r="F463" s="2">
        <v>313534288.08</v>
      </c>
      <c r="G463" s="2">
        <v>23608470.85</v>
      </c>
      <c r="H463" s="2">
        <f t="shared" si="10"/>
        <v>349858574.89</v>
      </c>
      <c r="I463"/>
    </row>
    <row r="464" spans="1:9">
      <c r="A464" s="1" t="s">
        <v>2910</v>
      </c>
      <c r="B464" s="1" t="s">
        <v>154</v>
      </c>
      <c r="C464" s="1" t="s">
        <v>2893</v>
      </c>
      <c r="D464" s="2">
        <v>6294457.08</v>
      </c>
      <c r="E464" s="2">
        <v>5136902.46</v>
      </c>
      <c r="F464" s="2">
        <v>169695453.75</v>
      </c>
      <c r="G464" s="2">
        <v>17753159.09</v>
      </c>
      <c r="H464" s="2">
        <f t="shared" si="10"/>
        <v>198879972.38</v>
      </c>
      <c r="I464"/>
    </row>
    <row r="465" spans="1:8">
      <c r="A465" s="1" t="s">
        <v>2910</v>
      </c>
      <c r="B465" s="1" t="s">
        <v>155</v>
      </c>
      <c r="C465" s="1" t="s">
        <v>2893</v>
      </c>
      <c r="D465" s="2">
        <v>6012547.71</v>
      </c>
      <c r="E465" s="2">
        <v>5294439.5</v>
      </c>
      <c r="F465" s="2">
        <v>267418131.8</v>
      </c>
      <c r="G465" s="2">
        <v>23956927.41</v>
      </c>
      <c r="H465" s="2">
        <f t="shared" si="10"/>
        <v>302682046.42</v>
      </c>
    </row>
    <row r="466" spans="1:9">
      <c r="A466" s="1" t="s">
        <v>2910</v>
      </c>
      <c r="B466" s="1" t="s">
        <v>156</v>
      </c>
      <c r="C466" s="1" t="s">
        <v>2893</v>
      </c>
      <c r="D466" s="2">
        <v>6649156.72</v>
      </c>
      <c r="E466" s="2">
        <v>6899102.95</v>
      </c>
      <c r="F466" s="2">
        <v>377729464.03</v>
      </c>
      <c r="G466" s="2">
        <v>31414581.27</v>
      </c>
      <c r="H466" s="2">
        <f t="shared" si="10"/>
        <v>422692304.97</v>
      </c>
      <c r="I466"/>
    </row>
    <row r="467" spans="1:9">
      <c r="A467" s="1" t="s">
        <v>2910</v>
      </c>
      <c r="B467" s="1" t="s">
        <v>157</v>
      </c>
      <c r="C467" s="1" t="s">
        <v>2893</v>
      </c>
      <c r="D467" s="2">
        <v>6240707.15</v>
      </c>
      <c r="E467" s="2">
        <v>6042400.8</v>
      </c>
      <c r="F467" s="2">
        <v>207193507.77</v>
      </c>
      <c r="G467" s="2">
        <v>38433806.13</v>
      </c>
      <c r="H467" s="2">
        <f t="shared" si="10"/>
        <v>257910421.85</v>
      </c>
      <c r="I467"/>
    </row>
    <row r="468" spans="1:9">
      <c r="A468" s="1" t="s">
        <v>2910</v>
      </c>
      <c r="B468" s="1" t="s">
        <v>158</v>
      </c>
      <c r="C468" s="1" t="s">
        <v>2893</v>
      </c>
      <c r="D468" s="2">
        <v>8990012.4</v>
      </c>
      <c r="E468" s="2">
        <v>7439732.83</v>
      </c>
      <c r="F468" s="2">
        <v>321882087.1</v>
      </c>
      <c r="G468" s="2">
        <v>58053161.91</v>
      </c>
      <c r="H468" s="2">
        <f t="shared" si="10"/>
        <v>396364994.24</v>
      </c>
      <c r="I468"/>
    </row>
    <row r="469" spans="1:9">
      <c r="A469" s="1" t="s">
        <v>2910</v>
      </c>
      <c r="B469" s="1" t="s">
        <v>159</v>
      </c>
      <c r="C469" s="1" t="s">
        <v>2893</v>
      </c>
      <c r="D469" s="2">
        <v>5889238.67</v>
      </c>
      <c r="E469" s="2">
        <v>9584947.82</v>
      </c>
      <c r="F469" s="2">
        <v>439803168.64</v>
      </c>
      <c r="G469" s="2">
        <v>59715031.8</v>
      </c>
      <c r="H469" s="2">
        <f t="shared" si="10"/>
        <v>514992386.93</v>
      </c>
      <c r="I469"/>
    </row>
    <row r="470" spans="1:9">
      <c r="A470" s="1" t="s">
        <v>2910</v>
      </c>
      <c r="B470" s="1" t="s">
        <v>148</v>
      </c>
      <c r="C470" s="1" t="s">
        <v>2902</v>
      </c>
      <c r="F470" s="2">
        <v>1531177.05</v>
      </c>
      <c r="G470" s="2">
        <v>20784.2</v>
      </c>
      <c r="H470" s="2">
        <f t="shared" si="10"/>
        <v>1551961.25</v>
      </c>
      <c r="I470"/>
    </row>
    <row r="471" spans="1:9">
      <c r="A471" s="1" t="s">
        <v>2910</v>
      </c>
      <c r="B471" s="1" t="s">
        <v>149</v>
      </c>
      <c r="C471" s="1" t="s">
        <v>2902</v>
      </c>
      <c r="F471" s="2">
        <v>333925.68</v>
      </c>
      <c r="G471" s="2">
        <v>8917.68</v>
      </c>
      <c r="H471" s="2">
        <f t="shared" si="10"/>
        <v>342843.36</v>
      </c>
      <c r="I471"/>
    </row>
    <row r="472" spans="1:9">
      <c r="A472" s="1" t="s">
        <v>2910</v>
      </c>
      <c r="B472" s="1" t="s">
        <v>150</v>
      </c>
      <c r="C472" s="1" t="s">
        <v>2902</v>
      </c>
      <c r="F472" s="2">
        <v>14089088.57</v>
      </c>
      <c r="G472" s="2">
        <v>3625.27</v>
      </c>
      <c r="H472" s="2">
        <f t="shared" si="10"/>
        <v>14092713.84</v>
      </c>
      <c r="I472"/>
    </row>
    <row r="473" spans="1:9">
      <c r="A473" s="1" t="s">
        <v>2910</v>
      </c>
      <c r="B473" s="1" t="s">
        <v>151</v>
      </c>
      <c r="C473" s="1" t="s">
        <v>2902</v>
      </c>
      <c r="D473" s="2">
        <v>4297.16</v>
      </c>
      <c r="F473" s="2">
        <v>129626.52</v>
      </c>
      <c r="G473" s="2">
        <v>-1133025.16</v>
      </c>
      <c r="H473" s="2">
        <f t="shared" si="10"/>
        <v>-999101.48</v>
      </c>
      <c r="I473"/>
    </row>
    <row r="474" spans="1:9">
      <c r="A474" s="1" t="s">
        <v>2910</v>
      </c>
      <c r="B474" s="1" t="s">
        <v>152</v>
      </c>
      <c r="C474" s="1" t="s">
        <v>2902</v>
      </c>
      <c r="D474" s="2">
        <v>9716.16</v>
      </c>
      <c r="F474" s="2">
        <v>1916292.07</v>
      </c>
      <c r="G474" s="2">
        <v>543.3</v>
      </c>
      <c r="H474" s="2">
        <f t="shared" si="10"/>
        <v>1926551.53</v>
      </c>
      <c r="I474"/>
    </row>
    <row r="475" spans="1:9">
      <c r="A475" s="1" t="s">
        <v>2910</v>
      </c>
      <c r="B475" s="1" t="s">
        <v>153</v>
      </c>
      <c r="C475" s="1" t="s">
        <v>2902</v>
      </c>
      <c r="D475" s="2">
        <v>-14013.29</v>
      </c>
      <c r="F475" s="2">
        <v>6357933.99</v>
      </c>
      <c r="G475" s="2">
        <v>5369.17</v>
      </c>
      <c r="H475" s="2">
        <f t="shared" si="10"/>
        <v>6349289.87</v>
      </c>
      <c r="I475"/>
    </row>
    <row r="476" spans="1:9">
      <c r="A476" s="1" t="s">
        <v>2910</v>
      </c>
      <c r="B476" s="1" t="s">
        <v>154</v>
      </c>
      <c r="C476" s="1" t="s">
        <v>2902</v>
      </c>
      <c r="D476" s="2">
        <v>4304.45</v>
      </c>
      <c r="F476" s="2">
        <v>657631.46</v>
      </c>
      <c r="G476" s="2">
        <v>21618.64</v>
      </c>
      <c r="H476" s="2">
        <f t="shared" si="10"/>
        <v>683554.55</v>
      </c>
      <c r="I476"/>
    </row>
    <row r="477" spans="1:8">
      <c r="A477" s="1" t="s">
        <v>2910</v>
      </c>
      <c r="B477" s="1" t="s">
        <v>155</v>
      </c>
      <c r="C477" s="1" t="s">
        <v>2902</v>
      </c>
      <c r="F477" s="2">
        <v>12884772.22</v>
      </c>
      <c r="G477" s="2">
        <v>1133.24</v>
      </c>
      <c r="H477" s="2">
        <f t="shared" si="10"/>
        <v>12885905.46</v>
      </c>
    </row>
    <row r="478" spans="1:9">
      <c r="A478" s="1" t="s">
        <v>2910</v>
      </c>
      <c r="B478" s="1" t="s">
        <v>156</v>
      </c>
      <c r="C478" s="1" t="s">
        <v>2902</v>
      </c>
      <c r="D478" s="2">
        <v>-9977.35</v>
      </c>
      <c r="F478" s="2">
        <v>1167425.09</v>
      </c>
      <c r="G478" s="2">
        <v>-43809.15</v>
      </c>
      <c r="H478" s="2">
        <f t="shared" si="10"/>
        <v>1113638.59</v>
      </c>
      <c r="I478"/>
    </row>
    <row r="479" spans="1:9">
      <c r="A479" s="1" t="s">
        <v>2910</v>
      </c>
      <c r="B479" s="1" t="s">
        <v>157</v>
      </c>
      <c r="C479" s="1" t="s">
        <v>2902</v>
      </c>
      <c r="F479" s="2">
        <v>1231280.93</v>
      </c>
      <c r="G479" s="2">
        <v>844.34</v>
      </c>
      <c r="H479" s="2">
        <f t="shared" si="10"/>
        <v>1232125.27</v>
      </c>
      <c r="I479"/>
    </row>
    <row r="480" spans="1:9">
      <c r="A480" s="1" t="s">
        <v>2910</v>
      </c>
      <c r="B480" s="1" t="s">
        <v>158</v>
      </c>
      <c r="C480" s="1" t="s">
        <v>2902</v>
      </c>
      <c r="D480" s="2">
        <v>0</v>
      </c>
      <c r="F480" s="2">
        <v>620373.57</v>
      </c>
      <c r="G480" s="2">
        <v>84309.02</v>
      </c>
      <c r="H480" s="2">
        <f t="shared" si="10"/>
        <v>704682.59</v>
      </c>
      <c r="I480"/>
    </row>
    <row r="481" spans="1:9">
      <c r="A481" s="1" t="s">
        <v>2910</v>
      </c>
      <c r="B481" s="1" t="s">
        <v>159</v>
      </c>
      <c r="C481" s="1" t="s">
        <v>2902</v>
      </c>
      <c r="F481" s="2">
        <v>610315.99</v>
      </c>
      <c r="G481" s="2">
        <v>-6761.82</v>
      </c>
      <c r="H481" s="2">
        <f t="shared" si="10"/>
        <v>603554.17</v>
      </c>
      <c r="I481"/>
    </row>
    <row r="482" spans="1:9">
      <c r="A482" s="1" t="s">
        <v>2910</v>
      </c>
      <c r="B482" s="1" t="s">
        <v>148</v>
      </c>
      <c r="C482" s="1" t="s">
        <v>2931</v>
      </c>
      <c r="F482" s="2">
        <v>120552.4</v>
      </c>
      <c r="G482" s="2">
        <v>8951.86</v>
      </c>
      <c r="H482" s="2">
        <f t="shared" si="10"/>
        <v>129504.26</v>
      </c>
      <c r="I482"/>
    </row>
    <row r="483" spans="1:9">
      <c r="A483" s="1" t="s">
        <v>2910</v>
      </c>
      <c r="B483" s="1" t="s">
        <v>149</v>
      </c>
      <c r="C483" s="1" t="s">
        <v>2931</v>
      </c>
      <c r="F483" s="2">
        <v>97023.41</v>
      </c>
      <c r="G483" s="2">
        <v>8630</v>
      </c>
      <c r="H483" s="2">
        <f t="shared" si="10"/>
        <v>105653.41</v>
      </c>
      <c r="I483"/>
    </row>
    <row r="484" spans="1:9">
      <c r="A484" s="1" t="s">
        <v>2910</v>
      </c>
      <c r="B484" s="1" t="s">
        <v>150</v>
      </c>
      <c r="C484" s="1" t="s">
        <v>2931</v>
      </c>
      <c r="F484" s="2">
        <v>390285.93</v>
      </c>
      <c r="G484" s="2">
        <v>14716.41</v>
      </c>
      <c r="H484" s="2">
        <f t="shared" si="10"/>
        <v>405002.34</v>
      </c>
      <c r="I484"/>
    </row>
    <row r="485" spans="1:9">
      <c r="A485" s="1" t="s">
        <v>2910</v>
      </c>
      <c r="B485" s="1" t="s">
        <v>151</v>
      </c>
      <c r="C485" s="1" t="s">
        <v>2931</v>
      </c>
      <c r="F485" s="2">
        <v>328148.23</v>
      </c>
      <c r="G485" s="2">
        <v>3545.14</v>
      </c>
      <c r="H485" s="2">
        <f t="shared" si="10"/>
        <v>331693.37</v>
      </c>
      <c r="I485"/>
    </row>
    <row r="486" spans="1:9">
      <c r="A486" s="1" t="s">
        <v>2910</v>
      </c>
      <c r="B486" s="1" t="s">
        <v>152</v>
      </c>
      <c r="C486" s="1" t="s">
        <v>2931</v>
      </c>
      <c r="F486" s="2">
        <v>130164.35</v>
      </c>
      <c r="G486" s="2">
        <v>57552.82</v>
      </c>
      <c r="H486" s="2">
        <f t="shared" si="10"/>
        <v>187717.17</v>
      </c>
      <c r="I486"/>
    </row>
    <row r="487" spans="1:9">
      <c r="A487" s="1" t="s">
        <v>2910</v>
      </c>
      <c r="B487" s="1" t="s">
        <v>153</v>
      </c>
      <c r="C487" s="1" t="s">
        <v>2931</v>
      </c>
      <c r="F487" s="2">
        <v>162690.17</v>
      </c>
      <c r="G487" s="2">
        <v>0</v>
      </c>
      <c r="H487" s="2">
        <f t="shared" si="10"/>
        <v>162690.17</v>
      </c>
      <c r="I487"/>
    </row>
    <row r="488" spans="1:9">
      <c r="A488" s="1" t="s">
        <v>2910</v>
      </c>
      <c r="B488" s="1" t="s">
        <v>154</v>
      </c>
      <c r="C488" s="1" t="s">
        <v>2931</v>
      </c>
      <c r="F488" s="2">
        <v>200149.88</v>
      </c>
      <c r="H488" s="2">
        <f t="shared" si="10"/>
        <v>200149.88</v>
      </c>
      <c r="I488"/>
    </row>
    <row r="489" spans="1:8">
      <c r="A489" s="1" t="s">
        <v>2910</v>
      </c>
      <c r="B489" s="1" t="s">
        <v>155</v>
      </c>
      <c r="C489" s="1" t="s">
        <v>2931</v>
      </c>
      <c r="F489" s="2">
        <v>233228.81</v>
      </c>
      <c r="H489" s="2">
        <f t="shared" si="10"/>
        <v>233228.81</v>
      </c>
    </row>
    <row r="490" spans="1:9">
      <c r="A490" s="1" t="s">
        <v>2910</v>
      </c>
      <c r="B490" s="1" t="s">
        <v>156</v>
      </c>
      <c r="C490" s="1" t="s">
        <v>2931</v>
      </c>
      <c r="F490" s="2">
        <v>99363.3</v>
      </c>
      <c r="H490" s="2">
        <f t="shared" si="10"/>
        <v>99363.3</v>
      </c>
      <c r="I490"/>
    </row>
    <row r="491" spans="1:9">
      <c r="A491" s="1" t="s">
        <v>2910</v>
      </c>
      <c r="B491" s="1" t="s">
        <v>157</v>
      </c>
      <c r="C491" s="1" t="s">
        <v>2931</v>
      </c>
      <c r="F491" s="2">
        <v>307064.5</v>
      </c>
      <c r="G491" s="2">
        <v>93396.23</v>
      </c>
      <c r="H491" s="2">
        <f t="shared" si="10"/>
        <v>400460.73</v>
      </c>
      <c r="I491"/>
    </row>
    <row r="492" spans="1:9">
      <c r="A492" s="1" t="s">
        <v>2910</v>
      </c>
      <c r="B492" s="1" t="s">
        <v>158</v>
      </c>
      <c r="C492" s="1" t="s">
        <v>2931</v>
      </c>
      <c r="D492" s="2">
        <v>0</v>
      </c>
      <c r="F492" s="2">
        <v>665199.5</v>
      </c>
      <c r="G492" s="2">
        <v>0</v>
      </c>
      <c r="H492" s="2">
        <f t="shared" si="10"/>
        <v>665199.5</v>
      </c>
      <c r="I492"/>
    </row>
    <row r="493" spans="1:9">
      <c r="A493" s="1" t="s">
        <v>2910</v>
      </c>
      <c r="B493" s="1" t="s">
        <v>159</v>
      </c>
      <c r="C493" s="1" t="s">
        <v>2931</v>
      </c>
      <c r="F493" s="2">
        <v>69427</v>
      </c>
      <c r="G493" s="2">
        <v>283018.87</v>
      </c>
      <c r="H493" s="2">
        <f t="shared" si="10"/>
        <v>352445.87</v>
      </c>
      <c r="I493"/>
    </row>
    <row r="494" spans="1:9">
      <c r="A494" s="1" t="s">
        <v>2910</v>
      </c>
      <c r="B494" s="1" t="s">
        <v>148</v>
      </c>
      <c r="C494" s="1" t="s">
        <v>2904</v>
      </c>
      <c r="G494" s="2">
        <v>7047.87</v>
      </c>
      <c r="H494" s="2">
        <f t="shared" si="10"/>
        <v>7047.87</v>
      </c>
      <c r="I494"/>
    </row>
    <row r="495" spans="1:9">
      <c r="A495" s="1" t="s">
        <v>2910</v>
      </c>
      <c r="B495" s="1" t="s">
        <v>149</v>
      </c>
      <c r="C495" s="1" t="s">
        <v>2904</v>
      </c>
      <c r="G495" s="2">
        <v>163.17</v>
      </c>
      <c r="H495" s="2">
        <f t="shared" si="10"/>
        <v>163.17</v>
      </c>
      <c r="I495"/>
    </row>
    <row r="496" spans="1:9">
      <c r="A496" s="1" t="s">
        <v>2910</v>
      </c>
      <c r="B496" s="1" t="s">
        <v>150</v>
      </c>
      <c r="C496" s="1" t="s">
        <v>2904</v>
      </c>
      <c r="G496" s="2">
        <v>6451.42</v>
      </c>
      <c r="H496" s="2">
        <f t="shared" si="10"/>
        <v>6451.42</v>
      </c>
      <c r="I496"/>
    </row>
    <row r="497" spans="1:9">
      <c r="A497" s="1" t="s">
        <v>2910</v>
      </c>
      <c r="B497" s="1" t="s">
        <v>151</v>
      </c>
      <c r="C497" s="1" t="s">
        <v>2904</v>
      </c>
      <c r="G497" s="2">
        <v>1156.87</v>
      </c>
      <c r="H497" s="2">
        <f t="shared" si="10"/>
        <v>1156.87</v>
      </c>
      <c r="I497"/>
    </row>
    <row r="498" spans="1:9">
      <c r="A498" s="1" t="s">
        <v>2910</v>
      </c>
      <c r="B498" s="1" t="s">
        <v>152</v>
      </c>
      <c r="C498" s="1" t="s">
        <v>2904</v>
      </c>
      <c r="G498" s="2">
        <v>1134.03</v>
      </c>
      <c r="H498" s="2">
        <f t="shared" si="10"/>
        <v>1134.03</v>
      </c>
      <c r="I498"/>
    </row>
    <row r="499" spans="1:9">
      <c r="A499" s="1" t="s">
        <v>2910</v>
      </c>
      <c r="B499" s="1" t="s">
        <v>153</v>
      </c>
      <c r="C499" s="1" t="s">
        <v>2904</v>
      </c>
      <c r="G499" s="2">
        <v>5118350.01</v>
      </c>
      <c r="H499" s="2">
        <f t="shared" si="10"/>
        <v>5118350.01</v>
      </c>
      <c r="I499"/>
    </row>
    <row r="500" spans="1:9">
      <c r="A500" s="1" t="s">
        <v>2910</v>
      </c>
      <c r="B500" s="1" t="s">
        <v>154</v>
      </c>
      <c r="C500" s="1" t="s">
        <v>2904</v>
      </c>
      <c r="G500" s="2">
        <v>7942577.83</v>
      </c>
      <c r="H500" s="2">
        <f t="shared" si="10"/>
        <v>7942577.83</v>
      </c>
      <c r="I500"/>
    </row>
    <row r="501" spans="1:8">
      <c r="A501" s="1" t="s">
        <v>2910</v>
      </c>
      <c r="B501" s="1" t="s">
        <v>155</v>
      </c>
      <c r="C501" s="1" t="s">
        <v>2904</v>
      </c>
      <c r="G501" s="2">
        <v>4200687.2</v>
      </c>
      <c r="H501" s="2">
        <f t="shared" si="10"/>
        <v>4200687.2</v>
      </c>
    </row>
    <row r="502" spans="1:9">
      <c r="A502" s="1" t="s">
        <v>2910</v>
      </c>
      <c r="B502" s="1" t="s">
        <v>156</v>
      </c>
      <c r="C502" s="1" t="s">
        <v>2904</v>
      </c>
      <c r="G502" s="2">
        <v>7994035.49</v>
      </c>
      <c r="H502" s="2">
        <f t="shared" si="10"/>
        <v>7994035.49</v>
      </c>
      <c r="I502"/>
    </row>
    <row r="503" spans="1:9">
      <c r="A503" s="1" t="s">
        <v>2910</v>
      </c>
      <c r="B503" s="1" t="s">
        <v>157</v>
      </c>
      <c r="C503" s="1" t="s">
        <v>2904</v>
      </c>
      <c r="G503" s="2">
        <v>12644153.68</v>
      </c>
      <c r="H503" s="2">
        <f t="shared" si="10"/>
        <v>12644153.68</v>
      </c>
      <c r="I503"/>
    </row>
    <row r="504" spans="1:9">
      <c r="A504" s="1" t="s">
        <v>2910</v>
      </c>
      <c r="B504" s="1" t="s">
        <v>158</v>
      </c>
      <c r="C504" s="1" t="s">
        <v>2904</v>
      </c>
      <c r="G504" s="2">
        <v>20065243.67</v>
      </c>
      <c r="H504" s="2">
        <f t="shared" si="10"/>
        <v>20065243.67</v>
      </c>
      <c r="I504"/>
    </row>
    <row r="505" spans="1:9">
      <c r="A505" s="1" t="s">
        <v>2910</v>
      </c>
      <c r="B505" s="1" t="s">
        <v>159</v>
      </c>
      <c r="C505" s="1" t="s">
        <v>2904</v>
      </c>
      <c r="G505" s="2">
        <v>4402652.55</v>
      </c>
      <c r="H505" s="2">
        <f t="shared" si="10"/>
        <v>4402652.55</v>
      </c>
      <c r="I505"/>
    </row>
    <row r="506" spans="1:9">
      <c r="A506" s="1" t="s">
        <v>2910</v>
      </c>
      <c r="B506" s="1" t="s">
        <v>148</v>
      </c>
      <c r="C506" s="1" t="s">
        <v>2905</v>
      </c>
      <c r="H506" s="2">
        <f t="shared" si="10"/>
        <v>0</v>
      </c>
      <c r="I506"/>
    </row>
    <row r="507" spans="1:9">
      <c r="A507" s="1" t="s">
        <v>2910</v>
      </c>
      <c r="B507" s="1" t="s">
        <v>149</v>
      </c>
      <c r="C507" s="1" t="s">
        <v>2905</v>
      </c>
      <c r="H507" s="2">
        <f t="shared" si="10"/>
        <v>0</v>
      </c>
      <c r="I507"/>
    </row>
    <row r="508" spans="1:9">
      <c r="A508" s="1" t="s">
        <v>2910</v>
      </c>
      <c r="B508" s="1" t="s">
        <v>150</v>
      </c>
      <c r="C508" s="1" t="s">
        <v>2905</v>
      </c>
      <c r="H508" s="2">
        <f t="shared" si="10"/>
        <v>0</v>
      </c>
      <c r="I508"/>
    </row>
    <row r="509" spans="1:9">
      <c r="A509" s="1" t="s">
        <v>2910</v>
      </c>
      <c r="B509" s="1" t="s">
        <v>151</v>
      </c>
      <c r="C509" s="1" t="s">
        <v>2905</v>
      </c>
      <c r="H509" s="2">
        <f t="shared" si="10"/>
        <v>0</v>
      </c>
      <c r="I509"/>
    </row>
    <row r="510" spans="1:9">
      <c r="A510" s="1" t="s">
        <v>2910</v>
      </c>
      <c r="B510" s="1" t="s">
        <v>152</v>
      </c>
      <c r="C510" s="1" t="s">
        <v>2905</v>
      </c>
      <c r="H510" s="2">
        <f t="shared" si="10"/>
        <v>0</v>
      </c>
      <c r="I510"/>
    </row>
    <row r="511" spans="1:9">
      <c r="A511" s="1" t="s">
        <v>2910</v>
      </c>
      <c r="B511" s="1" t="s">
        <v>153</v>
      </c>
      <c r="C511" s="1" t="s">
        <v>2905</v>
      </c>
      <c r="G511" s="2">
        <v>897733.18</v>
      </c>
      <c r="H511" s="2">
        <f t="shared" si="10"/>
        <v>897733.18</v>
      </c>
      <c r="I511"/>
    </row>
    <row r="512" spans="1:9">
      <c r="A512" s="1" t="s">
        <v>2910</v>
      </c>
      <c r="B512" s="1" t="s">
        <v>154</v>
      </c>
      <c r="C512" s="1" t="s">
        <v>2905</v>
      </c>
      <c r="H512" s="2">
        <f t="shared" si="10"/>
        <v>0</v>
      </c>
      <c r="I512"/>
    </row>
    <row r="513" spans="1:8">
      <c r="A513" s="1" t="s">
        <v>2910</v>
      </c>
      <c r="B513" s="1" t="s">
        <v>155</v>
      </c>
      <c r="C513" s="1" t="s">
        <v>2905</v>
      </c>
      <c r="H513" s="2">
        <f t="shared" si="10"/>
        <v>0</v>
      </c>
    </row>
    <row r="514" spans="1:9">
      <c r="A514" s="1" t="s">
        <v>2910</v>
      </c>
      <c r="B514" s="1" t="s">
        <v>156</v>
      </c>
      <c r="C514" s="1" t="s">
        <v>2905</v>
      </c>
      <c r="H514" s="2">
        <f t="shared" ref="H514:H577" si="11">SUM(D514:G514)</f>
        <v>0</v>
      </c>
      <c r="I514"/>
    </row>
    <row r="515" spans="1:9">
      <c r="A515" s="1" t="s">
        <v>2910</v>
      </c>
      <c r="B515" s="1" t="s">
        <v>157</v>
      </c>
      <c r="C515" s="1" t="s">
        <v>2905</v>
      </c>
      <c r="H515" s="2">
        <f t="shared" si="11"/>
        <v>0</v>
      </c>
      <c r="I515"/>
    </row>
    <row r="516" spans="1:9">
      <c r="A516" s="1" t="s">
        <v>2910</v>
      </c>
      <c r="B516" s="1" t="s">
        <v>158</v>
      </c>
      <c r="C516" s="1" t="s">
        <v>2905</v>
      </c>
      <c r="H516" s="2">
        <f t="shared" si="11"/>
        <v>0</v>
      </c>
      <c r="I516"/>
    </row>
    <row r="517" spans="1:9">
      <c r="A517" s="1" t="s">
        <v>2910</v>
      </c>
      <c r="B517" s="1" t="s">
        <v>159</v>
      </c>
      <c r="C517" s="1" t="s">
        <v>2905</v>
      </c>
      <c r="H517" s="2">
        <f t="shared" si="11"/>
        <v>0</v>
      </c>
      <c r="I517"/>
    </row>
    <row r="518" spans="1:9">
      <c r="A518" s="1" t="s">
        <v>2910</v>
      </c>
      <c r="B518" s="1" t="s">
        <v>148</v>
      </c>
      <c r="C518" s="1" t="s">
        <v>1901</v>
      </c>
      <c r="H518" s="2">
        <f t="shared" si="11"/>
        <v>0</v>
      </c>
      <c r="I518"/>
    </row>
    <row r="519" spans="1:9">
      <c r="A519" s="1" t="s">
        <v>2910</v>
      </c>
      <c r="B519" s="1" t="s">
        <v>149</v>
      </c>
      <c r="C519" s="1" t="s">
        <v>1901</v>
      </c>
      <c r="H519" s="2">
        <f t="shared" si="11"/>
        <v>0</v>
      </c>
      <c r="I519"/>
    </row>
    <row r="520" spans="1:9">
      <c r="A520" s="1" t="s">
        <v>2910</v>
      </c>
      <c r="B520" s="1" t="s">
        <v>150</v>
      </c>
      <c r="C520" s="1" t="s">
        <v>1901</v>
      </c>
      <c r="H520" s="2">
        <f t="shared" si="11"/>
        <v>0</v>
      </c>
      <c r="I520"/>
    </row>
    <row r="521" spans="1:9">
      <c r="A521" s="1" t="s">
        <v>2910</v>
      </c>
      <c r="B521" s="1" t="s">
        <v>151</v>
      </c>
      <c r="C521" s="1" t="s">
        <v>1901</v>
      </c>
      <c r="H521" s="2">
        <f t="shared" si="11"/>
        <v>0</v>
      </c>
      <c r="I521"/>
    </row>
    <row r="522" spans="1:9">
      <c r="A522" s="1" t="s">
        <v>2910</v>
      </c>
      <c r="B522" s="1" t="s">
        <v>152</v>
      </c>
      <c r="C522" s="1" t="s">
        <v>1901</v>
      </c>
      <c r="H522" s="2">
        <f t="shared" si="11"/>
        <v>0</v>
      </c>
      <c r="I522"/>
    </row>
    <row r="523" spans="1:9">
      <c r="A523" s="1" t="s">
        <v>2910</v>
      </c>
      <c r="B523" s="1" t="s">
        <v>153</v>
      </c>
      <c r="C523" s="1" t="s">
        <v>1901</v>
      </c>
      <c r="H523" s="2">
        <f t="shared" si="11"/>
        <v>0</v>
      </c>
      <c r="I523"/>
    </row>
    <row r="524" spans="1:9">
      <c r="A524" s="1" t="s">
        <v>2910</v>
      </c>
      <c r="B524" s="1" t="s">
        <v>154</v>
      </c>
      <c r="C524" s="1" t="s">
        <v>1901</v>
      </c>
      <c r="H524" s="2">
        <f t="shared" si="11"/>
        <v>0</v>
      </c>
      <c r="I524"/>
    </row>
    <row r="525" spans="1:9">
      <c r="A525" s="1" t="s">
        <v>2910</v>
      </c>
      <c r="B525" s="1" t="s">
        <v>155</v>
      </c>
      <c r="C525" s="1" t="s">
        <v>1901</v>
      </c>
      <c r="H525" s="2">
        <f t="shared" si="11"/>
        <v>0</v>
      </c>
      <c r="I525"/>
    </row>
    <row r="526" spans="1:9">
      <c r="A526" s="1" t="s">
        <v>2910</v>
      </c>
      <c r="B526" s="1" t="s">
        <v>156</v>
      </c>
      <c r="C526" s="1" t="s">
        <v>1901</v>
      </c>
      <c r="H526" s="2">
        <f t="shared" si="11"/>
        <v>0</v>
      </c>
      <c r="I526"/>
    </row>
    <row r="527" spans="1:9">
      <c r="A527" s="1" t="s">
        <v>2910</v>
      </c>
      <c r="B527" s="1" t="s">
        <v>157</v>
      </c>
      <c r="C527" s="1" t="s">
        <v>1901</v>
      </c>
      <c r="F527" s="2">
        <v>2603.53</v>
      </c>
      <c r="H527" s="2">
        <f t="shared" si="11"/>
        <v>2603.53</v>
      </c>
      <c r="I527"/>
    </row>
    <row r="528" spans="1:9">
      <c r="A528" s="1" t="s">
        <v>2910</v>
      </c>
      <c r="B528" s="1" t="s">
        <v>158</v>
      </c>
      <c r="C528" s="1" t="s">
        <v>1901</v>
      </c>
      <c r="H528" s="2">
        <f t="shared" si="11"/>
        <v>0</v>
      </c>
      <c r="I528"/>
    </row>
    <row r="529" spans="1:9">
      <c r="A529" s="1" t="s">
        <v>2910</v>
      </c>
      <c r="B529" s="1" t="s">
        <v>159</v>
      </c>
      <c r="C529" s="1" t="s">
        <v>1901</v>
      </c>
      <c r="F529" s="2">
        <v>410.38</v>
      </c>
      <c r="H529" s="2">
        <f t="shared" si="11"/>
        <v>410.38</v>
      </c>
      <c r="I529"/>
    </row>
    <row r="530" spans="1:9">
      <c r="A530" s="1" t="s">
        <v>2910</v>
      </c>
      <c r="B530" s="1" t="s">
        <v>148</v>
      </c>
      <c r="C530" s="1" t="s">
        <v>2926</v>
      </c>
      <c r="G530" s="2">
        <v>141139.79</v>
      </c>
      <c r="H530" s="2">
        <f t="shared" si="11"/>
        <v>141139.79</v>
      </c>
      <c r="I530"/>
    </row>
    <row r="531" spans="1:9">
      <c r="A531" s="1" t="s">
        <v>2910</v>
      </c>
      <c r="B531" s="1" t="s">
        <v>149</v>
      </c>
      <c r="C531" s="1" t="s">
        <v>2926</v>
      </c>
      <c r="G531" s="2">
        <v>138268.59</v>
      </c>
      <c r="H531" s="2">
        <f t="shared" si="11"/>
        <v>138268.59</v>
      </c>
      <c r="I531"/>
    </row>
    <row r="532" spans="1:9">
      <c r="A532" s="1" t="s">
        <v>2910</v>
      </c>
      <c r="B532" s="1" t="s">
        <v>150</v>
      </c>
      <c r="C532" s="1" t="s">
        <v>2926</v>
      </c>
      <c r="G532" s="2">
        <v>172706.01</v>
      </c>
      <c r="H532" s="2">
        <f t="shared" si="11"/>
        <v>172706.01</v>
      </c>
      <c r="I532"/>
    </row>
    <row r="533" spans="1:9">
      <c r="A533" s="1" t="s">
        <v>2910</v>
      </c>
      <c r="B533" s="1" t="s">
        <v>151</v>
      </c>
      <c r="C533" s="1" t="s">
        <v>2926</v>
      </c>
      <c r="G533" s="2">
        <v>132034.19</v>
      </c>
      <c r="H533" s="2">
        <f t="shared" si="11"/>
        <v>132034.19</v>
      </c>
      <c r="I533"/>
    </row>
    <row r="534" spans="1:9">
      <c r="A534" s="1" t="s">
        <v>2910</v>
      </c>
      <c r="B534" s="1" t="s">
        <v>152</v>
      </c>
      <c r="C534" s="1" t="s">
        <v>2926</v>
      </c>
      <c r="G534" s="2">
        <v>4196.47</v>
      </c>
      <c r="H534" s="2">
        <f t="shared" si="11"/>
        <v>4196.47</v>
      </c>
      <c r="I534"/>
    </row>
    <row r="535" spans="1:9">
      <c r="A535" s="1" t="s">
        <v>2910</v>
      </c>
      <c r="B535" s="1" t="s">
        <v>153</v>
      </c>
      <c r="C535" s="1" t="s">
        <v>2926</v>
      </c>
      <c r="G535" s="2">
        <v>4398966.41</v>
      </c>
      <c r="H535" s="2">
        <f t="shared" si="11"/>
        <v>4398966.41</v>
      </c>
      <c r="I535"/>
    </row>
    <row r="536" spans="1:9">
      <c r="A536" s="1" t="s">
        <v>2910</v>
      </c>
      <c r="B536" s="1" t="s">
        <v>154</v>
      </c>
      <c r="C536" s="1" t="s">
        <v>2926</v>
      </c>
      <c r="G536" s="2">
        <v>7569614.13</v>
      </c>
      <c r="H536" s="2">
        <f t="shared" si="11"/>
        <v>7569614.13</v>
      </c>
      <c r="I536"/>
    </row>
    <row r="537" spans="1:8">
      <c r="A537" s="1" t="s">
        <v>2910</v>
      </c>
      <c r="B537" s="1" t="s">
        <v>155</v>
      </c>
      <c r="C537" s="1" t="s">
        <v>2926</v>
      </c>
      <c r="G537" s="2">
        <v>4039815.37</v>
      </c>
      <c r="H537" s="2">
        <f t="shared" si="11"/>
        <v>4039815.37</v>
      </c>
    </row>
    <row r="538" spans="1:9">
      <c r="A538" s="1" t="s">
        <v>2910</v>
      </c>
      <c r="B538" s="1" t="s">
        <v>156</v>
      </c>
      <c r="C538" s="1" t="s">
        <v>2926</v>
      </c>
      <c r="G538" s="2">
        <v>7625346.57</v>
      </c>
      <c r="H538" s="2">
        <f t="shared" si="11"/>
        <v>7625346.57</v>
      </c>
      <c r="I538"/>
    </row>
    <row r="539" spans="1:9">
      <c r="A539" s="1" t="s">
        <v>2910</v>
      </c>
      <c r="B539" s="1" t="s">
        <v>157</v>
      </c>
      <c r="C539" s="1" t="s">
        <v>2926</v>
      </c>
      <c r="G539" s="2">
        <v>12382984.2</v>
      </c>
      <c r="H539" s="2">
        <f t="shared" si="11"/>
        <v>12382984.2</v>
      </c>
      <c r="I539"/>
    </row>
    <row r="540" spans="1:9">
      <c r="A540" s="1" t="s">
        <v>2910</v>
      </c>
      <c r="B540" s="1" t="s">
        <v>158</v>
      </c>
      <c r="C540" s="1" t="s">
        <v>2926</v>
      </c>
      <c r="G540" s="2">
        <v>19800844.91</v>
      </c>
      <c r="H540" s="2">
        <f t="shared" si="11"/>
        <v>19800844.91</v>
      </c>
      <c r="I540"/>
    </row>
    <row r="541" spans="1:9">
      <c r="A541" s="1" t="s">
        <v>2910</v>
      </c>
      <c r="B541" s="1" t="s">
        <v>159</v>
      </c>
      <c r="C541" s="1" t="s">
        <v>2926</v>
      </c>
      <c r="G541" s="2">
        <v>4229039.53</v>
      </c>
      <c r="H541" s="2">
        <f t="shared" si="11"/>
        <v>4229039.53</v>
      </c>
      <c r="I541"/>
    </row>
    <row r="542" spans="1:9">
      <c r="A542" s="1" t="s">
        <v>2911</v>
      </c>
      <c r="B542" s="1" t="s">
        <v>148</v>
      </c>
      <c r="C542" s="1" t="s">
        <v>2892</v>
      </c>
      <c r="D542" s="2">
        <v>141.8</v>
      </c>
      <c r="F542" s="2">
        <v>4007018.08</v>
      </c>
      <c r="G542" s="2">
        <v>498.55</v>
      </c>
      <c r="H542" s="2">
        <f t="shared" si="11"/>
        <v>4007658.43</v>
      </c>
      <c r="I542"/>
    </row>
    <row r="543" spans="1:9">
      <c r="A543" s="1" t="s">
        <v>2911</v>
      </c>
      <c r="B543" s="1" t="s">
        <v>149</v>
      </c>
      <c r="C543" s="1" t="s">
        <v>2892</v>
      </c>
      <c r="D543" s="2">
        <v>383</v>
      </c>
      <c r="F543" s="2">
        <v>3169256.2</v>
      </c>
      <c r="G543" s="2">
        <v>557.7</v>
      </c>
      <c r="H543" s="2">
        <f t="shared" si="11"/>
        <v>3170196.9</v>
      </c>
      <c r="I543"/>
    </row>
    <row r="544" spans="1:9">
      <c r="A544" s="1" t="s">
        <v>2911</v>
      </c>
      <c r="B544" s="1" t="s">
        <v>150</v>
      </c>
      <c r="C544" s="1" t="s">
        <v>2892</v>
      </c>
      <c r="D544" s="2">
        <v>35303.75</v>
      </c>
      <c r="F544" s="2">
        <v>2665182.02</v>
      </c>
      <c r="G544" s="2">
        <v>490.1</v>
      </c>
      <c r="H544" s="2">
        <f t="shared" si="11"/>
        <v>2700975.87</v>
      </c>
      <c r="I544"/>
    </row>
    <row r="545" spans="1:9">
      <c r="A545" s="1" t="s">
        <v>2911</v>
      </c>
      <c r="B545" s="1" t="s">
        <v>151</v>
      </c>
      <c r="C545" s="1" t="s">
        <v>2892</v>
      </c>
      <c r="D545" s="2">
        <v>94449.8</v>
      </c>
      <c r="F545" s="2">
        <v>2155165.4</v>
      </c>
      <c r="G545" s="2">
        <v>650.65</v>
      </c>
      <c r="H545" s="2">
        <f t="shared" si="11"/>
        <v>2250265.85</v>
      </c>
      <c r="I545"/>
    </row>
    <row r="546" spans="1:9">
      <c r="A546" s="1" t="s">
        <v>2911</v>
      </c>
      <c r="B546" s="1" t="s">
        <v>152</v>
      </c>
      <c r="C546" s="1" t="s">
        <v>2892</v>
      </c>
      <c r="D546" s="2">
        <v>132270.84</v>
      </c>
      <c r="F546" s="2">
        <v>1675052.9</v>
      </c>
      <c r="G546" s="2">
        <v>380.25</v>
      </c>
      <c r="H546" s="2">
        <f t="shared" si="11"/>
        <v>1807703.99</v>
      </c>
      <c r="I546"/>
    </row>
    <row r="547" spans="1:9">
      <c r="A547" s="1" t="s">
        <v>2911</v>
      </c>
      <c r="B547" s="1" t="s">
        <v>153</v>
      </c>
      <c r="C547" s="1" t="s">
        <v>2892</v>
      </c>
      <c r="D547" s="2">
        <v>277039.4</v>
      </c>
      <c r="F547" s="2">
        <v>1399667.1</v>
      </c>
      <c r="G547" s="2">
        <v>388.7</v>
      </c>
      <c r="H547" s="2">
        <f t="shared" si="11"/>
        <v>1677095.2</v>
      </c>
      <c r="I547"/>
    </row>
    <row r="548" spans="1:9">
      <c r="A548" s="1" t="s">
        <v>2911</v>
      </c>
      <c r="B548" s="1" t="s">
        <v>154</v>
      </c>
      <c r="C548" s="1" t="s">
        <v>2892</v>
      </c>
      <c r="D548" s="2">
        <v>221028.6</v>
      </c>
      <c r="F548" s="2">
        <v>1088713</v>
      </c>
      <c r="G548" s="2">
        <v>261.95</v>
      </c>
      <c r="H548" s="2">
        <f t="shared" si="11"/>
        <v>1310003.55</v>
      </c>
      <c r="I548"/>
    </row>
    <row r="549" spans="1:8">
      <c r="A549" s="1" t="s">
        <v>2911</v>
      </c>
      <c r="B549" s="1" t="s">
        <v>155</v>
      </c>
      <c r="C549" s="1" t="s">
        <v>2892</v>
      </c>
      <c r="D549" s="2">
        <v>194667.56</v>
      </c>
      <c r="F549" s="2">
        <v>1082054.68</v>
      </c>
      <c r="H549" s="2">
        <f t="shared" si="11"/>
        <v>1276722.24</v>
      </c>
    </row>
    <row r="550" spans="1:9">
      <c r="A550" s="1" t="s">
        <v>2911</v>
      </c>
      <c r="B550" s="1" t="s">
        <v>156</v>
      </c>
      <c r="C550" s="1" t="s">
        <v>2892</v>
      </c>
      <c r="D550" s="2">
        <v>66353.59</v>
      </c>
      <c r="F550" s="2">
        <v>868313.75</v>
      </c>
      <c r="H550" s="2">
        <f t="shared" si="11"/>
        <v>934667.34</v>
      </c>
      <c r="I550"/>
    </row>
    <row r="551" spans="1:9">
      <c r="A551" s="1" t="s">
        <v>2911</v>
      </c>
      <c r="B551" s="1" t="s">
        <v>157</v>
      </c>
      <c r="C551" s="1" t="s">
        <v>2892</v>
      </c>
      <c r="D551" s="2">
        <v>59718.77</v>
      </c>
      <c r="F551" s="2">
        <v>704012.15</v>
      </c>
      <c r="G551" s="2">
        <v>8</v>
      </c>
      <c r="H551" s="2">
        <f t="shared" si="11"/>
        <v>763738.92</v>
      </c>
      <c r="I551"/>
    </row>
    <row r="552" spans="1:9">
      <c r="A552" s="1" t="s">
        <v>2911</v>
      </c>
      <c r="B552" s="1" t="s">
        <v>158</v>
      </c>
      <c r="C552" s="1" t="s">
        <v>2892</v>
      </c>
      <c r="D552" s="2">
        <v>84818.37</v>
      </c>
      <c r="F552" s="2">
        <v>1167006.22</v>
      </c>
      <c r="G552" s="2">
        <v>12541.03</v>
      </c>
      <c r="H552" s="2">
        <f t="shared" si="11"/>
        <v>1264365.62</v>
      </c>
      <c r="I552"/>
    </row>
    <row r="553" spans="1:9">
      <c r="A553" s="1" t="s">
        <v>2911</v>
      </c>
      <c r="B553" s="1" t="s">
        <v>159</v>
      </c>
      <c r="C553" s="1" t="s">
        <v>2892</v>
      </c>
      <c r="D553" s="2">
        <v>321278.3</v>
      </c>
      <c r="F553" s="2">
        <v>3745194</v>
      </c>
      <c r="G553" s="2">
        <v>288</v>
      </c>
      <c r="H553" s="2">
        <f t="shared" si="11"/>
        <v>4066760.3</v>
      </c>
      <c r="I553"/>
    </row>
    <row r="554" spans="1:9">
      <c r="A554" s="1" t="s">
        <v>2911</v>
      </c>
      <c r="B554" s="1" t="s">
        <v>148</v>
      </c>
      <c r="C554" s="1" t="s">
        <v>2899</v>
      </c>
      <c r="D554" s="2">
        <v>105.4976</v>
      </c>
      <c r="F554" s="2">
        <v>3976554.917</v>
      </c>
      <c r="G554" s="2">
        <v>442.4664</v>
      </c>
      <c r="H554" s="2">
        <f t="shared" si="11"/>
        <v>3977102.881</v>
      </c>
      <c r="I554"/>
    </row>
    <row r="555" spans="1:9">
      <c r="A555" s="1" t="s">
        <v>2911</v>
      </c>
      <c r="B555" s="1" t="s">
        <v>149</v>
      </c>
      <c r="C555" s="1" t="s">
        <v>2899</v>
      </c>
      <c r="D555" s="2">
        <v>287.25</v>
      </c>
      <c r="F555" s="2">
        <v>3137714.8</v>
      </c>
      <c r="G555" s="2">
        <v>495</v>
      </c>
      <c r="H555" s="2">
        <f t="shared" si="11"/>
        <v>3138497.05</v>
      </c>
      <c r="I555"/>
    </row>
    <row r="556" spans="1:9">
      <c r="A556" s="1" t="s">
        <v>2911</v>
      </c>
      <c r="B556" s="1" t="s">
        <v>150</v>
      </c>
      <c r="C556" s="1" t="s">
        <v>2899</v>
      </c>
      <c r="D556" s="2">
        <v>32187.6</v>
      </c>
      <c r="F556" s="2">
        <v>2640915.72</v>
      </c>
      <c r="G556" s="2">
        <v>435.01</v>
      </c>
      <c r="H556" s="2">
        <f t="shared" si="11"/>
        <v>2673538.33</v>
      </c>
      <c r="I556"/>
    </row>
    <row r="557" spans="1:9">
      <c r="A557" s="1" t="s">
        <v>2911</v>
      </c>
      <c r="B557" s="1" t="s">
        <v>151</v>
      </c>
      <c r="C557" s="1" t="s">
        <v>2899</v>
      </c>
      <c r="D557" s="2">
        <v>86395.2</v>
      </c>
      <c r="F557" s="2">
        <v>2135364.7</v>
      </c>
      <c r="G557" s="2">
        <v>577.55</v>
      </c>
      <c r="H557" s="2">
        <f t="shared" si="11"/>
        <v>2222337.45</v>
      </c>
      <c r="I557"/>
    </row>
    <row r="558" spans="1:9">
      <c r="A558" s="1" t="s">
        <v>2911</v>
      </c>
      <c r="B558" s="1" t="s">
        <v>152</v>
      </c>
      <c r="C558" s="1" t="s">
        <v>2899</v>
      </c>
      <c r="D558" s="2">
        <v>120700.15</v>
      </c>
      <c r="F558" s="2">
        <v>1659779.85</v>
      </c>
      <c r="G558" s="2">
        <v>337.5</v>
      </c>
      <c r="H558" s="2">
        <f t="shared" si="11"/>
        <v>1780817.5</v>
      </c>
      <c r="I558"/>
    </row>
    <row r="559" spans="1:9">
      <c r="A559" s="1" t="s">
        <v>2911</v>
      </c>
      <c r="B559" s="1" t="s">
        <v>153</v>
      </c>
      <c r="C559" s="1" t="s">
        <v>2899</v>
      </c>
      <c r="D559" s="2">
        <v>265298.46</v>
      </c>
      <c r="F559" s="2">
        <v>1388386.1</v>
      </c>
      <c r="G559" s="2">
        <v>345</v>
      </c>
      <c r="H559" s="2">
        <f t="shared" si="11"/>
        <v>1654029.56</v>
      </c>
      <c r="I559"/>
    </row>
    <row r="560" spans="1:9">
      <c r="A560" s="1" t="s">
        <v>2911</v>
      </c>
      <c r="B560" s="1" t="s">
        <v>154</v>
      </c>
      <c r="C560" s="1" t="s">
        <v>2899</v>
      </c>
      <c r="D560" s="2">
        <v>221877.8</v>
      </c>
      <c r="F560" s="2">
        <v>1079223.15</v>
      </c>
      <c r="G560" s="2">
        <v>232.5</v>
      </c>
      <c r="H560" s="2">
        <f t="shared" si="11"/>
        <v>1301333.45</v>
      </c>
      <c r="I560"/>
    </row>
    <row r="561" spans="1:8">
      <c r="A561" s="1" t="s">
        <v>2911</v>
      </c>
      <c r="B561" s="1" t="s">
        <v>155</v>
      </c>
      <c r="C561" s="1" t="s">
        <v>2899</v>
      </c>
      <c r="D561" s="2">
        <v>176418.95</v>
      </c>
      <c r="F561" s="2">
        <v>1072056.35</v>
      </c>
      <c r="H561" s="2">
        <f t="shared" si="11"/>
        <v>1248475.3</v>
      </c>
    </row>
    <row r="562" spans="1:9">
      <c r="A562" s="1" t="s">
        <v>2911</v>
      </c>
      <c r="B562" s="1" t="s">
        <v>156</v>
      </c>
      <c r="C562" s="1" t="s">
        <v>2899</v>
      </c>
      <c r="D562" s="2">
        <v>38605.5854</v>
      </c>
      <c r="F562" s="2">
        <v>860367.8818</v>
      </c>
      <c r="H562" s="2">
        <f t="shared" si="11"/>
        <v>898973.4672</v>
      </c>
      <c r="I562"/>
    </row>
    <row r="563" spans="1:9">
      <c r="A563" s="1" t="s">
        <v>2911</v>
      </c>
      <c r="B563" s="1" t="s">
        <v>157</v>
      </c>
      <c r="C563" s="1" t="s">
        <v>2899</v>
      </c>
      <c r="D563" s="2">
        <v>30236.7598</v>
      </c>
      <c r="F563" s="2">
        <v>697574.35</v>
      </c>
      <c r="G563" s="2">
        <v>7.5</v>
      </c>
      <c r="H563" s="2">
        <f t="shared" si="11"/>
        <v>727818.6098</v>
      </c>
      <c r="I563"/>
    </row>
    <row r="564" spans="1:9">
      <c r="A564" s="1" t="s">
        <v>2911</v>
      </c>
      <c r="B564" s="1" t="s">
        <v>158</v>
      </c>
      <c r="C564" s="1" t="s">
        <v>2899</v>
      </c>
      <c r="D564" s="2">
        <v>59426.52</v>
      </c>
      <c r="F564" s="2">
        <v>1149301.45</v>
      </c>
      <c r="G564" s="2">
        <v>2376.47</v>
      </c>
      <c r="H564" s="2">
        <f t="shared" si="11"/>
        <v>1211104.44</v>
      </c>
      <c r="I564"/>
    </row>
    <row r="565" spans="1:9">
      <c r="A565" s="1" t="s">
        <v>2911</v>
      </c>
      <c r="B565" s="1" t="s">
        <v>159</v>
      </c>
      <c r="C565" s="1" t="s">
        <v>2899</v>
      </c>
      <c r="D565" s="2">
        <v>281069.5</v>
      </c>
      <c r="F565" s="2">
        <v>3731110.4</v>
      </c>
      <c r="G565" s="2">
        <v>270</v>
      </c>
      <c r="H565" s="2">
        <f t="shared" si="11"/>
        <v>4012449.9</v>
      </c>
      <c r="I565"/>
    </row>
    <row r="566" spans="1:9">
      <c r="A566" s="1" t="s">
        <v>2911</v>
      </c>
      <c r="B566" s="1" t="s">
        <v>148</v>
      </c>
      <c r="C566" s="1" t="s">
        <v>2896</v>
      </c>
      <c r="F566" s="2">
        <v>860120.32</v>
      </c>
      <c r="H566" s="2">
        <f t="shared" si="11"/>
        <v>860120.32</v>
      </c>
      <c r="I566"/>
    </row>
    <row r="567" spans="1:9">
      <c r="A567" s="1" t="s">
        <v>2911</v>
      </c>
      <c r="B567" s="1" t="s">
        <v>149</v>
      </c>
      <c r="C567" s="1" t="s">
        <v>2896</v>
      </c>
      <c r="F567" s="2">
        <v>1221478</v>
      </c>
      <c r="H567" s="2">
        <f t="shared" si="11"/>
        <v>1221478</v>
      </c>
      <c r="I567"/>
    </row>
    <row r="568" spans="1:9">
      <c r="A568" s="1" t="s">
        <v>2911</v>
      </c>
      <c r="B568" s="1" t="s">
        <v>150</v>
      </c>
      <c r="C568" s="1" t="s">
        <v>2896</v>
      </c>
      <c r="F568" s="2">
        <v>2198997.01</v>
      </c>
      <c r="H568" s="2">
        <f t="shared" si="11"/>
        <v>2198997.01</v>
      </c>
      <c r="I568"/>
    </row>
    <row r="569" spans="1:9">
      <c r="A569" s="1" t="s">
        <v>2911</v>
      </c>
      <c r="B569" s="1" t="s">
        <v>151</v>
      </c>
      <c r="C569" s="1" t="s">
        <v>2896</v>
      </c>
      <c r="D569" s="2">
        <v>191.88</v>
      </c>
      <c r="F569" s="2">
        <v>927169.1</v>
      </c>
      <c r="H569" s="2">
        <f t="shared" si="11"/>
        <v>927360.98</v>
      </c>
      <c r="I569"/>
    </row>
    <row r="570" spans="1:9">
      <c r="A570" s="1" t="s">
        <v>2911</v>
      </c>
      <c r="B570" s="1" t="s">
        <v>152</v>
      </c>
      <c r="C570" s="1" t="s">
        <v>2896</v>
      </c>
      <c r="D570" s="2">
        <v>2897.37</v>
      </c>
      <c r="F570" s="2">
        <v>3726799.77</v>
      </c>
      <c r="H570" s="2">
        <f t="shared" si="11"/>
        <v>3729697.14</v>
      </c>
      <c r="I570"/>
    </row>
    <row r="571" spans="1:9">
      <c r="A571" s="1" t="s">
        <v>2911</v>
      </c>
      <c r="B571" s="1" t="s">
        <v>153</v>
      </c>
      <c r="C571" s="1" t="s">
        <v>2896</v>
      </c>
      <c r="D571" s="2">
        <v>6473.63</v>
      </c>
      <c r="F571" s="2">
        <v>6261632.35</v>
      </c>
      <c r="H571" s="2">
        <f t="shared" si="11"/>
        <v>6268105.98</v>
      </c>
      <c r="I571"/>
    </row>
    <row r="572" spans="1:9">
      <c r="A572" s="1" t="s">
        <v>2911</v>
      </c>
      <c r="B572" s="1" t="s">
        <v>154</v>
      </c>
      <c r="C572" s="1" t="s">
        <v>2896</v>
      </c>
      <c r="D572" s="2">
        <v>53357.05</v>
      </c>
      <c r="F572" s="2">
        <v>5910357.14</v>
      </c>
      <c r="H572" s="2">
        <f t="shared" si="11"/>
        <v>5963714.19</v>
      </c>
      <c r="I572"/>
    </row>
    <row r="573" spans="1:8">
      <c r="A573" s="1" t="s">
        <v>2911</v>
      </c>
      <c r="B573" s="1" t="s">
        <v>155</v>
      </c>
      <c r="C573" s="1" t="s">
        <v>2896</v>
      </c>
      <c r="D573" s="2">
        <v>437300.32</v>
      </c>
      <c r="F573" s="2">
        <v>2404812.32</v>
      </c>
      <c r="H573" s="2">
        <f t="shared" si="11"/>
        <v>2842112.64</v>
      </c>
    </row>
    <row r="574" spans="1:9">
      <c r="A574" s="1" t="s">
        <v>2911</v>
      </c>
      <c r="B574" s="1" t="s">
        <v>156</v>
      </c>
      <c r="C574" s="1" t="s">
        <v>2896</v>
      </c>
      <c r="D574" s="2">
        <v>386878.79</v>
      </c>
      <c r="F574" s="2">
        <v>2278757.28</v>
      </c>
      <c r="H574" s="2">
        <f t="shared" si="11"/>
        <v>2665636.07</v>
      </c>
      <c r="I574"/>
    </row>
    <row r="575" spans="1:9">
      <c r="A575" s="1" t="s">
        <v>2911</v>
      </c>
      <c r="B575" s="1" t="s">
        <v>157</v>
      </c>
      <c r="C575" s="1" t="s">
        <v>2896</v>
      </c>
      <c r="D575" s="2">
        <v>649225.73</v>
      </c>
      <c r="F575" s="2">
        <v>3213372.07</v>
      </c>
      <c r="H575" s="2">
        <f t="shared" si="11"/>
        <v>3862597.8</v>
      </c>
      <c r="I575"/>
    </row>
    <row r="576" spans="1:9">
      <c r="A576" s="1" t="s">
        <v>2911</v>
      </c>
      <c r="B576" s="1" t="s">
        <v>158</v>
      </c>
      <c r="C576" s="1" t="s">
        <v>2896</v>
      </c>
      <c r="D576" s="2">
        <v>1054773.35</v>
      </c>
      <c r="F576" s="2">
        <v>5481854.49</v>
      </c>
      <c r="H576" s="2">
        <f t="shared" si="11"/>
        <v>6536627.84</v>
      </c>
      <c r="I576"/>
    </row>
    <row r="577" spans="1:9">
      <c r="A577" s="1" t="s">
        <v>2911</v>
      </c>
      <c r="B577" s="1" t="s">
        <v>159</v>
      </c>
      <c r="C577" s="1" t="s">
        <v>2896</v>
      </c>
      <c r="D577" s="2">
        <v>1043397.85</v>
      </c>
      <c r="F577" s="2">
        <v>6776764.21</v>
      </c>
      <c r="H577" s="2">
        <f t="shared" si="11"/>
        <v>7820162.06</v>
      </c>
      <c r="I577"/>
    </row>
    <row r="578" spans="1:9">
      <c r="A578" s="1" t="s">
        <v>2911</v>
      </c>
      <c r="B578" s="1" t="s">
        <v>148</v>
      </c>
      <c r="C578" s="1" t="s">
        <v>2893</v>
      </c>
      <c r="F578" s="2">
        <v>768304.3</v>
      </c>
      <c r="H578" s="2">
        <f t="shared" ref="H578:H641" si="12">SUM(D578:G578)</f>
        <v>768304.3</v>
      </c>
      <c r="I578"/>
    </row>
    <row r="579" spans="1:9">
      <c r="A579" s="1" t="s">
        <v>2911</v>
      </c>
      <c r="B579" s="1" t="s">
        <v>149</v>
      </c>
      <c r="C579" s="1" t="s">
        <v>2893</v>
      </c>
      <c r="F579" s="2">
        <v>1097637.64</v>
      </c>
      <c r="H579" s="2">
        <f t="shared" si="12"/>
        <v>1097637.64</v>
      </c>
      <c r="I579"/>
    </row>
    <row r="580" spans="1:9">
      <c r="A580" s="1" t="s">
        <v>2911</v>
      </c>
      <c r="B580" s="1" t="s">
        <v>150</v>
      </c>
      <c r="C580" s="1" t="s">
        <v>2893</v>
      </c>
      <c r="F580" s="2">
        <v>3047109.39</v>
      </c>
      <c r="H580" s="2">
        <f t="shared" si="12"/>
        <v>3047109.39</v>
      </c>
      <c r="I580"/>
    </row>
    <row r="581" spans="1:9">
      <c r="A581" s="1" t="s">
        <v>2911</v>
      </c>
      <c r="B581" s="1" t="s">
        <v>151</v>
      </c>
      <c r="C581" s="1" t="s">
        <v>2893</v>
      </c>
      <c r="D581" s="2">
        <v>182.26</v>
      </c>
      <c r="F581" s="2">
        <v>1165379</v>
      </c>
      <c r="H581" s="2">
        <f t="shared" si="12"/>
        <v>1165561.26</v>
      </c>
      <c r="I581"/>
    </row>
    <row r="582" spans="1:9">
      <c r="A582" s="1" t="s">
        <v>2911</v>
      </c>
      <c r="B582" s="1" t="s">
        <v>152</v>
      </c>
      <c r="C582" s="1" t="s">
        <v>2893</v>
      </c>
      <c r="D582" s="2">
        <v>2320.34</v>
      </c>
      <c r="F582" s="2">
        <v>4929208.26</v>
      </c>
      <c r="H582" s="2">
        <f t="shared" si="12"/>
        <v>4931528.6</v>
      </c>
      <c r="I582"/>
    </row>
    <row r="583" spans="1:9">
      <c r="A583" s="1" t="s">
        <v>2911</v>
      </c>
      <c r="B583" s="1" t="s">
        <v>153</v>
      </c>
      <c r="C583" s="1" t="s">
        <v>2893</v>
      </c>
      <c r="D583" s="2">
        <v>3672.05</v>
      </c>
      <c r="F583" s="2">
        <v>8029016.09</v>
      </c>
      <c r="H583" s="2">
        <f t="shared" si="12"/>
        <v>8032688.14</v>
      </c>
      <c r="I583"/>
    </row>
    <row r="584" spans="1:9">
      <c r="A584" s="1" t="s">
        <v>2911</v>
      </c>
      <c r="B584" s="1" t="s">
        <v>154</v>
      </c>
      <c r="C584" s="1" t="s">
        <v>2893</v>
      </c>
      <c r="D584" s="2">
        <v>44024.93</v>
      </c>
      <c r="F584" s="2">
        <v>6569833.83</v>
      </c>
      <c r="H584" s="2">
        <f t="shared" si="12"/>
        <v>6613858.76</v>
      </c>
      <c r="I584"/>
    </row>
    <row r="585" spans="1:8">
      <c r="A585" s="1" t="s">
        <v>2911</v>
      </c>
      <c r="B585" s="1" t="s">
        <v>155</v>
      </c>
      <c r="C585" s="1" t="s">
        <v>2893</v>
      </c>
      <c r="D585" s="2">
        <v>413714.69</v>
      </c>
      <c r="F585" s="2">
        <v>3022560.22</v>
      </c>
      <c r="H585" s="2">
        <f t="shared" si="12"/>
        <v>3436274.91</v>
      </c>
    </row>
    <row r="586" spans="1:9">
      <c r="A586" s="1" t="s">
        <v>2911</v>
      </c>
      <c r="B586" s="1" t="s">
        <v>156</v>
      </c>
      <c r="C586" s="1" t="s">
        <v>2893</v>
      </c>
      <c r="D586" s="2">
        <v>360865.17</v>
      </c>
      <c r="F586" s="2">
        <v>2750331.5</v>
      </c>
      <c r="H586" s="2">
        <f t="shared" si="12"/>
        <v>3111196.67</v>
      </c>
      <c r="I586"/>
    </row>
    <row r="587" spans="1:9">
      <c r="A587" s="1" t="s">
        <v>2911</v>
      </c>
      <c r="B587" s="1" t="s">
        <v>157</v>
      </c>
      <c r="C587" s="1" t="s">
        <v>2893</v>
      </c>
      <c r="D587" s="2">
        <v>613538.61</v>
      </c>
      <c r="F587" s="2">
        <v>3717243.9</v>
      </c>
      <c r="H587" s="2">
        <f t="shared" si="12"/>
        <v>4330782.51</v>
      </c>
      <c r="I587"/>
    </row>
    <row r="588" spans="1:9">
      <c r="A588" s="1" t="s">
        <v>2911</v>
      </c>
      <c r="B588" s="1" t="s">
        <v>158</v>
      </c>
      <c r="C588" s="1" t="s">
        <v>2893</v>
      </c>
      <c r="D588" s="2">
        <v>999946.49</v>
      </c>
      <c r="F588" s="2">
        <v>7348290.83</v>
      </c>
      <c r="H588" s="2">
        <f t="shared" si="12"/>
        <v>8348237.32</v>
      </c>
      <c r="I588"/>
    </row>
    <row r="589" spans="1:9">
      <c r="A589" s="1" t="s">
        <v>2911</v>
      </c>
      <c r="B589" s="1" t="s">
        <v>159</v>
      </c>
      <c r="C589" s="1" t="s">
        <v>2893</v>
      </c>
      <c r="D589" s="2">
        <v>971437.63</v>
      </c>
      <c r="F589" s="2">
        <v>7440332.15</v>
      </c>
      <c r="H589" s="2">
        <f t="shared" si="12"/>
        <v>8411769.78</v>
      </c>
      <c r="I589"/>
    </row>
    <row r="590" spans="1:9">
      <c r="A590" s="1" t="s">
        <v>2911</v>
      </c>
      <c r="B590" s="1" t="s">
        <v>148</v>
      </c>
      <c r="C590" s="1" t="s">
        <v>2902</v>
      </c>
      <c r="F590" s="2">
        <v>-384889.57</v>
      </c>
      <c r="H590" s="2">
        <f t="shared" si="12"/>
        <v>-384889.57</v>
      </c>
      <c r="I590"/>
    </row>
    <row r="591" spans="1:9">
      <c r="A591" s="1" t="s">
        <v>2911</v>
      </c>
      <c r="B591" s="1" t="s">
        <v>149</v>
      </c>
      <c r="C591" s="1" t="s">
        <v>2902</v>
      </c>
      <c r="F591" s="2">
        <v>65306.31</v>
      </c>
      <c r="H591" s="2">
        <f t="shared" si="12"/>
        <v>65306.31</v>
      </c>
      <c r="I591"/>
    </row>
    <row r="592" spans="1:9">
      <c r="A592" s="1" t="s">
        <v>2911</v>
      </c>
      <c r="B592" s="1" t="s">
        <v>150</v>
      </c>
      <c r="C592" s="1" t="s">
        <v>2902</v>
      </c>
      <c r="F592" s="2">
        <v>1467278.92</v>
      </c>
      <c r="H592" s="2">
        <f t="shared" si="12"/>
        <v>1467278.92</v>
      </c>
      <c r="I592"/>
    </row>
    <row r="593" spans="1:9">
      <c r="A593" s="1" t="s">
        <v>2911</v>
      </c>
      <c r="B593" s="1" t="s">
        <v>151</v>
      </c>
      <c r="C593" s="1" t="s">
        <v>2902</v>
      </c>
      <c r="F593" s="2">
        <v>-217499.41</v>
      </c>
      <c r="H593" s="2">
        <f t="shared" si="12"/>
        <v>-217499.41</v>
      </c>
      <c r="I593"/>
    </row>
    <row r="594" spans="1:9">
      <c r="A594" s="1" t="s">
        <v>2911</v>
      </c>
      <c r="B594" s="1" t="s">
        <v>152</v>
      </c>
      <c r="C594" s="1" t="s">
        <v>2902</v>
      </c>
      <c r="F594" s="2">
        <v>1785646.43</v>
      </c>
      <c r="H594" s="2">
        <f t="shared" si="12"/>
        <v>1785646.43</v>
      </c>
      <c r="I594"/>
    </row>
    <row r="595" spans="1:9">
      <c r="A595" s="1" t="s">
        <v>2911</v>
      </c>
      <c r="B595" s="1" t="s">
        <v>153</v>
      </c>
      <c r="C595" s="1" t="s">
        <v>2902</v>
      </c>
      <c r="F595" s="2">
        <v>2156412.86</v>
      </c>
      <c r="H595" s="2">
        <f t="shared" si="12"/>
        <v>2156412.86</v>
      </c>
      <c r="I595"/>
    </row>
    <row r="596" spans="1:9">
      <c r="A596" s="1" t="s">
        <v>2911</v>
      </c>
      <c r="B596" s="1" t="s">
        <v>154</v>
      </c>
      <c r="C596" s="1" t="s">
        <v>2902</v>
      </c>
      <c r="F596" s="2">
        <v>1046216.66</v>
      </c>
      <c r="H596" s="2">
        <f t="shared" si="12"/>
        <v>1046216.66</v>
      </c>
      <c r="I596"/>
    </row>
    <row r="597" spans="1:8">
      <c r="A597" s="1" t="s">
        <v>2911</v>
      </c>
      <c r="B597" s="1" t="s">
        <v>155</v>
      </c>
      <c r="C597" s="1" t="s">
        <v>2902</v>
      </c>
      <c r="F597" s="2">
        <v>728022.56</v>
      </c>
      <c r="H597" s="2">
        <f t="shared" si="12"/>
        <v>728022.56</v>
      </c>
    </row>
    <row r="598" spans="1:9">
      <c r="A598" s="1" t="s">
        <v>2911</v>
      </c>
      <c r="B598" s="1" t="s">
        <v>156</v>
      </c>
      <c r="C598" s="1" t="s">
        <v>2902</v>
      </c>
      <c r="F598" s="2">
        <v>1187349.8</v>
      </c>
      <c r="H598" s="2">
        <f t="shared" si="12"/>
        <v>1187349.8</v>
      </c>
      <c r="I598"/>
    </row>
    <row r="599" spans="1:9">
      <c r="A599" s="1" t="s">
        <v>2911</v>
      </c>
      <c r="B599" s="1" t="s">
        <v>157</v>
      </c>
      <c r="C599" s="1" t="s">
        <v>2902</v>
      </c>
      <c r="F599" s="2">
        <v>1104118.13</v>
      </c>
      <c r="H599" s="2">
        <f t="shared" si="12"/>
        <v>1104118.13</v>
      </c>
      <c r="I599"/>
    </row>
    <row r="600" spans="1:9">
      <c r="A600" s="1" t="s">
        <v>2911</v>
      </c>
      <c r="B600" s="1" t="s">
        <v>158</v>
      </c>
      <c r="C600" s="1" t="s">
        <v>2902</v>
      </c>
      <c r="D600" s="2">
        <v>0</v>
      </c>
      <c r="F600" s="2">
        <v>2385811.6</v>
      </c>
      <c r="G600" s="2">
        <v>0</v>
      </c>
      <c r="H600" s="2">
        <f t="shared" si="12"/>
        <v>2385811.6</v>
      </c>
      <c r="I600"/>
    </row>
    <row r="601" spans="1:9">
      <c r="A601" s="1" t="s">
        <v>2911</v>
      </c>
      <c r="B601" s="1" t="s">
        <v>159</v>
      </c>
      <c r="C601" s="1" t="s">
        <v>2902</v>
      </c>
      <c r="F601" s="2">
        <v>1778194.04</v>
      </c>
      <c r="H601" s="2">
        <f t="shared" si="12"/>
        <v>1778194.04</v>
      </c>
      <c r="I601"/>
    </row>
    <row r="602" spans="1:9">
      <c r="A602" s="1" t="s">
        <v>2911</v>
      </c>
      <c r="B602" s="1" t="s">
        <v>148</v>
      </c>
      <c r="C602" s="1" t="s">
        <v>2931</v>
      </c>
      <c r="F602" s="2">
        <v>540922.37</v>
      </c>
      <c r="H602" s="2">
        <f t="shared" si="12"/>
        <v>540922.37</v>
      </c>
      <c r="I602"/>
    </row>
    <row r="603" spans="1:9">
      <c r="A603" s="1" t="s">
        <v>2911</v>
      </c>
      <c r="B603" s="1" t="s">
        <v>149</v>
      </c>
      <c r="C603" s="1" t="s">
        <v>2931</v>
      </c>
      <c r="F603" s="2">
        <v>1439404.82</v>
      </c>
      <c r="H603" s="2">
        <f t="shared" si="12"/>
        <v>1439404.82</v>
      </c>
      <c r="I603"/>
    </row>
    <row r="604" spans="1:9">
      <c r="A604" s="1" t="s">
        <v>2911</v>
      </c>
      <c r="B604" s="1" t="s">
        <v>150</v>
      </c>
      <c r="C604" s="1" t="s">
        <v>2931</v>
      </c>
      <c r="F604" s="2">
        <v>891255.92</v>
      </c>
      <c r="H604" s="2">
        <f t="shared" si="12"/>
        <v>891255.92</v>
      </c>
      <c r="I604"/>
    </row>
    <row r="605" spans="1:9">
      <c r="A605" s="1" t="s">
        <v>2911</v>
      </c>
      <c r="B605" s="1" t="s">
        <v>151</v>
      </c>
      <c r="C605" s="1" t="s">
        <v>2931</v>
      </c>
      <c r="F605" s="2">
        <v>744917.68</v>
      </c>
      <c r="H605" s="2">
        <f t="shared" si="12"/>
        <v>744917.68</v>
      </c>
      <c r="I605"/>
    </row>
    <row r="606" spans="1:9">
      <c r="A606" s="1" t="s">
        <v>2911</v>
      </c>
      <c r="B606" s="1" t="s">
        <v>152</v>
      </c>
      <c r="C606" s="1" t="s">
        <v>2931</v>
      </c>
      <c r="F606" s="2">
        <v>756650.76</v>
      </c>
      <c r="H606" s="2">
        <f t="shared" si="12"/>
        <v>756650.76</v>
      </c>
      <c r="I606"/>
    </row>
    <row r="607" spans="1:9">
      <c r="A607" s="1" t="s">
        <v>2911</v>
      </c>
      <c r="B607" s="1" t="s">
        <v>153</v>
      </c>
      <c r="C607" s="1" t="s">
        <v>2931</v>
      </c>
      <c r="F607" s="2">
        <v>1035868.04</v>
      </c>
      <c r="H607" s="2">
        <f t="shared" si="12"/>
        <v>1035868.04</v>
      </c>
      <c r="I607"/>
    </row>
    <row r="608" spans="1:9">
      <c r="A608" s="1" t="s">
        <v>2911</v>
      </c>
      <c r="B608" s="1" t="s">
        <v>154</v>
      </c>
      <c r="C608" s="1" t="s">
        <v>2931</v>
      </c>
      <c r="F608" s="2">
        <v>489211.64</v>
      </c>
      <c r="H608" s="2">
        <f t="shared" si="12"/>
        <v>489211.64</v>
      </c>
      <c r="I608"/>
    </row>
    <row r="609" spans="1:8">
      <c r="A609" s="1" t="s">
        <v>2911</v>
      </c>
      <c r="B609" s="1" t="s">
        <v>155</v>
      </c>
      <c r="C609" s="1" t="s">
        <v>2931</v>
      </c>
      <c r="F609" s="2">
        <v>508147.95</v>
      </c>
      <c r="H609" s="2">
        <f t="shared" si="12"/>
        <v>508147.95</v>
      </c>
    </row>
    <row r="610" spans="1:9">
      <c r="A610" s="1" t="s">
        <v>2911</v>
      </c>
      <c r="B610" s="1" t="s">
        <v>156</v>
      </c>
      <c r="C610" s="1" t="s">
        <v>2931</v>
      </c>
      <c r="F610" s="2">
        <v>1540338.49</v>
      </c>
      <c r="H610" s="2">
        <f t="shared" si="12"/>
        <v>1540338.49</v>
      </c>
      <c r="I610"/>
    </row>
    <row r="611" spans="1:9">
      <c r="A611" s="1" t="s">
        <v>2911</v>
      </c>
      <c r="B611" s="1" t="s">
        <v>157</v>
      </c>
      <c r="C611" s="1" t="s">
        <v>2931</v>
      </c>
      <c r="F611" s="2">
        <v>205616.21</v>
      </c>
      <c r="H611" s="2">
        <f t="shared" si="12"/>
        <v>205616.21</v>
      </c>
      <c r="I611"/>
    </row>
    <row r="612" spans="1:9">
      <c r="A612" s="1" t="s">
        <v>2911</v>
      </c>
      <c r="B612" s="1" t="s">
        <v>158</v>
      </c>
      <c r="C612" s="1" t="s">
        <v>2931</v>
      </c>
      <c r="D612" s="2">
        <v>0</v>
      </c>
      <c r="F612" s="2">
        <v>700141.92</v>
      </c>
      <c r="G612" s="2">
        <v>0</v>
      </c>
      <c r="H612" s="2">
        <f t="shared" si="12"/>
        <v>700141.92</v>
      </c>
      <c r="I612"/>
    </row>
    <row r="613" spans="1:9">
      <c r="A613" s="1" t="s">
        <v>2911</v>
      </c>
      <c r="B613" s="1" t="s">
        <v>159</v>
      </c>
      <c r="C613" s="1" t="s">
        <v>2931</v>
      </c>
      <c r="F613" s="2">
        <v>1918245.5</v>
      </c>
      <c r="H613" s="2">
        <f t="shared" si="12"/>
        <v>1918245.5</v>
      </c>
      <c r="I613"/>
    </row>
    <row r="614" spans="1:9">
      <c r="A614" s="1" t="s">
        <v>2912</v>
      </c>
      <c r="B614" s="1" t="s">
        <v>148</v>
      </c>
      <c r="C614" s="1" t="s">
        <v>2892</v>
      </c>
      <c r="D614" s="2">
        <v>3486564.5</v>
      </c>
      <c r="E614" s="2">
        <v>405.69</v>
      </c>
      <c r="F614" s="2">
        <v>47583853.39</v>
      </c>
      <c r="G614" s="2">
        <v>171094.07</v>
      </c>
      <c r="H614" s="2">
        <f t="shared" si="12"/>
        <v>51241917.65</v>
      </c>
      <c r="I614"/>
    </row>
    <row r="615" spans="1:9">
      <c r="A615" s="1" t="s">
        <v>2912</v>
      </c>
      <c r="B615" s="1" t="s">
        <v>149</v>
      </c>
      <c r="C615" s="1" t="s">
        <v>2892</v>
      </c>
      <c r="D615" s="2">
        <v>5561982.66</v>
      </c>
      <c r="E615" s="2">
        <v>776.3</v>
      </c>
      <c r="F615" s="2">
        <v>49535118.72</v>
      </c>
      <c r="G615" s="2">
        <v>3827.18</v>
      </c>
      <c r="H615" s="2">
        <f t="shared" si="12"/>
        <v>55101704.86</v>
      </c>
      <c r="I615"/>
    </row>
    <row r="616" spans="1:9">
      <c r="A616" s="1" t="s">
        <v>2912</v>
      </c>
      <c r="B616" s="1" t="s">
        <v>150</v>
      </c>
      <c r="C616" s="1" t="s">
        <v>2892</v>
      </c>
      <c r="D616" s="2">
        <v>3886724.89</v>
      </c>
      <c r="E616" s="2">
        <v>815.15</v>
      </c>
      <c r="F616" s="2">
        <v>55209404.89</v>
      </c>
      <c r="G616" s="2">
        <v>8399.95</v>
      </c>
      <c r="H616" s="2">
        <f t="shared" si="12"/>
        <v>59105344.88</v>
      </c>
      <c r="I616"/>
    </row>
    <row r="617" spans="1:9">
      <c r="A617" s="1" t="s">
        <v>2912</v>
      </c>
      <c r="B617" s="1" t="s">
        <v>151</v>
      </c>
      <c r="C617" s="1" t="s">
        <v>2892</v>
      </c>
      <c r="D617" s="2">
        <v>2528415.54</v>
      </c>
      <c r="E617" s="2">
        <v>563.9</v>
      </c>
      <c r="F617" s="2">
        <v>73118038</v>
      </c>
      <c r="G617" s="2">
        <v>73775.36</v>
      </c>
      <c r="H617" s="2">
        <f t="shared" si="12"/>
        <v>75720792.8</v>
      </c>
      <c r="I617"/>
    </row>
    <row r="618" spans="1:9">
      <c r="A618" s="1" t="s">
        <v>2912</v>
      </c>
      <c r="B618" s="1" t="s">
        <v>152</v>
      </c>
      <c r="C618" s="1" t="s">
        <v>2892</v>
      </c>
      <c r="D618" s="2">
        <v>2063944.5</v>
      </c>
      <c r="E618" s="2">
        <v>553.5</v>
      </c>
      <c r="F618" s="2">
        <v>71255517.6</v>
      </c>
      <c r="G618" s="2">
        <v>117920.43</v>
      </c>
      <c r="H618" s="2">
        <f t="shared" si="12"/>
        <v>73437936.03</v>
      </c>
      <c r="I618"/>
    </row>
    <row r="619" spans="1:9">
      <c r="A619" s="1" t="s">
        <v>2912</v>
      </c>
      <c r="B619" s="1" t="s">
        <v>153</v>
      </c>
      <c r="C619" s="1" t="s">
        <v>2892</v>
      </c>
      <c r="D619" s="2">
        <v>2997841.21</v>
      </c>
      <c r="E619" s="2">
        <v>1042795.87</v>
      </c>
      <c r="F619" s="2">
        <v>101472251.27</v>
      </c>
      <c r="G619" s="2">
        <v>66504.8</v>
      </c>
      <c r="H619" s="2">
        <f t="shared" si="12"/>
        <v>105579393.15</v>
      </c>
      <c r="I619"/>
    </row>
    <row r="620" spans="1:9">
      <c r="A620" s="1" t="s">
        <v>2912</v>
      </c>
      <c r="B620" s="1" t="s">
        <v>154</v>
      </c>
      <c r="C620" s="1" t="s">
        <v>2892</v>
      </c>
      <c r="D620" s="2">
        <v>19558447.87</v>
      </c>
      <c r="E620" s="2">
        <v>298.35</v>
      </c>
      <c r="F620" s="2">
        <v>116518901.76</v>
      </c>
      <c r="G620" s="2">
        <v>42297.6</v>
      </c>
      <c r="H620" s="2">
        <f t="shared" si="12"/>
        <v>136119945.58</v>
      </c>
      <c r="I620"/>
    </row>
    <row r="621" spans="1:8">
      <c r="A621" s="1" t="s">
        <v>2912</v>
      </c>
      <c r="B621" s="1" t="s">
        <v>155</v>
      </c>
      <c r="C621" s="1" t="s">
        <v>2892</v>
      </c>
      <c r="D621" s="2">
        <v>13367096.5</v>
      </c>
      <c r="E621" s="2">
        <v>379.35</v>
      </c>
      <c r="F621" s="2">
        <v>150422751.32</v>
      </c>
      <c r="G621" s="2">
        <v>24986</v>
      </c>
      <c r="H621" s="2">
        <f t="shared" si="12"/>
        <v>163815213.17</v>
      </c>
    </row>
    <row r="622" spans="1:9">
      <c r="A622" s="1" t="s">
        <v>2912</v>
      </c>
      <c r="B622" s="1" t="s">
        <v>156</v>
      </c>
      <c r="C622" s="1" t="s">
        <v>2892</v>
      </c>
      <c r="D622" s="2">
        <v>9133219.16999999</v>
      </c>
      <c r="E622" s="2">
        <v>28.53</v>
      </c>
      <c r="F622" s="2">
        <v>135627634.9</v>
      </c>
      <c r="G622" s="2">
        <v>24936.6</v>
      </c>
      <c r="H622" s="2">
        <f t="shared" si="12"/>
        <v>144785819.2</v>
      </c>
      <c r="I622"/>
    </row>
    <row r="623" spans="1:9">
      <c r="A623" s="1" t="s">
        <v>2912</v>
      </c>
      <c r="B623" s="1" t="s">
        <v>157</v>
      </c>
      <c r="C623" s="1" t="s">
        <v>2892</v>
      </c>
      <c r="D623" s="2">
        <v>10751136.85</v>
      </c>
      <c r="F623" s="2">
        <v>109878131.3</v>
      </c>
      <c r="G623" s="2">
        <v>21028.8</v>
      </c>
      <c r="H623" s="2">
        <f t="shared" si="12"/>
        <v>120650296.95</v>
      </c>
      <c r="I623"/>
    </row>
    <row r="624" spans="1:9">
      <c r="A624" s="1" t="s">
        <v>2912</v>
      </c>
      <c r="B624" s="1" t="s">
        <v>158</v>
      </c>
      <c r="C624" s="1" t="s">
        <v>2892</v>
      </c>
      <c r="D624" s="2">
        <v>7414338.62</v>
      </c>
      <c r="F624" s="2">
        <v>99607260.9</v>
      </c>
      <c r="G624" s="2">
        <v>17595.98</v>
      </c>
      <c r="H624" s="2">
        <f t="shared" si="12"/>
        <v>107039195.5</v>
      </c>
      <c r="I624"/>
    </row>
    <row r="625" spans="1:9">
      <c r="A625" s="1" t="s">
        <v>2912</v>
      </c>
      <c r="B625" s="1" t="s">
        <v>159</v>
      </c>
      <c r="C625" s="1" t="s">
        <v>2892</v>
      </c>
      <c r="D625" s="2">
        <v>41094465.5200001</v>
      </c>
      <c r="E625" s="2">
        <v>50.1</v>
      </c>
      <c r="F625" s="2">
        <v>91475691.4099999</v>
      </c>
      <c r="G625" s="2">
        <v>13681.41</v>
      </c>
      <c r="H625" s="2">
        <f t="shared" si="12"/>
        <v>132583888.44</v>
      </c>
      <c r="I625"/>
    </row>
    <row r="626" spans="1:9">
      <c r="A626" s="1" t="s">
        <v>2912</v>
      </c>
      <c r="B626" s="1" t="s">
        <v>148</v>
      </c>
      <c r="C626" s="1" t="s">
        <v>2899</v>
      </c>
      <c r="D626" s="2">
        <v>3379622.9578</v>
      </c>
      <c r="E626" s="2">
        <v>406.45</v>
      </c>
      <c r="F626" s="2">
        <v>47362868.57</v>
      </c>
      <c r="G626" s="2">
        <v>123642.94</v>
      </c>
      <c r="H626" s="2">
        <f t="shared" si="12"/>
        <v>50866540.9178</v>
      </c>
      <c r="I626"/>
    </row>
    <row r="627" spans="1:9">
      <c r="A627" s="1" t="s">
        <v>2912</v>
      </c>
      <c r="B627" s="1" t="s">
        <v>149</v>
      </c>
      <c r="C627" s="1" t="s">
        <v>2899</v>
      </c>
      <c r="D627" s="2">
        <v>5473970.7</v>
      </c>
      <c r="E627" s="2">
        <v>773.6</v>
      </c>
      <c r="F627" s="2">
        <v>49325392.7172</v>
      </c>
      <c r="G627" s="2">
        <v>3677.78</v>
      </c>
      <c r="H627" s="2">
        <f t="shared" si="12"/>
        <v>54803814.7972</v>
      </c>
      <c r="I627"/>
    </row>
    <row r="628" spans="1:9">
      <c r="A628" s="1" t="s">
        <v>2912</v>
      </c>
      <c r="B628" s="1" t="s">
        <v>150</v>
      </c>
      <c r="C628" s="1" t="s">
        <v>2899</v>
      </c>
      <c r="D628" s="2">
        <v>3845875.3</v>
      </c>
      <c r="E628" s="2">
        <v>814.2</v>
      </c>
      <c r="F628" s="2">
        <v>54977837.95</v>
      </c>
      <c r="G628" s="2">
        <v>7603.1</v>
      </c>
      <c r="H628" s="2">
        <f t="shared" si="12"/>
        <v>58832130.55</v>
      </c>
      <c r="I628"/>
    </row>
    <row r="629" spans="1:9">
      <c r="A629" s="1" t="s">
        <v>2912</v>
      </c>
      <c r="B629" s="1" t="s">
        <v>151</v>
      </c>
      <c r="C629" s="1" t="s">
        <v>2899</v>
      </c>
      <c r="D629" s="2">
        <v>2432513.5</v>
      </c>
      <c r="E629" s="2">
        <v>564.95</v>
      </c>
      <c r="F629" s="2">
        <v>72750547.2</v>
      </c>
      <c r="G629" s="2">
        <v>68969.82</v>
      </c>
      <c r="H629" s="2">
        <f t="shared" si="12"/>
        <v>75252595.47</v>
      </c>
      <c r="I629"/>
    </row>
    <row r="630" spans="1:9">
      <c r="A630" s="1" t="s">
        <v>2912</v>
      </c>
      <c r="B630" s="1" t="s">
        <v>152</v>
      </c>
      <c r="C630" s="1" t="s">
        <v>2899</v>
      </c>
      <c r="D630" s="2">
        <v>2115299.5</v>
      </c>
      <c r="E630" s="2">
        <v>565.5</v>
      </c>
      <c r="F630" s="2">
        <v>70444347.3</v>
      </c>
      <c r="G630" s="2">
        <v>111668.3</v>
      </c>
      <c r="H630" s="2">
        <f t="shared" si="12"/>
        <v>72671880.6</v>
      </c>
      <c r="I630"/>
    </row>
    <row r="631" spans="1:9">
      <c r="A631" s="1" t="s">
        <v>2912</v>
      </c>
      <c r="B631" s="1" t="s">
        <v>153</v>
      </c>
      <c r="C631" s="1" t="s">
        <v>2899</v>
      </c>
      <c r="D631" s="2">
        <v>2963696.3</v>
      </c>
      <c r="E631" s="2">
        <v>1031332.97</v>
      </c>
      <c r="F631" s="2">
        <v>99555814.43</v>
      </c>
      <c r="G631" s="2">
        <v>62560.02</v>
      </c>
      <c r="H631" s="2">
        <f t="shared" si="12"/>
        <v>103613403.72</v>
      </c>
      <c r="I631"/>
    </row>
    <row r="632" spans="1:9">
      <c r="A632" s="1" t="s">
        <v>2912</v>
      </c>
      <c r="B632" s="1" t="s">
        <v>154</v>
      </c>
      <c r="C632" s="1" t="s">
        <v>2899</v>
      </c>
      <c r="D632" s="2">
        <v>19317706.37</v>
      </c>
      <c r="E632" s="2">
        <v>297.1</v>
      </c>
      <c r="F632" s="2">
        <v>114762173.51</v>
      </c>
      <c r="G632" s="2">
        <v>39153</v>
      </c>
      <c r="H632" s="2">
        <f t="shared" si="12"/>
        <v>134119329.98</v>
      </c>
      <c r="I632"/>
    </row>
    <row r="633" spans="1:8">
      <c r="A633" s="1" t="s">
        <v>2912</v>
      </c>
      <c r="B633" s="1" t="s">
        <v>155</v>
      </c>
      <c r="C633" s="1" t="s">
        <v>2899</v>
      </c>
      <c r="D633" s="2">
        <v>13258356.3524</v>
      </c>
      <c r="E633" s="2">
        <v>376.25</v>
      </c>
      <c r="F633" s="2">
        <v>149908216.68</v>
      </c>
      <c r="G633" s="2">
        <v>23252</v>
      </c>
      <c r="H633" s="2">
        <f t="shared" si="12"/>
        <v>163190201.2824</v>
      </c>
    </row>
    <row r="634" spans="1:9">
      <c r="A634" s="1" t="s">
        <v>2912</v>
      </c>
      <c r="B634" s="1" t="s">
        <v>156</v>
      </c>
      <c r="C634" s="1" t="s">
        <v>2899</v>
      </c>
      <c r="D634" s="2">
        <v>9203863.8024</v>
      </c>
      <c r="E634" s="2">
        <v>29.7</v>
      </c>
      <c r="F634" s="2">
        <v>135249056</v>
      </c>
      <c r="G634" s="2">
        <v>23082</v>
      </c>
      <c r="H634" s="2">
        <f t="shared" si="12"/>
        <v>144476031.5024</v>
      </c>
      <c r="I634"/>
    </row>
    <row r="635" spans="1:9">
      <c r="A635" s="1" t="s">
        <v>2912</v>
      </c>
      <c r="B635" s="1" t="s">
        <v>157</v>
      </c>
      <c r="C635" s="1" t="s">
        <v>2899</v>
      </c>
      <c r="D635" s="2">
        <v>10690948</v>
      </c>
      <c r="F635" s="2">
        <v>109492871.61</v>
      </c>
      <c r="G635" s="2">
        <v>19176.2</v>
      </c>
      <c r="H635" s="2">
        <f t="shared" si="12"/>
        <v>120202995.81</v>
      </c>
      <c r="I635"/>
    </row>
    <row r="636" spans="1:9">
      <c r="A636" s="1" t="s">
        <v>2912</v>
      </c>
      <c r="B636" s="1" t="s">
        <v>158</v>
      </c>
      <c r="C636" s="1" t="s">
        <v>2899</v>
      </c>
      <c r="D636" s="2">
        <v>7605552.42</v>
      </c>
      <c r="F636" s="2">
        <v>102736556.05</v>
      </c>
      <c r="G636" s="2">
        <v>16578.55</v>
      </c>
      <c r="H636" s="2">
        <f t="shared" si="12"/>
        <v>110358687.02</v>
      </c>
      <c r="I636"/>
    </row>
    <row r="637" spans="1:9">
      <c r="A637" s="1" t="s">
        <v>2912</v>
      </c>
      <c r="B637" s="1" t="s">
        <v>159</v>
      </c>
      <c r="C637" s="1" t="s">
        <v>2899</v>
      </c>
      <c r="D637" s="2">
        <v>41243936.2754</v>
      </c>
      <c r="E637" s="2">
        <v>49</v>
      </c>
      <c r="F637" s="2">
        <v>91283051.58</v>
      </c>
      <c r="G637" s="2">
        <v>12441.34</v>
      </c>
      <c r="H637" s="2">
        <f t="shared" si="12"/>
        <v>132539478.1954</v>
      </c>
      <c r="I637"/>
    </row>
    <row r="638" spans="1:9">
      <c r="A638" s="1" t="s">
        <v>2912</v>
      </c>
      <c r="B638" s="1" t="s">
        <v>148</v>
      </c>
      <c r="C638" s="1" t="s">
        <v>2896</v>
      </c>
      <c r="D638" s="2">
        <v>137.08</v>
      </c>
      <c r="F638" s="2">
        <v>256.35</v>
      </c>
      <c r="G638" s="2">
        <v>486.06</v>
      </c>
      <c r="H638" s="2">
        <f t="shared" si="12"/>
        <v>879.49</v>
      </c>
      <c r="I638"/>
    </row>
    <row r="639" spans="1:9">
      <c r="A639" s="1" t="s">
        <v>2912</v>
      </c>
      <c r="B639" s="1" t="s">
        <v>149</v>
      </c>
      <c r="C639" s="1" t="s">
        <v>2896</v>
      </c>
      <c r="F639" s="2">
        <v>179.15</v>
      </c>
      <c r="H639" s="2">
        <f t="shared" si="12"/>
        <v>179.15</v>
      </c>
      <c r="I639"/>
    </row>
    <row r="640" spans="1:9">
      <c r="A640" s="1" t="s">
        <v>2912</v>
      </c>
      <c r="B640" s="1" t="s">
        <v>150</v>
      </c>
      <c r="C640" s="1" t="s">
        <v>2896</v>
      </c>
      <c r="D640" s="2">
        <v>6201.31</v>
      </c>
      <c r="F640" s="2">
        <v>30.18</v>
      </c>
      <c r="H640" s="2">
        <f t="shared" si="12"/>
        <v>6231.49</v>
      </c>
      <c r="I640"/>
    </row>
    <row r="641" spans="1:9">
      <c r="A641" s="1" t="s">
        <v>2912</v>
      </c>
      <c r="B641" s="1" t="s">
        <v>151</v>
      </c>
      <c r="C641" s="1" t="s">
        <v>2896</v>
      </c>
      <c r="D641" s="2">
        <v>4668.12</v>
      </c>
      <c r="F641" s="2">
        <v>58.43</v>
      </c>
      <c r="H641" s="2">
        <f t="shared" si="12"/>
        <v>4726.55</v>
      </c>
      <c r="I641"/>
    </row>
    <row r="642" spans="1:9">
      <c r="A642" s="1" t="s">
        <v>2912</v>
      </c>
      <c r="B642" s="1" t="s">
        <v>152</v>
      </c>
      <c r="C642" s="1" t="s">
        <v>2896</v>
      </c>
      <c r="D642" s="2">
        <v>2968.19</v>
      </c>
      <c r="E642" s="2">
        <v>2929.58</v>
      </c>
      <c r="F642" s="2">
        <v>15.09</v>
      </c>
      <c r="G642" s="2">
        <v>0</v>
      </c>
      <c r="H642" s="2">
        <f t="shared" ref="H642:H705" si="13">SUM(D642:G642)</f>
        <v>5912.86</v>
      </c>
      <c r="I642"/>
    </row>
    <row r="643" spans="1:9">
      <c r="A643" s="1" t="s">
        <v>2912</v>
      </c>
      <c r="B643" s="1" t="s">
        <v>153</v>
      </c>
      <c r="C643" s="1" t="s">
        <v>2896</v>
      </c>
      <c r="D643" s="2">
        <v>29.38</v>
      </c>
      <c r="F643" s="2">
        <v>82.16</v>
      </c>
      <c r="G643" s="2">
        <v>0</v>
      </c>
      <c r="H643" s="2">
        <f t="shared" si="13"/>
        <v>111.54</v>
      </c>
      <c r="I643"/>
    </row>
    <row r="644" spans="1:9">
      <c r="A644" s="1" t="s">
        <v>2912</v>
      </c>
      <c r="B644" s="1" t="s">
        <v>154</v>
      </c>
      <c r="C644" s="1" t="s">
        <v>2896</v>
      </c>
      <c r="D644" s="2">
        <v>131.27</v>
      </c>
      <c r="H644" s="2">
        <f t="shared" si="13"/>
        <v>131.27</v>
      </c>
      <c r="I644"/>
    </row>
    <row r="645" spans="1:8">
      <c r="A645" s="1" t="s">
        <v>2912</v>
      </c>
      <c r="B645" s="1" t="s">
        <v>155</v>
      </c>
      <c r="C645" s="1" t="s">
        <v>2896</v>
      </c>
      <c r="D645" s="2">
        <v>147.9</v>
      </c>
      <c r="F645" s="2">
        <v>56.61</v>
      </c>
      <c r="H645" s="2">
        <f t="shared" si="13"/>
        <v>204.51</v>
      </c>
    </row>
    <row r="646" spans="1:9">
      <c r="A646" s="1" t="s">
        <v>2912</v>
      </c>
      <c r="B646" s="1" t="s">
        <v>156</v>
      </c>
      <c r="C646" s="1" t="s">
        <v>2896</v>
      </c>
      <c r="D646" s="2">
        <v>4666.09</v>
      </c>
      <c r="F646" s="2">
        <v>13788.68</v>
      </c>
      <c r="H646" s="2">
        <f t="shared" si="13"/>
        <v>18454.77</v>
      </c>
      <c r="I646"/>
    </row>
    <row r="647" spans="1:9">
      <c r="A647" s="1" t="s">
        <v>2912</v>
      </c>
      <c r="B647" s="1" t="s">
        <v>157</v>
      </c>
      <c r="C647" s="1" t="s">
        <v>2896</v>
      </c>
      <c r="D647" s="2">
        <v>10941</v>
      </c>
      <c r="F647" s="2">
        <v>9079.99</v>
      </c>
      <c r="H647" s="2">
        <f t="shared" si="13"/>
        <v>20020.99</v>
      </c>
      <c r="I647"/>
    </row>
    <row r="648" spans="1:9">
      <c r="A648" s="1" t="s">
        <v>2912</v>
      </c>
      <c r="B648" s="1" t="s">
        <v>158</v>
      </c>
      <c r="C648" s="1" t="s">
        <v>2896</v>
      </c>
      <c r="D648" s="2">
        <v>22746.13</v>
      </c>
      <c r="F648" s="2">
        <v>3705.72</v>
      </c>
      <c r="G648" s="2">
        <v>0</v>
      </c>
      <c r="H648" s="2">
        <f t="shared" si="13"/>
        <v>26451.85</v>
      </c>
      <c r="I648"/>
    </row>
    <row r="649" spans="1:9">
      <c r="A649" s="1" t="s">
        <v>2912</v>
      </c>
      <c r="B649" s="1" t="s">
        <v>159</v>
      </c>
      <c r="C649" s="1" t="s">
        <v>2896</v>
      </c>
      <c r="D649" s="2">
        <v>71134.69</v>
      </c>
      <c r="F649" s="2">
        <v>691450.19</v>
      </c>
      <c r="H649" s="2">
        <f t="shared" si="13"/>
        <v>762584.88</v>
      </c>
      <c r="I649"/>
    </row>
    <row r="650" spans="1:9">
      <c r="A650" s="1" t="s">
        <v>2912</v>
      </c>
      <c r="B650" s="1" t="s">
        <v>148</v>
      </c>
      <c r="C650" s="1" t="s">
        <v>2893</v>
      </c>
      <c r="D650" s="2">
        <v>4.98</v>
      </c>
      <c r="F650" s="2">
        <v>197.82</v>
      </c>
      <c r="G650" s="2">
        <v>486.05</v>
      </c>
      <c r="H650" s="2">
        <f t="shared" si="13"/>
        <v>688.85</v>
      </c>
      <c r="I650"/>
    </row>
    <row r="651" spans="1:9">
      <c r="A651" s="1" t="s">
        <v>2912</v>
      </c>
      <c r="B651" s="1" t="s">
        <v>149</v>
      </c>
      <c r="C651" s="1" t="s">
        <v>2893</v>
      </c>
      <c r="F651" s="2">
        <v>136.32</v>
      </c>
      <c r="H651" s="2">
        <f t="shared" si="13"/>
        <v>136.32</v>
      </c>
      <c r="I651"/>
    </row>
    <row r="652" spans="1:9">
      <c r="A652" s="1" t="s">
        <v>2912</v>
      </c>
      <c r="B652" s="1" t="s">
        <v>150</v>
      </c>
      <c r="C652" s="1" t="s">
        <v>2893</v>
      </c>
      <c r="D652" s="2">
        <v>6197.91</v>
      </c>
      <c r="F652" s="2">
        <v>21.12</v>
      </c>
      <c r="H652" s="2">
        <f t="shared" si="13"/>
        <v>6219.03</v>
      </c>
      <c r="I652"/>
    </row>
    <row r="653" spans="1:9">
      <c r="A653" s="1" t="s">
        <v>2912</v>
      </c>
      <c r="B653" s="1" t="s">
        <v>151</v>
      </c>
      <c r="C653" s="1" t="s">
        <v>2893</v>
      </c>
      <c r="D653" s="2">
        <v>4942.06</v>
      </c>
      <c r="F653" s="2">
        <v>42.28</v>
      </c>
      <c r="H653" s="2">
        <f t="shared" si="13"/>
        <v>4984.34</v>
      </c>
      <c r="I653"/>
    </row>
    <row r="654" spans="1:9">
      <c r="A654" s="1" t="s">
        <v>2912</v>
      </c>
      <c r="B654" s="1" t="s">
        <v>152</v>
      </c>
      <c r="C654" s="1" t="s">
        <v>2893</v>
      </c>
      <c r="D654" s="2">
        <v>3053.09</v>
      </c>
      <c r="E654" s="2">
        <v>2929.58</v>
      </c>
      <c r="F654" s="2">
        <v>10.38</v>
      </c>
      <c r="H654" s="2">
        <f t="shared" si="13"/>
        <v>5993.05</v>
      </c>
      <c r="I654"/>
    </row>
    <row r="655" spans="1:9">
      <c r="A655" s="1" t="s">
        <v>2912</v>
      </c>
      <c r="B655" s="1" t="s">
        <v>153</v>
      </c>
      <c r="C655" s="1" t="s">
        <v>2893</v>
      </c>
      <c r="D655" s="2">
        <v>29.38</v>
      </c>
      <c r="F655" s="2">
        <v>52.72</v>
      </c>
      <c r="H655" s="2">
        <f t="shared" si="13"/>
        <v>82.1</v>
      </c>
      <c r="I655"/>
    </row>
    <row r="656" spans="1:9">
      <c r="A656" s="1" t="s">
        <v>2912</v>
      </c>
      <c r="B656" s="1" t="s">
        <v>154</v>
      </c>
      <c r="C656" s="1" t="s">
        <v>2893</v>
      </c>
      <c r="D656" s="2">
        <v>81.25</v>
      </c>
      <c r="H656" s="2">
        <f t="shared" si="13"/>
        <v>81.25</v>
      </c>
      <c r="I656"/>
    </row>
    <row r="657" spans="1:8">
      <c r="A657" s="1" t="s">
        <v>2912</v>
      </c>
      <c r="B657" s="1" t="s">
        <v>155</v>
      </c>
      <c r="C657" s="1" t="s">
        <v>2893</v>
      </c>
      <c r="D657" s="2">
        <v>132.24</v>
      </c>
      <c r="F657" s="2">
        <v>48.68</v>
      </c>
      <c r="H657" s="2">
        <f t="shared" si="13"/>
        <v>180.92</v>
      </c>
    </row>
    <row r="658" spans="1:9">
      <c r="A658" s="1" t="s">
        <v>2912</v>
      </c>
      <c r="B658" s="1" t="s">
        <v>156</v>
      </c>
      <c r="C658" s="1" t="s">
        <v>2893</v>
      </c>
      <c r="D658" s="2">
        <v>2361.09</v>
      </c>
      <c r="F658" s="2">
        <v>9083.6</v>
      </c>
      <c r="H658" s="2">
        <f t="shared" si="13"/>
        <v>11444.69</v>
      </c>
      <c r="I658"/>
    </row>
    <row r="659" spans="1:9">
      <c r="A659" s="1" t="s">
        <v>2912</v>
      </c>
      <c r="B659" s="1" t="s">
        <v>157</v>
      </c>
      <c r="C659" s="1" t="s">
        <v>2893</v>
      </c>
      <c r="D659" s="2">
        <v>6921.19</v>
      </c>
      <c r="F659" s="2">
        <v>5990.6</v>
      </c>
      <c r="H659" s="2">
        <f t="shared" si="13"/>
        <v>12911.79</v>
      </c>
      <c r="I659"/>
    </row>
    <row r="660" spans="1:9">
      <c r="A660" s="1" t="s">
        <v>2912</v>
      </c>
      <c r="B660" s="1" t="s">
        <v>158</v>
      </c>
      <c r="C660" s="1" t="s">
        <v>2893</v>
      </c>
      <c r="D660" s="2">
        <v>12826.67</v>
      </c>
      <c r="F660" s="2">
        <v>3441.39</v>
      </c>
      <c r="G660" s="2">
        <v>0</v>
      </c>
      <c r="H660" s="2">
        <f t="shared" si="13"/>
        <v>16268.06</v>
      </c>
      <c r="I660"/>
    </row>
    <row r="661" spans="1:9">
      <c r="A661" s="1" t="s">
        <v>2912</v>
      </c>
      <c r="B661" s="1" t="s">
        <v>159</v>
      </c>
      <c r="C661" s="1" t="s">
        <v>2893</v>
      </c>
      <c r="D661" s="2">
        <v>61305.51</v>
      </c>
      <c r="F661" s="2">
        <v>692801.25</v>
      </c>
      <c r="H661" s="2">
        <f t="shared" si="13"/>
        <v>754106.76</v>
      </c>
      <c r="I661"/>
    </row>
    <row r="662" spans="1:9">
      <c r="A662" s="1" t="s">
        <v>2912</v>
      </c>
      <c r="B662" s="1" t="s">
        <v>148</v>
      </c>
      <c r="C662" s="1" t="s">
        <v>2902</v>
      </c>
      <c r="D662" s="16">
        <v>30402.62</v>
      </c>
      <c r="E662" s="16"/>
      <c r="F662" s="16"/>
      <c r="G662" s="16"/>
      <c r="H662" s="2">
        <f t="shared" si="13"/>
        <v>30402.62</v>
      </c>
      <c r="I662"/>
    </row>
    <row r="663" spans="1:9">
      <c r="A663" s="1" t="s">
        <v>2912</v>
      </c>
      <c r="B663" s="1" t="s">
        <v>149</v>
      </c>
      <c r="C663" s="1" t="s">
        <v>2902</v>
      </c>
      <c r="D663" s="16">
        <v>36686.64</v>
      </c>
      <c r="E663" s="16"/>
      <c r="F663" s="16"/>
      <c r="G663" s="16"/>
      <c r="H663" s="2">
        <f t="shared" si="13"/>
        <v>36686.64</v>
      </c>
      <c r="I663"/>
    </row>
    <row r="664" spans="1:9">
      <c r="A664" s="1" t="s">
        <v>2912</v>
      </c>
      <c r="B664" s="1" t="s">
        <v>150</v>
      </c>
      <c r="C664" s="1" t="s">
        <v>2902</v>
      </c>
      <c r="D664" s="16">
        <v>33060.4</v>
      </c>
      <c r="E664" s="16"/>
      <c r="F664" s="16"/>
      <c r="G664" s="16"/>
      <c r="H664" s="2">
        <f t="shared" si="13"/>
        <v>33060.4</v>
      </c>
      <c r="I664"/>
    </row>
    <row r="665" spans="1:9">
      <c r="A665" s="1" t="s">
        <v>2912</v>
      </c>
      <c r="B665" s="1" t="s">
        <v>151</v>
      </c>
      <c r="C665" s="1" t="s">
        <v>2902</v>
      </c>
      <c r="D665" s="16">
        <v>15321.31</v>
      </c>
      <c r="E665" s="16"/>
      <c r="F665" s="16"/>
      <c r="G665" s="16"/>
      <c r="H665" s="2">
        <f t="shared" si="13"/>
        <v>15321.31</v>
      </c>
      <c r="I665"/>
    </row>
    <row r="666" spans="1:9">
      <c r="A666" s="1" t="s">
        <v>2912</v>
      </c>
      <c r="B666" s="1" t="s">
        <v>152</v>
      </c>
      <c r="C666" s="1" t="s">
        <v>2902</v>
      </c>
      <c r="D666" s="16">
        <v>12838.17</v>
      </c>
      <c r="E666" s="16"/>
      <c r="F666" s="16"/>
      <c r="G666" s="16"/>
      <c r="H666" s="2">
        <f t="shared" si="13"/>
        <v>12838.17</v>
      </c>
      <c r="I666"/>
    </row>
    <row r="667" spans="1:9">
      <c r="A667" s="1" t="s">
        <v>2912</v>
      </c>
      <c r="B667" s="1" t="s">
        <v>153</v>
      </c>
      <c r="C667" s="1" t="s">
        <v>2902</v>
      </c>
      <c r="D667" s="16">
        <v>14386.9</v>
      </c>
      <c r="E667" s="16"/>
      <c r="F667" s="16"/>
      <c r="G667" s="16"/>
      <c r="H667" s="2">
        <f t="shared" si="13"/>
        <v>14386.9</v>
      </c>
      <c r="I667"/>
    </row>
    <row r="668" spans="1:9">
      <c r="A668" s="1" t="s">
        <v>2912</v>
      </c>
      <c r="B668" s="1" t="s">
        <v>154</v>
      </c>
      <c r="C668" s="1" t="s">
        <v>2902</v>
      </c>
      <c r="D668" s="16">
        <v>3800.95</v>
      </c>
      <c r="E668" s="16"/>
      <c r="F668" s="16"/>
      <c r="G668" s="16"/>
      <c r="H668" s="2">
        <f t="shared" si="13"/>
        <v>3800.95</v>
      </c>
      <c r="I668"/>
    </row>
    <row r="669" spans="1:8">
      <c r="A669" s="1" t="s">
        <v>2912</v>
      </c>
      <c r="B669" s="1" t="s">
        <v>155</v>
      </c>
      <c r="C669" s="1" t="s">
        <v>2902</v>
      </c>
      <c r="D669" s="16">
        <v>9558.81</v>
      </c>
      <c r="E669" s="16"/>
      <c r="F669" s="16"/>
      <c r="G669" s="16"/>
      <c r="H669" s="2">
        <f t="shared" si="13"/>
        <v>9558.81</v>
      </c>
    </row>
    <row r="670" spans="1:9">
      <c r="A670" s="1" t="s">
        <v>2912</v>
      </c>
      <c r="B670" s="1" t="s">
        <v>156</v>
      </c>
      <c r="C670" s="1" t="s">
        <v>2902</v>
      </c>
      <c r="D670" s="16">
        <v>9581.58</v>
      </c>
      <c r="E670" s="16"/>
      <c r="F670" s="16"/>
      <c r="G670" s="16"/>
      <c r="H670" s="2">
        <f t="shared" si="13"/>
        <v>9581.58</v>
      </c>
      <c r="I670"/>
    </row>
    <row r="671" spans="1:9">
      <c r="A671" s="1" t="s">
        <v>2912</v>
      </c>
      <c r="B671" s="1" t="s">
        <v>157</v>
      </c>
      <c r="C671" s="1" t="s">
        <v>2902</v>
      </c>
      <c r="D671" s="16">
        <v>14320.36</v>
      </c>
      <c r="E671" s="16"/>
      <c r="F671" s="16"/>
      <c r="G671" s="16"/>
      <c r="H671" s="2">
        <f t="shared" si="13"/>
        <v>14320.36</v>
      </c>
      <c r="I671"/>
    </row>
    <row r="672" spans="1:9">
      <c r="A672" s="1" t="s">
        <v>2912</v>
      </c>
      <c r="B672" s="1" t="s">
        <v>158</v>
      </c>
      <c r="C672" s="1" t="s">
        <v>2902</v>
      </c>
      <c r="D672" s="16">
        <v>15680.76</v>
      </c>
      <c r="E672" s="16"/>
      <c r="F672" s="16"/>
      <c r="G672" s="16"/>
      <c r="H672" s="2">
        <f t="shared" si="13"/>
        <v>15680.76</v>
      </c>
      <c r="I672"/>
    </row>
    <row r="673" spans="1:9">
      <c r="A673" s="1" t="s">
        <v>2912</v>
      </c>
      <c r="B673" s="1" t="s">
        <v>159</v>
      </c>
      <c r="C673" s="1" t="s">
        <v>2902</v>
      </c>
      <c r="D673" s="16">
        <v>24951.67</v>
      </c>
      <c r="E673" s="16"/>
      <c r="F673" s="16"/>
      <c r="G673" s="16"/>
      <c r="H673" s="2">
        <f t="shared" si="13"/>
        <v>24951.67</v>
      </c>
      <c r="I673"/>
    </row>
    <row r="674" spans="1:9">
      <c r="A674" s="1" t="s">
        <v>2912</v>
      </c>
      <c r="B674" s="1" t="s">
        <v>148</v>
      </c>
      <c r="C674" s="1" t="s">
        <v>2931</v>
      </c>
      <c r="H674" s="2">
        <f t="shared" si="13"/>
        <v>0</v>
      </c>
      <c r="I674"/>
    </row>
    <row r="675" spans="1:9">
      <c r="A675" s="1" t="s">
        <v>2912</v>
      </c>
      <c r="B675" s="1" t="s">
        <v>149</v>
      </c>
      <c r="C675" s="1" t="s">
        <v>2931</v>
      </c>
      <c r="H675" s="2">
        <f t="shared" si="13"/>
        <v>0</v>
      </c>
      <c r="I675"/>
    </row>
    <row r="676" spans="1:9">
      <c r="A676" s="1" t="s">
        <v>2912</v>
      </c>
      <c r="B676" s="1" t="s">
        <v>150</v>
      </c>
      <c r="C676" s="1" t="s">
        <v>2931</v>
      </c>
      <c r="H676" s="2">
        <f t="shared" si="13"/>
        <v>0</v>
      </c>
      <c r="I676"/>
    </row>
    <row r="677" spans="1:9">
      <c r="A677" s="1" t="s">
        <v>2912</v>
      </c>
      <c r="B677" s="1" t="s">
        <v>151</v>
      </c>
      <c r="C677" s="1" t="s">
        <v>2931</v>
      </c>
      <c r="H677" s="2">
        <f t="shared" si="13"/>
        <v>0</v>
      </c>
      <c r="I677"/>
    </row>
    <row r="678" spans="1:9">
      <c r="A678" s="1" t="s">
        <v>2912</v>
      </c>
      <c r="B678" s="1" t="s">
        <v>152</v>
      </c>
      <c r="C678" s="1" t="s">
        <v>2931</v>
      </c>
      <c r="H678" s="2">
        <f t="shared" si="13"/>
        <v>0</v>
      </c>
      <c r="I678"/>
    </row>
    <row r="679" spans="1:9">
      <c r="A679" s="1" t="s">
        <v>2912</v>
      </c>
      <c r="B679" s="1" t="s">
        <v>153</v>
      </c>
      <c r="C679" s="1" t="s">
        <v>2931</v>
      </c>
      <c r="H679" s="2">
        <f t="shared" si="13"/>
        <v>0</v>
      </c>
      <c r="I679"/>
    </row>
    <row r="680" spans="1:9">
      <c r="A680" s="1" t="s">
        <v>2912</v>
      </c>
      <c r="B680" s="1" t="s">
        <v>154</v>
      </c>
      <c r="C680" s="1" t="s">
        <v>2931</v>
      </c>
      <c r="H680" s="2">
        <f t="shared" si="13"/>
        <v>0</v>
      </c>
      <c r="I680"/>
    </row>
    <row r="681" spans="1:9">
      <c r="A681" s="1" t="s">
        <v>2912</v>
      </c>
      <c r="B681" s="1" t="s">
        <v>155</v>
      </c>
      <c r="C681" s="1" t="s">
        <v>2931</v>
      </c>
      <c r="F681" s="2">
        <v>108345.35</v>
      </c>
      <c r="H681" s="2">
        <f t="shared" si="13"/>
        <v>108345.35</v>
      </c>
      <c r="I681"/>
    </row>
    <row r="682" spans="1:9">
      <c r="A682" s="1" t="s">
        <v>2912</v>
      </c>
      <c r="B682" s="1" t="s">
        <v>156</v>
      </c>
      <c r="C682" s="1" t="s">
        <v>2931</v>
      </c>
      <c r="H682" s="2">
        <f t="shared" si="13"/>
        <v>0</v>
      </c>
      <c r="I682"/>
    </row>
    <row r="683" spans="1:9">
      <c r="A683" s="1" t="s">
        <v>2912</v>
      </c>
      <c r="B683" s="1" t="s">
        <v>157</v>
      </c>
      <c r="C683" s="1" t="s">
        <v>2931</v>
      </c>
      <c r="D683" s="2">
        <v>1021202.39</v>
      </c>
      <c r="H683" s="2">
        <f t="shared" si="13"/>
        <v>1021202.39</v>
      </c>
      <c r="I683"/>
    </row>
    <row r="684" spans="1:9">
      <c r="A684" s="1" t="s">
        <v>2912</v>
      </c>
      <c r="B684" s="1" t="s">
        <v>158</v>
      </c>
      <c r="C684" s="1" t="s">
        <v>2931</v>
      </c>
      <c r="D684" s="2">
        <v>-1021202.39</v>
      </c>
      <c r="F684" s="2">
        <v>-108345.35</v>
      </c>
      <c r="H684" s="2">
        <f t="shared" si="13"/>
        <v>-1129547.74</v>
      </c>
      <c r="I684"/>
    </row>
    <row r="685" spans="1:9">
      <c r="A685" s="1" t="s">
        <v>2912</v>
      </c>
      <c r="B685" s="1" t="s">
        <v>159</v>
      </c>
      <c r="C685" s="1" t="s">
        <v>2931</v>
      </c>
      <c r="H685" s="2">
        <f t="shared" si="13"/>
        <v>0</v>
      </c>
      <c r="I685"/>
    </row>
    <row r="686" spans="1:9">
      <c r="A686" s="1" t="s">
        <v>2912</v>
      </c>
      <c r="B686" s="1" t="s">
        <v>148</v>
      </c>
      <c r="C686" s="1" t="s">
        <v>2904</v>
      </c>
      <c r="H686" s="2">
        <f t="shared" si="13"/>
        <v>0</v>
      </c>
      <c r="I686"/>
    </row>
    <row r="687" spans="1:9">
      <c r="A687" s="1" t="s">
        <v>2912</v>
      </c>
      <c r="B687" s="1" t="s">
        <v>149</v>
      </c>
      <c r="C687" s="1" t="s">
        <v>2904</v>
      </c>
      <c r="H687" s="2">
        <f t="shared" si="13"/>
        <v>0</v>
      </c>
      <c r="I687"/>
    </row>
    <row r="688" spans="1:9">
      <c r="A688" s="1" t="s">
        <v>2912</v>
      </c>
      <c r="B688" s="1" t="s">
        <v>150</v>
      </c>
      <c r="C688" s="1" t="s">
        <v>2904</v>
      </c>
      <c r="H688" s="2">
        <f t="shared" si="13"/>
        <v>0</v>
      </c>
      <c r="I688"/>
    </row>
    <row r="689" spans="1:9">
      <c r="A689" s="1" t="s">
        <v>2912</v>
      </c>
      <c r="B689" s="1" t="s">
        <v>151</v>
      </c>
      <c r="C689" s="1" t="s">
        <v>2904</v>
      </c>
      <c r="G689" s="2">
        <v>8420.88</v>
      </c>
      <c r="H689" s="2">
        <f t="shared" si="13"/>
        <v>8420.88</v>
      </c>
      <c r="I689"/>
    </row>
    <row r="690" spans="1:9">
      <c r="A690" s="1" t="s">
        <v>2912</v>
      </c>
      <c r="B690" s="1" t="s">
        <v>152</v>
      </c>
      <c r="C690" s="1" t="s">
        <v>2904</v>
      </c>
      <c r="H690" s="2">
        <f t="shared" si="13"/>
        <v>0</v>
      </c>
      <c r="I690"/>
    </row>
    <row r="691" spans="1:9">
      <c r="A691" s="1" t="s">
        <v>2912</v>
      </c>
      <c r="B691" s="1" t="s">
        <v>153</v>
      </c>
      <c r="C691" s="1" t="s">
        <v>2904</v>
      </c>
      <c r="H691" s="2">
        <f t="shared" si="13"/>
        <v>0</v>
      </c>
      <c r="I691"/>
    </row>
    <row r="692" spans="1:9">
      <c r="A692" s="1" t="s">
        <v>2912</v>
      </c>
      <c r="B692" s="1" t="s">
        <v>154</v>
      </c>
      <c r="C692" s="1" t="s">
        <v>2904</v>
      </c>
      <c r="H692" s="2">
        <f t="shared" si="13"/>
        <v>0</v>
      </c>
      <c r="I692"/>
    </row>
    <row r="693" spans="1:8">
      <c r="A693" s="1" t="s">
        <v>2912</v>
      </c>
      <c r="B693" s="1" t="s">
        <v>155</v>
      </c>
      <c r="C693" s="1" t="s">
        <v>2904</v>
      </c>
      <c r="H693" s="2">
        <f t="shared" si="13"/>
        <v>0</v>
      </c>
    </row>
    <row r="694" spans="1:9">
      <c r="A694" s="1" t="s">
        <v>2912</v>
      </c>
      <c r="B694" s="1" t="s">
        <v>156</v>
      </c>
      <c r="C694" s="1" t="s">
        <v>2904</v>
      </c>
      <c r="H694" s="2">
        <f t="shared" si="13"/>
        <v>0</v>
      </c>
      <c r="I694"/>
    </row>
    <row r="695" spans="1:9">
      <c r="A695" s="1" t="s">
        <v>2912</v>
      </c>
      <c r="B695" s="1" t="s">
        <v>157</v>
      </c>
      <c r="C695" s="1" t="s">
        <v>2904</v>
      </c>
      <c r="F695" s="2">
        <v>5377.36</v>
      </c>
      <c r="H695" s="2">
        <f t="shared" si="13"/>
        <v>5377.36</v>
      </c>
      <c r="I695"/>
    </row>
    <row r="696" spans="1:9">
      <c r="A696" s="1" t="s">
        <v>2912</v>
      </c>
      <c r="B696" s="1" t="s">
        <v>158</v>
      </c>
      <c r="C696" s="1" t="s">
        <v>2904</v>
      </c>
      <c r="H696" s="2">
        <f t="shared" si="13"/>
        <v>0</v>
      </c>
      <c r="I696"/>
    </row>
    <row r="697" spans="1:9">
      <c r="A697" s="1" t="s">
        <v>2912</v>
      </c>
      <c r="B697" s="1" t="s">
        <v>159</v>
      </c>
      <c r="C697" s="1" t="s">
        <v>2904</v>
      </c>
      <c r="D697" s="2">
        <v>56945.57</v>
      </c>
      <c r="F697" s="2">
        <v>6830.19</v>
      </c>
      <c r="H697" s="2">
        <f t="shared" si="13"/>
        <v>63775.76</v>
      </c>
      <c r="I697"/>
    </row>
    <row r="698" spans="1:9">
      <c r="A698" s="1" t="s">
        <v>2912</v>
      </c>
      <c r="B698" s="1" t="s">
        <v>148</v>
      </c>
      <c r="C698" s="1" t="s">
        <v>1901</v>
      </c>
      <c r="H698" s="2">
        <f t="shared" si="13"/>
        <v>0</v>
      </c>
      <c r="I698"/>
    </row>
    <row r="699" spans="1:9">
      <c r="A699" s="1" t="s">
        <v>2912</v>
      </c>
      <c r="B699" s="1" t="s">
        <v>149</v>
      </c>
      <c r="C699" s="1" t="s">
        <v>1901</v>
      </c>
      <c r="H699" s="2">
        <f t="shared" si="13"/>
        <v>0</v>
      </c>
      <c r="I699"/>
    </row>
    <row r="700" spans="1:9">
      <c r="A700" s="1" t="s">
        <v>2912</v>
      </c>
      <c r="B700" s="1" t="s">
        <v>150</v>
      </c>
      <c r="C700" s="1" t="s">
        <v>1901</v>
      </c>
      <c r="H700" s="2">
        <f t="shared" si="13"/>
        <v>0</v>
      </c>
      <c r="I700"/>
    </row>
    <row r="701" spans="1:9">
      <c r="A701" s="1" t="s">
        <v>2912</v>
      </c>
      <c r="B701" s="1" t="s">
        <v>151</v>
      </c>
      <c r="C701" s="1" t="s">
        <v>1901</v>
      </c>
      <c r="H701" s="2">
        <f t="shared" si="13"/>
        <v>0</v>
      </c>
      <c r="I701"/>
    </row>
    <row r="702" spans="1:9">
      <c r="A702" s="1" t="s">
        <v>2912</v>
      </c>
      <c r="B702" s="1" t="s">
        <v>152</v>
      </c>
      <c r="C702" s="1" t="s">
        <v>1901</v>
      </c>
      <c r="H702" s="2">
        <f t="shared" si="13"/>
        <v>0</v>
      </c>
      <c r="I702"/>
    </row>
    <row r="703" spans="1:9">
      <c r="A703" s="1" t="s">
        <v>2912</v>
      </c>
      <c r="B703" s="1" t="s">
        <v>153</v>
      </c>
      <c r="C703" s="1" t="s">
        <v>1901</v>
      </c>
      <c r="F703" s="2">
        <v>1102627.13</v>
      </c>
      <c r="H703" s="2">
        <f t="shared" si="13"/>
        <v>1102627.13</v>
      </c>
      <c r="I703"/>
    </row>
    <row r="704" spans="1:9">
      <c r="A704" s="1" t="s">
        <v>2912</v>
      </c>
      <c r="B704" s="1" t="s">
        <v>154</v>
      </c>
      <c r="C704" s="1" t="s">
        <v>1901</v>
      </c>
      <c r="F704" s="2">
        <v>-1102627.13</v>
      </c>
      <c r="H704" s="2">
        <f t="shared" si="13"/>
        <v>-1102627.13</v>
      </c>
      <c r="I704"/>
    </row>
    <row r="705" spans="1:8">
      <c r="A705" s="1" t="s">
        <v>2912</v>
      </c>
      <c r="B705" s="1" t="s">
        <v>155</v>
      </c>
      <c r="C705" s="1" t="s">
        <v>1901</v>
      </c>
      <c r="H705" s="2">
        <f t="shared" si="13"/>
        <v>0</v>
      </c>
    </row>
    <row r="706" spans="1:9">
      <c r="A706" s="1" t="s">
        <v>2912</v>
      </c>
      <c r="B706" s="1" t="s">
        <v>156</v>
      </c>
      <c r="C706" s="1" t="s">
        <v>1901</v>
      </c>
      <c r="H706" s="2">
        <f t="shared" ref="H706:H769" si="14">SUM(D706:G706)</f>
        <v>0</v>
      </c>
      <c r="I706"/>
    </row>
    <row r="707" spans="1:9">
      <c r="A707" s="1" t="s">
        <v>2912</v>
      </c>
      <c r="B707" s="1" t="s">
        <v>157</v>
      </c>
      <c r="C707" s="1" t="s">
        <v>1901</v>
      </c>
      <c r="D707" s="2">
        <v>925390.36</v>
      </c>
      <c r="H707" s="2">
        <f t="shared" si="14"/>
        <v>925390.36</v>
      </c>
      <c r="I707"/>
    </row>
    <row r="708" spans="1:9">
      <c r="A708" s="1" t="s">
        <v>2912</v>
      </c>
      <c r="B708" s="1" t="s">
        <v>158</v>
      </c>
      <c r="C708" s="1" t="s">
        <v>1901</v>
      </c>
      <c r="D708" s="2">
        <v>-925390.36</v>
      </c>
      <c r="H708" s="2">
        <f t="shared" si="14"/>
        <v>-925390.36</v>
      </c>
      <c r="I708"/>
    </row>
    <row r="709" spans="1:9">
      <c r="A709" s="1" t="s">
        <v>2912</v>
      </c>
      <c r="B709" s="1" t="s">
        <v>159</v>
      </c>
      <c r="C709" s="1" t="s">
        <v>1901</v>
      </c>
      <c r="H709" s="2">
        <f t="shared" si="14"/>
        <v>0</v>
      </c>
      <c r="I709"/>
    </row>
    <row r="710" spans="1:9">
      <c r="A710" s="1" t="s">
        <v>2912</v>
      </c>
      <c r="B710" s="1" t="s">
        <v>148</v>
      </c>
      <c r="C710" s="1" t="s">
        <v>2926</v>
      </c>
      <c r="H710" s="2">
        <f t="shared" si="14"/>
        <v>0</v>
      </c>
      <c r="I710"/>
    </row>
    <row r="711" spans="1:9">
      <c r="A711" s="1" t="s">
        <v>2912</v>
      </c>
      <c r="B711" s="1" t="s">
        <v>149</v>
      </c>
      <c r="C711" s="1" t="s">
        <v>2926</v>
      </c>
      <c r="H711" s="2">
        <f t="shared" si="14"/>
        <v>0</v>
      </c>
      <c r="I711"/>
    </row>
    <row r="712" spans="1:9">
      <c r="A712" s="1" t="s">
        <v>2912</v>
      </c>
      <c r="B712" s="1" t="s">
        <v>150</v>
      </c>
      <c r="C712" s="1" t="s">
        <v>2926</v>
      </c>
      <c r="H712" s="2">
        <f t="shared" si="14"/>
        <v>0</v>
      </c>
      <c r="I712"/>
    </row>
    <row r="713" spans="1:9">
      <c r="A713" s="1" t="s">
        <v>2912</v>
      </c>
      <c r="B713" s="1" t="s">
        <v>151</v>
      </c>
      <c r="C713" s="1" t="s">
        <v>2926</v>
      </c>
      <c r="H713" s="2">
        <f t="shared" si="14"/>
        <v>0</v>
      </c>
      <c r="I713"/>
    </row>
    <row r="714" spans="1:9">
      <c r="A714" s="1" t="s">
        <v>2912</v>
      </c>
      <c r="B714" s="1" t="s">
        <v>152</v>
      </c>
      <c r="C714" s="1" t="s">
        <v>2926</v>
      </c>
      <c r="H714" s="2">
        <f t="shared" si="14"/>
        <v>0</v>
      </c>
      <c r="I714"/>
    </row>
    <row r="715" spans="1:9">
      <c r="A715" s="1" t="s">
        <v>2912</v>
      </c>
      <c r="B715" s="1" t="s">
        <v>153</v>
      </c>
      <c r="C715" s="1" t="s">
        <v>2926</v>
      </c>
      <c r="H715" s="2">
        <f t="shared" si="14"/>
        <v>0</v>
      </c>
      <c r="I715"/>
    </row>
    <row r="716" spans="1:9">
      <c r="A716" s="1" t="s">
        <v>2912</v>
      </c>
      <c r="B716" s="1" t="s">
        <v>154</v>
      </c>
      <c r="C716" s="1" t="s">
        <v>2926</v>
      </c>
      <c r="H716" s="2">
        <f t="shared" si="14"/>
        <v>0</v>
      </c>
      <c r="I716"/>
    </row>
    <row r="717" spans="1:8">
      <c r="A717" s="1" t="s">
        <v>2912</v>
      </c>
      <c r="B717" s="1" t="s">
        <v>155</v>
      </c>
      <c r="C717" s="1" t="s">
        <v>2926</v>
      </c>
      <c r="H717" s="2">
        <f t="shared" si="14"/>
        <v>0</v>
      </c>
    </row>
    <row r="718" spans="1:9">
      <c r="A718" s="1" t="s">
        <v>2912</v>
      </c>
      <c r="B718" s="1" t="s">
        <v>156</v>
      </c>
      <c r="C718" s="1" t="s">
        <v>2926</v>
      </c>
      <c r="H718" s="2">
        <f t="shared" si="14"/>
        <v>0</v>
      </c>
      <c r="I718"/>
    </row>
    <row r="719" spans="1:9">
      <c r="A719" s="1" t="s">
        <v>2912</v>
      </c>
      <c r="B719" s="1" t="s">
        <v>157</v>
      </c>
      <c r="C719" s="1" t="s">
        <v>2926</v>
      </c>
      <c r="H719" s="2">
        <f t="shared" si="14"/>
        <v>0</v>
      </c>
      <c r="I719"/>
    </row>
    <row r="720" spans="1:9">
      <c r="A720" s="1" t="s">
        <v>2912</v>
      </c>
      <c r="B720" s="1" t="s">
        <v>158</v>
      </c>
      <c r="C720" s="1" t="s">
        <v>2926</v>
      </c>
      <c r="H720" s="2">
        <f t="shared" si="14"/>
        <v>0</v>
      </c>
      <c r="I720"/>
    </row>
    <row r="721" spans="1:9">
      <c r="A721" s="1" t="s">
        <v>2912</v>
      </c>
      <c r="B721" s="1" t="s">
        <v>159</v>
      </c>
      <c r="C721" s="1" t="s">
        <v>2926</v>
      </c>
      <c r="H721" s="2">
        <f t="shared" si="14"/>
        <v>0</v>
      </c>
      <c r="I721"/>
    </row>
    <row r="722" spans="1:9">
      <c r="A722" s="1" t="s">
        <v>2913</v>
      </c>
      <c r="B722" s="1" t="s">
        <v>148</v>
      </c>
      <c r="C722" s="1" t="s">
        <v>2892</v>
      </c>
      <c r="D722" s="2">
        <v>80</v>
      </c>
      <c r="E722" s="2">
        <v>104203673.65</v>
      </c>
      <c r="F722" s="2">
        <v>176.8</v>
      </c>
      <c r="G722" s="2">
        <v>267</v>
      </c>
      <c r="H722" s="2">
        <f t="shared" si="14"/>
        <v>104204197.45</v>
      </c>
      <c r="I722"/>
    </row>
    <row r="723" spans="1:9">
      <c r="A723" s="1" t="s">
        <v>2913</v>
      </c>
      <c r="B723" s="1" t="s">
        <v>149</v>
      </c>
      <c r="C723" s="1" t="s">
        <v>2892</v>
      </c>
      <c r="D723" s="2">
        <v>303</v>
      </c>
      <c r="E723" s="2">
        <v>30575630.8</v>
      </c>
      <c r="F723" s="2">
        <v>117</v>
      </c>
      <c r="G723" s="2">
        <v>112.5</v>
      </c>
      <c r="H723" s="2">
        <f t="shared" si="14"/>
        <v>30576163.3</v>
      </c>
      <c r="I723"/>
    </row>
    <row r="724" spans="1:9">
      <c r="A724" s="1" t="s">
        <v>2913</v>
      </c>
      <c r="B724" s="1" t="s">
        <v>150</v>
      </c>
      <c r="C724" s="1" t="s">
        <v>2892</v>
      </c>
      <c r="D724" s="2">
        <v>202400</v>
      </c>
      <c r="E724" s="2">
        <v>64525500.95</v>
      </c>
      <c r="F724" s="2">
        <v>454</v>
      </c>
      <c r="G724" s="2">
        <v>163</v>
      </c>
      <c r="H724" s="2">
        <f t="shared" si="14"/>
        <v>64728517.95</v>
      </c>
      <c r="I724"/>
    </row>
    <row r="725" spans="1:9">
      <c r="A725" s="1" t="s">
        <v>2913</v>
      </c>
      <c r="B725" s="1" t="s">
        <v>151</v>
      </c>
      <c r="C725" s="1" t="s">
        <v>2892</v>
      </c>
      <c r="D725" s="2">
        <v>-182893</v>
      </c>
      <c r="E725" s="2">
        <v>98700571.1</v>
      </c>
      <c r="F725" s="2">
        <v>11209.1</v>
      </c>
      <c r="G725" s="2">
        <v>1112.6</v>
      </c>
      <c r="H725" s="2">
        <f t="shared" si="14"/>
        <v>98529999.8</v>
      </c>
      <c r="I725"/>
    </row>
    <row r="726" spans="1:9">
      <c r="A726" s="1" t="s">
        <v>2913</v>
      </c>
      <c r="B726" s="1" t="s">
        <v>152</v>
      </c>
      <c r="C726" s="1" t="s">
        <v>2892</v>
      </c>
      <c r="D726" s="2">
        <v>-19518.01</v>
      </c>
      <c r="E726" s="2">
        <v>94034768</v>
      </c>
      <c r="F726" s="2">
        <v>71874.15</v>
      </c>
      <c r="G726" s="2">
        <v>4556.3</v>
      </c>
      <c r="H726" s="2">
        <f t="shared" si="14"/>
        <v>94091680.44</v>
      </c>
      <c r="I726"/>
    </row>
    <row r="727" spans="1:9">
      <c r="A727" s="1" t="s">
        <v>2913</v>
      </c>
      <c r="B727" s="1" t="s">
        <v>153</v>
      </c>
      <c r="C727" s="1" t="s">
        <v>2892</v>
      </c>
      <c r="D727" s="2">
        <v>93</v>
      </c>
      <c r="E727" s="2">
        <v>70201358.38</v>
      </c>
      <c r="F727" s="2">
        <v>44091.43</v>
      </c>
      <c r="G727" s="2">
        <v>2419481.6</v>
      </c>
      <c r="H727" s="2">
        <f t="shared" si="14"/>
        <v>72665024.41</v>
      </c>
      <c r="I727"/>
    </row>
    <row r="728" spans="1:9">
      <c r="A728" s="1" t="s">
        <v>2913</v>
      </c>
      <c r="B728" s="1" t="s">
        <v>154</v>
      </c>
      <c r="C728" s="1" t="s">
        <v>2892</v>
      </c>
      <c r="D728" s="2">
        <v>1395.77</v>
      </c>
      <c r="E728" s="2">
        <v>35568764.7</v>
      </c>
      <c r="F728" s="2">
        <v>40870</v>
      </c>
      <c r="G728" s="2">
        <v>1133011.6</v>
      </c>
      <c r="H728" s="2">
        <f t="shared" si="14"/>
        <v>36744042.07</v>
      </c>
      <c r="I728"/>
    </row>
    <row r="729" spans="1:8">
      <c r="A729" s="1" t="s">
        <v>2913</v>
      </c>
      <c r="B729" s="1" t="s">
        <v>155</v>
      </c>
      <c r="C729" s="1" t="s">
        <v>2892</v>
      </c>
      <c r="D729" s="2">
        <v>1741.72</v>
      </c>
      <c r="E729" s="2">
        <v>50172791.8</v>
      </c>
      <c r="F729" s="2">
        <v>52213.5</v>
      </c>
      <c r="G729" s="2">
        <v>117351.6</v>
      </c>
      <c r="H729" s="2">
        <f t="shared" si="14"/>
        <v>50344098.62</v>
      </c>
    </row>
    <row r="730" spans="1:9">
      <c r="A730" s="1" t="s">
        <v>2913</v>
      </c>
      <c r="B730" s="1" t="s">
        <v>156</v>
      </c>
      <c r="C730" s="1" t="s">
        <v>2892</v>
      </c>
      <c r="D730" s="2">
        <v>-66697.63</v>
      </c>
      <c r="E730" s="2">
        <v>41003340</v>
      </c>
      <c r="F730" s="2">
        <v>123498</v>
      </c>
      <c r="G730" s="2">
        <v>1373623.1</v>
      </c>
      <c r="H730" s="2">
        <f t="shared" si="14"/>
        <v>42433763.47</v>
      </c>
      <c r="I730"/>
    </row>
    <row r="731" spans="1:9">
      <c r="A731" s="1" t="s">
        <v>2913</v>
      </c>
      <c r="B731" s="1" t="s">
        <v>157</v>
      </c>
      <c r="C731" s="1" t="s">
        <v>2892</v>
      </c>
      <c r="D731" s="2">
        <v>-4654.3</v>
      </c>
      <c r="E731" s="2">
        <v>14101815.06</v>
      </c>
      <c r="F731" s="2">
        <v>148354.89</v>
      </c>
      <c r="G731" s="2">
        <v>79236</v>
      </c>
      <c r="H731" s="2">
        <f t="shared" si="14"/>
        <v>14324751.65</v>
      </c>
      <c r="I731"/>
    </row>
    <row r="732" spans="1:9">
      <c r="A732" s="1" t="s">
        <v>2913</v>
      </c>
      <c r="B732" s="1" t="s">
        <v>158</v>
      </c>
      <c r="C732" s="1" t="s">
        <v>2892</v>
      </c>
      <c r="D732" s="2">
        <v>220.76</v>
      </c>
      <c r="E732" s="2">
        <v>4854420.32</v>
      </c>
      <c r="F732" s="2">
        <v>122035.69</v>
      </c>
      <c r="G732" s="2">
        <v>4608072.7</v>
      </c>
      <c r="H732" s="2">
        <f t="shared" si="14"/>
        <v>9584749.47</v>
      </c>
      <c r="I732"/>
    </row>
    <row r="733" spans="1:9">
      <c r="A733" s="1" t="s">
        <v>2913</v>
      </c>
      <c r="B733" s="1" t="s">
        <v>159</v>
      </c>
      <c r="C733" s="1" t="s">
        <v>2892</v>
      </c>
      <c r="D733" s="2">
        <v>-172</v>
      </c>
      <c r="E733" s="2">
        <v>1978877.65</v>
      </c>
      <c r="F733" s="2">
        <v>494521.15</v>
      </c>
      <c r="G733" s="2">
        <v>22696.15</v>
      </c>
      <c r="H733" s="2">
        <f t="shared" si="14"/>
        <v>2495922.95</v>
      </c>
      <c r="I733"/>
    </row>
    <row r="734" spans="1:9">
      <c r="A734" s="1" t="s">
        <v>2913</v>
      </c>
      <c r="B734" s="1" t="s">
        <v>148</v>
      </c>
      <c r="C734" s="1" t="s">
        <v>2899</v>
      </c>
      <c r="D734" s="2">
        <v>68</v>
      </c>
      <c r="E734" s="2">
        <v>103676305.76</v>
      </c>
      <c r="F734" s="2">
        <v>120</v>
      </c>
      <c r="G734" s="2">
        <v>240</v>
      </c>
      <c r="H734" s="2">
        <f t="shared" si="14"/>
        <v>103676733.76</v>
      </c>
      <c r="I734"/>
    </row>
    <row r="735" spans="1:9">
      <c r="A735" s="1" t="s">
        <v>2913</v>
      </c>
      <c r="B735" s="1" t="s">
        <v>149</v>
      </c>
      <c r="C735" s="1" t="s">
        <v>2899</v>
      </c>
      <c r="D735" s="2">
        <v>244.8424</v>
      </c>
      <c r="E735" s="2">
        <v>30387032.6452</v>
      </c>
      <c r="F735" s="2">
        <v>86.4</v>
      </c>
      <c r="G735" s="2">
        <v>67.5</v>
      </c>
      <c r="H735" s="2">
        <f t="shared" si="14"/>
        <v>30387431.3876</v>
      </c>
      <c r="I735"/>
    </row>
    <row r="736" spans="1:9">
      <c r="A736" s="1" t="s">
        <v>2913</v>
      </c>
      <c r="B736" s="1" t="s">
        <v>150</v>
      </c>
      <c r="C736" s="1" t="s">
        <v>2899</v>
      </c>
      <c r="D736" s="2">
        <v>20.23</v>
      </c>
      <c r="E736" s="2">
        <v>64132462.19</v>
      </c>
      <c r="F736" s="2">
        <v>59.92</v>
      </c>
      <c r="G736" s="2">
        <v>15</v>
      </c>
      <c r="H736" s="2">
        <f t="shared" si="14"/>
        <v>64132557.34</v>
      </c>
      <c r="I736"/>
    </row>
    <row r="737" spans="1:9">
      <c r="A737" s="1" t="s">
        <v>2913</v>
      </c>
      <c r="B737" s="1" t="s">
        <v>151</v>
      </c>
      <c r="C737" s="1" t="s">
        <v>2899</v>
      </c>
      <c r="D737" s="2">
        <v>80.54</v>
      </c>
      <c r="E737" s="2">
        <v>98094330.6</v>
      </c>
      <c r="F737" s="2">
        <v>10999.5</v>
      </c>
      <c r="G737" s="2">
        <v>394.8</v>
      </c>
      <c r="H737" s="2">
        <f t="shared" si="14"/>
        <v>98105805.44</v>
      </c>
      <c r="I737"/>
    </row>
    <row r="738" spans="1:9">
      <c r="A738" s="1" t="s">
        <v>2913</v>
      </c>
      <c r="B738" s="1" t="s">
        <v>152</v>
      </c>
      <c r="C738" s="1" t="s">
        <v>2899</v>
      </c>
      <c r="D738" s="2">
        <v>0</v>
      </c>
      <c r="E738" s="2">
        <v>93508537.62</v>
      </c>
      <c r="F738" s="2">
        <v>70489.4</v>
      </c>
      <c r="G738" s="2">
        <v>2451.33</v>
      </c>
      <c r="H738" s="2">
        <f t="shared" si="14"/>
        <v>93581478.35</v>
      </c>
      <c r="I738"/>
    </row>
    <row r="739" spans="1:9">
      <c r="A739" s="1" t="s">
        <v>2913</v>
      </c>
      <c r="B739" s="1" t="s">
        <v>153</v>
      </c>
      <c r="C739" s="1" t="s">
        <v>2899</v>
      </c>
      <c r="D739" s="2">
        <v>146.5</v>
      </c>
      <c r="E739" s="2">
        <v>69798352.45</v>
      </c>
      <c r="F739" s="2">
        <v>43185.1</v>
      </c>
      <c r="G739" s="2">
        <v>2475095.6</v>
      </c>
      <c r="H739" s="2">
        <f t="shared" si="14"/>
        <v>72316779.65</v>
      </c>
      <c r="I739"/>
    </row>
    <row r="740" spans="1:9">
      <c r="A740" s="1" t="s">
        <v>2913</v>
      </c>
      <c r="B740" s="1" t="s">
        <v>154</v>
      </c>
      <c r="C740" s="1" t="s">
        <v>2899</v>
      </c>
      <c r="D740" s="2">
        <v>1363</v>
      </c>
      <c r="E740" s="2">
        <v>35354007</v>
      </c>
      <c r="F740" s="2">
        <v>40138</v>
      </c>
      <c r="G740" s="2">
        <v>1167565.6</v>
      </c>
      <c r="H740" s="2">
        <f t="shared" si="14"/>
        <v>36563073.6</v>
      </c>
      <c r="I740"/>
    </row>
    <row r="741" spans="1:8">
      <c r="A741" s="1" t="s">
        <v>2913</v>
      </c>
      <c r="B741" s="1" t="s">
        <v>155</v>
      </c>
      <c r="C741" s="1" t="s">
        <v>2899</v>
      </c>
      <c r="D741" s="2">
        <v>1685.9</v>
      </c>
      <c r="E741" s="2">
        <v>49883755.5</v>
      </c>
      <c r="F741" s="2">
        <v>51472.5</v>
      </c>
      <c r="G741" s="2">
        <v>119804</v>
      </c>
      <c r="H741" s="2">
        <f t="shared" si="14"/>
        <v>50056717.9</v>
      </c>
    </row>
    <row r="742" spans="1:9">
      <c r="A742" s="1" t="s">
        <v>2913</v>
      </c>
      <c r="B742" s="1" t="s">
        <v>156</v>
      </c>
      <c r="C742" s="1" t="s">
        <v>2899</v>
      </c>
      <c r="D742" s="2">
        <v>1028</v>
      </c>
      <c r="E742" s="2">
        <v>40765589.2058</v>
      </c>
      <c r="F742" s="2">
        <v>122199.0446</v>
      </c>
      <c r="G742" s="2">
        <v>1407000.7848</v>
      </c>
      <c r="H742" s="2">
        <f t="shared" si="14"/>
        <v>42295817.0352</v>
      </c>
      <c r="I742"/>
    </row>
    <row r="743" spans="1:9">
      <c r="A743" s="1" t="s">
        <v>2913</v>
      </c>
      <c r="B743" s="1" t="s">
        <v>157</v>
      </c>
      <c r="C743" s="1" t="s">
        <v>2899</v>
      </c>
      <c r="D743" s="2">
        <v>136.9</v>
      </c>
      <c r="E743" s="2">
        <v>14011388.86</v>
      </c>
      <c r="F743" s="2">
        <v>146744.26</v>
      </c>
      <c r="G743" s="2">
        <v>79809.28</v>
      </c>
      <c r="H743" s="2">
        <f t="shared" si="14"/>
        <v>14238079.3</v>
      </c>
      <c r="I743"/>
    </row>
    <row r="744" spans="1:9">
      <c r="A744" s="1" t="s">
        <v>2913</v>
      </c>
      <c r="B744" s="1" t="s">
        <v>158</v>
      </c>
      <c r="C744" s="1" t="s">
        <v>2899</v>
      </c>
      <c r="D744" s="2">
        <v>325.5</v>
      </c>
      <c r="E744" s="2">
        <v>4829048.38</v>
      </c>
      <c r="F744" s="2">
        <v>120987.3</v>
      </c>
      <c r="G744" s="2">
        <v>4717366.32</v>
      </c>
      <c r="H744" s="2">
        <f t="shared" si="14"/>
        <v>9667727.5</v>
      </c>
      <c r="I744"/>
    </row>
    <row r="745" spans="1:9">
      <c r="A745" s="1" t="s">
        <v>2913</v>
      </c>
      <c r="B745" s="1" t="s">
        <v>159</v>
      </c>
      <c r="C745" s="1" t="s">
        <v>2899</v>
      </c>
      <c r="D745" s="2">
        <v>78.2</v>
      </c>
      <c r="E745" s="2">
        <v>1966924.44</v>
      </c>
      <c r="F745" s="2">
        <v>490545.3</v>
      </c>
      <c r="G745" s="2">
        <v>21846.0166</v>
      </c>
      <c r="H745" s="2">
        <f t="shared" si="14"/>
        <v>2479393.9566</v>
      </c>
      <c r="I745"/>
    </row>
    <row r="746" spans="1:9">
      <c r="A746" s="1" t="s">
        <v>2913</v>
      </c>
      <c r="B746" s="1" t="s">
        <v>148</v>
      </c>
      <c r="C746" s="1" t="s">
        <v>2896</v>
      </c>
      <c r="H746" s="2">
        <f t="shared" si="14"/>
        <v>0</v>
      </c>
      <c r="I746"/>
    </row>
    <row r="747" spans="1:9">
      <c r="A747" s="1" t="s">
        <v>2913</v>
      </c>
      <c r="B747" s="1" t="s">
        <v>149</v>
      </c>
      <c r="C747" s="1" t="s">
        <v>2896</v>
      </c>
      <c r="H747" s="2">
        <f t="shared" si="14"/>
        <v>0</v>
      </c>
      <c r="I747"/>
    </row>
    <row r="748" spans="1:9">
      <c r="A748" s="1" t="s">
        <v>2913</v>
      </c>
      <c r="B748" s="1" t="s">
        <v>150</v>
      </c>
      <c r="C748" s="1" t="s">
        <v>2896</v>
      </c>
      <c r="H748" s="2">
        <f t="shared" si="14"/>
        <v>0</v>
      </c>
      <c r="I748"/>
    </row>
    <row r="749" spans="1:9">
      <c r="A749" s="1" t="s">
        <v>2913</v>
      </c>
      <c r="B749" s="1" t="s">
        <v>151</v>
      </c>
      <c r="C749" s="1" t="s">
        <v>2896</v>
      </c>
      <c r="D749" s="2">
        <v>931967.93</v>
      </c>
      <c r="H749" s="2">
        <f t="shared" si="14"/>
        <v>931967.93</v>
      </c>
      <c r="I749"/>
    </row>
    <row r="750" spans="1:9">
      <c r="A750" s="1" t="s">
        <v>2913</v>
      </c>
      <c r="B750" s="1" t="s">
        <v>152</v>
      </c>
      <c r="C750" s="1" t="s">
        <v>2896</v>
      </c>
      <c r="G750" s="2">
        <v>1204387.73</v>
      </c>
      <c r="H750" s="2">
        <f t="shared" si="14"/>
        <v>1204387.73</v>
      </c>
      <c r="I750"/>
    </row>
    <row r="751" spans="1:9">
      <c r="A751" s="1" t="s">
        <v>2913</v>
      </c>
      <c r="B751" s="1" t="s">
        <v>153</v>
      </c>
      <c r="C751" s="1" t="s">
        <v>2896</v>
      </c>
      <c r="G751" s="2">
        <v>4005488.72</v>
      </c>
      <c r="H751" s="2">
        <f t="shared" si="14"/>
        <v>4005488.72</v>
      </c>
      <c r="I751"/>
    </row>
    <row r="752" spans="1:9">
      <c r="A752" s="1" t="s">
        <v>2913</v>
      </c>
      <c r="B752" s="1" t="s">
        <v>154</v>
      </c>
      <c r="C752" s="1" t="s">
        <v>2896</v>
      </c>
      <c r="G752" s="2">
        <v>2653427.35</v>
      </c>
      <c r="H752" s="2">
        <f t="shared" si="14"/>
        <v>2653427.35</v>
      </c>
      <c r="I752"/>
    </row>
    <row r="753" spans="1:8">
      <c r="A753" s="1" t="s">
        <v>2913</v>
      </c>
      <c r="B753" s="1" t="s">
        <v>155</v>
      </c>
      <c r="C753" s="1" t="s">
        <v>2896</v>
      </c>
      <c r="G753" s="2">
        <v>1901852.84</v>
      </c>
      <c r="H753" s="2">
        <f t="shared" si="14"/>
        <v>1901852.84</v>
      </c>
    </row>
    <row r="754" spans="1:9">
      <c r="A754" s="1" t="s">
        <v>2913</v>
      </c>
      <c r="B754" s="1" t="s">
        <v>156</v>
      </c>
      <c r="C754" s="1" t="s">
        <v>2896</v>
      </c>
      <c r="G754" s="2">
        <v>1813246.22</v>
      </c>
      <c r="H754" s="2">
        <f t="shared" si="14"/>
        <v>1813246.22</v>
      </c>
      <c r="I754"/>
    </row>
    <row r="755" spans="1:9">
      <c r="A755" s="1" t="s">
        <v>2913</v>
      </c>
      <c r="B755" s="1" t="s">
        <v>157</v>
      </c>
      <c r="C755" s="1" t="s">
        <v>2896</v>
      </c>
      <c r="F755" s="2">
        <v>67.26</v>
      </c>
      <c r="G755" s="2">
        <v>7749.06</v>
      </c>
      <c r="H755" s="2">
        <f t="shared" si="14"/>
        <v>7816.32</v>
      </c>
      <c r="I755"/>
    </row>
    <row r="756" spans="1:9">
      <c r="A756" s="1" t="s">
        <v>2913</v>
      </c>
      <c r="B756" s="1" t="s">
        <v>158</v>
      </c>
      <c r="C756" s="1" t="s">
        <v>2896</v>
      </c>
      <c r="D756" s="2">
        <v>0</v>
      </c>
      <c r="F756" s="2">
        <v>22.42</v>
      </c>
      <c r="G756" s="2">
        <v>4383442.48</v>
      </c>
      <c r="H756" s="2">
        <f t="shared" si="14"/>
        <v>4383464.9</v>
      </c>
      <c r="I756"/>
    </row>
    <row r="757" spans="1:9">
      <c r="A757" s="1" t="s">
        <v>2913</v>
      </c>
      <c r="B757" s="1" t="s">
        <v>159</v>
      </c>
      <c r="C757" s="1" t="s">
        <v>2896</v>
      </c>
      <c r="F757" s="2">
        <v>33.63</v>
      </c>
      <c r="G757" s="2">
        <v>1126.87</v>
      </c>
      <c r="H757" s="2">
        <f t="shared" si="14"/>
        <v>1160.5</v>
      </c>
      <c r="I757"/>
    </row>
    <row r="758" spans="1:9">
      <c r="A758" s="1" t="s">
        <v>2913</v>
      </c>
      <c r="B758" s="1" t="s">
        <v>148</v>
      </c>
      <c r="C758" s="1" t="s">
        <v>2893</v>
      </c>
      <c r="H758" s="2">
        <f t="shared" si="14"/>
        <v>0</v>
      </c>
      <c r="I758"/>
    </row>
    <row r="759" spans="1:9">
      <c r="A759" s="1" t="s">
        <v>2913</v>
      </c>
      <c r="B759" s="1" t="s">
        <v>149</v>
      </c>
      <c r="C759" s="1" t="s">
        <v>2893</v>
      </c>
      <c r="H759" s="2">
        <f t="shared" si="14"/>
        <v>0</v>
      </c>
      <c r="I759"/>
    </row>
    <row r="760" spans="1:9">
      <c r="A760" s="1" t="s">
        <v>2913</v>
      </c>
      <c r="B760" s="1" t="s">
        <v>150</v>
      </c>
      <c r="C760" s="1" t="s">
        <v>2893</v>
      </c>
      <c r="H760" s="2">
        <f t="shared" si="14"/>
        <v>0</v>
      </c>
      <c r="I760"/>
    </row>
    <row r="761" spans="1:9">
      <c r="A761" s="1" t="s">
        <v>2913</v>
      </c>
      <c r="B761" s="1" t="s">
        <v>151</v>
      </c>
      <c r="C761" s="1" t="s">
        <v>2893</v>
      </c>
      <c r="D761" s="2">
        <v>869447.17</v>
      </c>
      <c r="H761" s="2">
        <f t="shared" si="14"/>
        <v>869447.17</v>
      </c>
      <c r="I761"/>
    </row>
    <row r="762" spans="1:9">
      <c r="A762" s="1" t="s">
        <v>2913</v>
      </c>
      <c r="B762" s="1" t="s">
        <v>152</v>
      </c>
      <c r="C762" s="1" t="s">
        <v>2893</v>
      </c>
      <c r="G762" s="2">
        <v>1147120.43</v>
      </c>
      <c r="H762" s="2">
        <f t="shared" si="14"/>
        <v>1147120.43</v>
      </c>
      <c r="I762"/>
    </row>
    <row r="763" spans="1:9">
      <c r="A763" s="1" t="s">
        <v>2913</v>
      </c>
      <c r="B763" s="1" t="s">
        <v>153</v>
      </c>
      <c r="C763" s="1" t="s">
        <v>2893</v>
      </c>
      <c r="G763" s="2">
        <v>3805214.25</v>
      </c>
      <c r="H763" s="2">
        <f t="shared" si="14"/>
        <v>3805214.25</v>
      </c>
      <c r="I763"/>
    </row>
    <row r="764" spans="1:9">
      <c r="A764" s="1" t="s">
        <v>2913</v>
      </c>
      <c r="B764" s="1" t="s">
        <v>154</v>
      </c>
      <c r="C764" s="1" t="s">
        <v>2893</v>
      </c>
      <c r="D764" s="2">
        <v>-15970.43</v>
      </c>
      <c r="G764" s="2">
        <v>2503055.83</v>
      </c>
      <c r="H764" s="2">
        <f t="shared" si="14"/>
        <v>2487085.4</v>
      </c>
      <c r="I764"/>
    </row>
    <row r="765" spans="1:8">
      <c r="A765" s="1" t="s">
        <v>2913</v>
      </c>
      <c r="B765" s="1" t="s">
        <v>155</v>
      </c>
      <c r="C765" s="1" t="s">
        <v>2893</v>
      </c>
      <c r="G765" s="2">
        <v>1806760.19</v>
      </c>
      <c r="H765" s="2">
        <f t="shared" si="14"/>
        <v>1806760.19</v>
      </c>
    </row>
    <row r="766" spans="1:9">
      <c r="A766" s="1" t="s">
        <v>2913</v>
      </c>
      <c r="B766" s="1" t="s">
        <v>156</v>
      </c>
      <c r="C766" s="1" t="s">
        <v>2893</v>
      </c>
      <c r="G766" s="2">
        <v>1726167.24</v>
      </c>
      <c r="H766" s="2">
        <f t="shared" si="14"/>
        <v>1726167.24</v>
      </c>
      <c r="I766"/>
    </row>
    <row r="767" spans="1:9">
      <c r="A767" s="1" t="s">
        <v>2913</v>
      </c>
      <c r="B767" s="1" t="s">
        <v>157</v>
      </c>
      <c r="C767" s="1" t="s">
        <v>2893</v>
      </c>
      <c r="F767" s="2">
        <v>59.1</v>
      </c>
      <c r="G767" s="2">
        <v>-95740.43</v>
      </c>
      <c r="H767" s="2">
        <f t="shared" si="14"/>
        <v>-95681.33</v>
      </c>
      <c r="I767"/>
    </row>
    <row r="768" spans="1:9">
      <c r="A768" s="1" t="s">
        <v>2913</v>
      </c>
      <c r="B768" s="1" t="s">
        <v>158</v>
      </c>
      <c r="C768" s="1" t="s">
        <v>2893</v>
      </c>
      <c r="D768" s="2">
        <v>0</v>
      </c>
      <c r="F768" s="2">
        <v>19.7</v>
      </c>
      <c r="G768" s="2">
        <v>4137931.82</v>
      </c>
      <c r="H768" s="2">
        <f t="shared" si="14"/>
        <v>4137951.52</v>
      </c>
      <c r="I768"/>
    </row>
    <row r="769" spans="1:9">
      <c r="A769" s="1" t="s">
        <v>2913</v>
      </c>
      <c r="B769" s="1" t="s">
        <v>159</v>
      </c>
      <c r="C769" s="1" t="s">
        <v>2893</v>
      </c>
      <c r="F769" s="2">
        <v>29.55</v>
      </c>
      <c r="G769" s="2">
        <v>1070.51</v>
      </c>
      <c r="H769" s="2">
        <f t="shared" si="14"/>
        <v>1100.06</v>
      </c>
      <c r="I769"/>
    </row>
    <row r="770" spans="1:9">
      <c r="A770" s="1" t="s">
        <v>2914</v>
      </c>
      <c r="B770" s="1" t="s">
        <v>148</v>
      </c>
      <c r="C770" s="1" t="s">
        <v>2892</v>
      </c>
      <c r="D770" s="2">
        <v>13173142.48</v>
      </c>
      <c r="F770" s="2">
        <v>8676991.75000001</v>
      </c>
      <c r="H770" s="2">
        <f t="shared" ref="H770:H833" si="15">SUM(D770:G770)</f>
        <v>21850134.23</v>
      </c>
      <c r="I770"/>
    </row>
    <row r="771" spans="1:9">
      <c r="A771" s="1" t="s">
        <v>2914</v>
      </c>
      <c r="B771" s="1" t="s">
        <v>149</v>
      </c>
      <c r="C771" s="1" t="s">
        <v>2892</v>
      </c>
      <c r="D771" s="2">
        <v>22014244.84</v>
      </c>
      <c r="F771" s="2">
        <v>16243345.22</v>
      </c>
      <c r="H771" s="2">
        <f t="shared" si="15"/>
        <v>38257590.06</v>
      </c>
      <c r="I771"/>
    </row>
    <row r="772" spans="1:9">
      <c r="A772" s="1" t="s">
        <v>2914</v>
      </c>
      <c r="B772" s="1" t="s">
        <v>150</v>
      </c>
      <c r="C772" s="1" t="s">
        <v>2892</v>
      </c>
      <c r="D772" s="2">
        <v>19621815.8</v>
      </c>
      <c r="F772" s="2">
        <v>14896502.5</v>
      </c>
      <c r="H772" s="2">
        <f t="shared" si="15"/>
        <v>34518318.3</v>
      </c>
      <c r="I772"/>
    </row>
    <row r="773" spans="1:9">
      <c r="A773" s="1" t="s">
        <v>2914</v>
      </c>
      <c r="B773" s="1" t="s">
        <v>151</v>
      </c>
      <c r="C773" s="1" t="s">
        <v>2892</v>
      </c>
      <c r="D773" s="2">
        <v>23163331.5</v>
      </c>
      <c r="F773" s="2">
        <v>12783640.99</v>
      </c>
      <c r="H773" s="2">
        <f t="shared" si="15"/>
        <v>35946972.49</v>
      </c>
      <c r="I773"/>
    </row>
    <row r="774" spans="1:9">
      <c r="A774" s="1" t="s">
        <v>2914</v>
      </c>
      <c r="B774" s="1" t="s">
        <v>152</v>
      </c>
      <c r="C774" s="1" t="s">
        <v>2892</v>
      </c>
      <c r="D774" s="2">
        <v>43092426.55</v>
      </c>
      <c r="F774" s="2">
        <v>27048770</v>
      </c>
      <c r="H774" s="2">
        <f t="shared" si="15"/>
        <v>70141196.55</v>
      </c>
      <c r="I774"/>
    </row>
    <row r="775" spans="1:9">
      <c r="A775" s="1" t="s">
        <v>2914</v>
      </c>
      <c r="B775" s="1" t="s">
        <v>153</v>
      </c>
      <c r="C775" s="1" t="s">
        <v>2892</v>
      </c>
      <c r="D775" s="2">
        <v>24385491.7</v>
      </c>
      <c r="F775" s="2">
        <v>55616804.9</v>
      </c>
      <c r="H775" s="2">
        <f t="shared" si="15"/>
        <v>80002296.6</v>
      </c>
      <c r="I775"/>
    </row>
    <row r="776" spans="1:9">
      <c r="A776" s="1" t="s">
        <v>2914</v>
      </c>
      <c r="B776" s="1" t="s">
        <v>154</v>
      </c>
      <c r="C776" s="1" t="s">
        <v>2892</v>
      </c>
      <c r="D776" s="2">
        <v>44568269.6</v>
      </c>
      <c r="F776" s="2">
        <v>63009207.7</v>
      </c>
      <c r="H776" s="2">
        <f t="shared" si="15"/>
        <v>107577477.3</v>
      </c>
      <c r="I776"/>
    </row>
    <row r="777" spans="1:8">
      <c r="A777" s="1" t="s">
        <v>2914</v>
      </c>
      <c r="B777" s="1" t="s">
        <v>155</v>
      </c>
      <c r="C777" s="1" t="s">
        <v>2892</v>
      </c>
      <c r="D777" s="2">
        <v>57491023.53</v>
      </c>
      <c r="F777" s="2">
        <v>59246975.6</v>
      </c>
      <c r="H777" s="2">
        <f t="shared" si="15"/>
        <v>116737999.13</v>
      </c>
    </row>
    <row r="778" spans="1:9">
      <c r="A778" s="1" t="s">
        <v>2914</v>
      </c>
      <c r="B778" s="1" t="s">
        <v>156</v>
      </c>
      <c r="C778" s="1" t="s">
        <v>2892</v>
      </c>
      <c r="D778" s="2">
        <v>20155269.15</v>
      </c>
      <c r="F778" s="2">
        <v>41221175.65</v>
      </c>
      <c r="H778" s="2">
        <f t="shared" si="15"/>
        <v>61376444.8</v>
      </c>
      <c r="I778"/>
    </row>
    <row r="779" spans="1:9">
      <c r="A779" s="1" t="s">
        <v>2914</v>
      </c>
      <c r="B779" s="1" t="s">
        <v>157</v>
      </c>
      <c r="C779" s="1" t="s">
        <v>2892</v>
      </c>
      <c r="D779" s="2">
        <v>22969672.96</v>
      </c>
      <c r="F779" s="2">
        <v>24886241.59</v>
      </c>
      <c r="H779" s="2">
        <f t="shared" si="15"/>
        <v>47855914.55</v>
      </c>
      <c r="I779"/>
    </row>
    <row r="780" spans="1:9">
      <c r="A780" s="1" t="s">
        <v>2914</v>
      </c>
      <c r="B780" s="1" t="s">
        <v>158</v>
      </c>
      <c r="C780" s="1" t="s">
        <v>2892</v>
      </c>
      <c r="D780" s="2">
        <v>9742420.3</v>
      </c>
      <c r="F780" s="2">
        <v>33668880.06</v>
      </c>
      <c r="G780" s="2">
        <v>9612.44</v>
      </c>
      <c r="H780" s="2">
        <f t="shared" si="15"/>
        <v>43420912.8</v>
      </c>
      <c r="I780"/>
    </row>
    <row r="781" spans="1:9">
      <c r="A781" s="1" t="s">
        <v>2914</v>
      </c>
      <c r="B781" s="1" t="s">
        <v>159</v>
      </c>
      <c r="C781" s="1" t="s">
        <v>2892</v>
      </c>
      <c r="D781" s="2">
        <v>63561194.41</v>
      </c>
      <c r="F781" s="2">
        <v>31228948.4</v>
      </c>
      <c r="H781" s="2">
        <f t="shared" si="15"/>
        <v>94790142.81</v>
      </c>
      <c r="I781"/>
    </row>
    <row r="782" spans="1:9">
      <c r="A782" s="1" t="s">
        <v>2914</v>
      </c>
      <c r="B782" s="1" t="s">
        <v>148</v>
      </c>
      <c r="C782" s="1" t="s">
        <v>2899</v>
      </c>
      <c r="D782" s="2">
        <v>13481492.3</v>
      </c>
      <c r="F782" s="2">
        <v>7857632.56</v>
      </c>
      <c r="H782" s="2">
        <f t="shared" si="15"/>
        <v>21339124.86</v>
      </c>
      <c r="I782"/>
    </row>
    <row r="783" spans="1:9">
      <c r="A783" s="1" t="s">
        <v>2914</v>
      </c>
      <c r="B783" s="1" t="s">
        <v>149</v>
      </c>
      <c r="C783" s="1" t="s">
        <v>2899</v>
      </c>
      <c r="D783" s="2">
        <v>22785875.33</v>
      </c>
      <c r="F783" s="2">
        <v>17962246.8458</v>
      </c>
      <c r="H783" s="2">
        <f t="shared" si="15"/>
        <v>40748122.1758</v>
      </c>
      <c r="I783"/>
    </row>
    <row r="784" spans="1:9">
      <c r="A784" s="1" t="s">
        <v>2914</v>
      </c>
      <c r="B784" s="1" t="s">
        <v>150</v>
      </c>
      <c r="C784" s="1" t="s">
        <v>2899</v>
      </c>
      <c r="D784" s="2">
        <v>20338880.32</v>
      </c>
      <c r="F784" s="2">
        <v>15789035.7</v>
      </c>
      <c r="H784" s="2">
        <f t="shared" si="15"/>
        <v>36127916.02</v>
      </c>
      <c r="I784"/>
    </row>
    <row r="785" spans="1:9">
      <c r="A785" s="1" t="s">
        <v>2914</v>
      </c>
      <c r="B785" s="1" t="s">
        <v>151</v>
      </c>
      <c r="C785" s="1" t="s">
        <v>2899</v>
      </c>
      <c r="D785" s="2">
        <v>23803210.46</v>
      </c>
      <c r="F785" s="2">
        <v>13621406</v>
      </c>
      <c r="H785" s="2">
        <f t="shared" si="15"/>
        <v>37424616.46</v>
      </c>
      <c r="I785"/>
    </row>
    <row r="786" spans="1:9">
      <c r="A786" s="1" t="s">
        <v>2914</v>
      </c>
      <c r="B786" s="1" t="s">
        <v>152</v>
      </c>
      <c r="C786" s="1" t="s">
        <v>2899</v>
      </c>
      <c r="D786" s="2">
        <v>44500544.4</v>
      </c>
      <c r="F786" s="2">
        <v>29227741</v>
      </c>
      <c r="H786" s="2">
        <f t="shared" si="15"/>
        <v>73728285.4</v>
      </c>
      <c r="I786"/>
    </row>
    <row r="787" spans="1:9">
      <c r="A787" s="1" t="s">
        <v>2914</v>
      </c>
      <c r="B787" s="1" t="s">
        <v>153</v>
      </c>
      <c r="C787" s="1" t="s">
        <v>2899</v>
      </c>
      <c r="D787" s="2">
        <v>25042536.44</v>
      </c>
      <c r="F787" s="2">
        <v>58142011</v>
      </c>
      <c r="H787" s="2">
        <f t="shared" si="15"/>
        <v>83184547.44</v>
      </c>
      <c r="I787"/>
    </row>
    <row r="788" spans="1:9">
      <c r="A788" s="1" t="s">
        <v>2914</v>
      </c>
      <c r="B788" s="1" t="s">
        <v>154</v>
      </c>
      <c r="C788" s="1" t="s">
        <v>2899</v>
      </c>
      <c r="D788" s="2">
        <v>45428175.6</v>
      </c>
      <c r="F788" s="2">
        <v>63955232.14</v>
      </c>
      <c r="H788" s="2">
        <f t="shared" si="15"/>
        <v>109383407.74</v>
      </c>
      <c r="I788"/>
    </row>
    <row r="789" spans="1:8">
      <c r="A789" s="1" t="s">
        <v>2914</v>
      </c>
      <c r="B789" s="1" t="s">
        <v>155</v>
      </c>
      <c r="C789" s="1" t="s">
        <v>2899</v>
      </c>
      <c r="D789" s="2">
        <v>58058360.3</v>
      </c>
      <c r="F789" s="2">
        <v>59952048</v>
      </c>
      <c r="H789" s="2">
        <f t="shared" si="15"/>
        <v>118010408.3</v>
      </c>
    </row>
    <row r="790" spans="1:9">
      <c r="A790" s="1" t="s">
        <v>2914</v>
      </c>
      <c r="B790" s="1" t="s">
        <v>156</v>
      </c>
      <c r="C790" s="1" t="s">
        <v>2899</v>
      </c>
      <c r="D790" s="2">
        <v>20073063.3</v>
      </c>
      <c r="F790" s="2">
        <v>41220734.03</v>
      </c>
      <c r="H790" s="2">
        <f t="shared" si="15"/>
        <v>61293797.33</v>
      </c>
      <c r="I790"/>
    </row>
    <row r="791" spans="1:9">
      <c r="A791" s="1" t="s">
        <v>2914</v>
      </c>
      <c r="B791" s="1" t="s">
        <v>157</v>
      </c>
      <c r="C791" s="1" t="s">
        <v>2899</v>
      </c>
      <c r="D791" s="2">
        <v>22929153.7</v>
      </c>
      <c r="F791" s="2">
        <v>24930963.11</v>
      </c>
      <c r="H791" s="2">
        <f t="shared" si="15"/>
        <v>47860116.81</v>
      </c>
      <c r="I791"/>
    </row>
    <row r="792" spans="1:9">
      <c r="A792" s="1" t="s">
        <v>2914</v>
      </c>
      <c r="B792" s="1" t="s">
        <v>158</v>
      </c>
      <c r="C792" s="1" t="s">
        <v>2899</v>
      </c>
      <c r="D792" s="2">
        <v>9737685.8</v>
      </c>
      <c r="F792" s="2">
        <v>32554835.1</v>
      </c>
      <c r="G792" s="2">
        <v>2334.45</v>
      </c>
      <c r="H792" s="2">
        <f t="shared" si="15"/>
        <v>42294855.35</v>
      </c>
      <c r="I792"/>
    </row>
    <row r="793" spans="1:9">
      <c r="A793" s="1" t="s">
        <v>2914</v>
      </c>
      <c r="B793" s="1" t="s">
        <v>159</v>
      </c>
      <c r="C793" s="1" t="s">
        <v>2899</v>
      </c>
      <c r="D793" s="2">
        <v>65735919.72</v>
      </c>
      <c r="F793" s="2">
        <v>31237368.55</v>
      </c>
      <c r="H793" s="2">
        <f t="shared" si="15"/>
        <v>96973288.27</v>
      </c>
      <c r="I793"/>
    </row>
    <row r="794" spans="1:9">
      <c r="A794" s="1" t="s">
        <v>2914</v>
      </c>
      <c r="B794" s="1" t="s">
        <v>148</v>
      </c>
      <c r="C794" s="1" t="s">
        <v>2896</v>
      </c>
      <c r="H794" s="2">
        <f t="shared" si="15"/>
        <v>0</v>
      </c>
      <c r="I794"/>
    </row>
    <row r="795" spans="1:9">
      <c r="A795" s="1" t="s">
        <v>2914</v>
      </c>
      <c r="B795" s="1" t="s">
        <v>149</v>
      </c>
      <c r="C795" s="1" t="s">
        <v>2896</v>
      </c>
      <c r="H795" s="2">
        <f t="shared" si="15"/>
        <v>0</v>
      </c>
      <c r="I795"/>
    </row>
    <row r="796" spans="1:9">
      <c r="A796" s="1" t="s">
        <v>2914</v>
      </c>
      <c r="B796" s="1" t="s">
        <v>150</v>
      </c>
      <c r="C796" s="1" t="s">
        <v>2896</v>
      </c>
      <c r="H796" s="2">
        <f t="shared" si="15"/>
        <v>0</v>
      </c>
      <c r="I796"/>
    </row>
    <row r="797" spans="1:9">
      <c r="A797" s="1" t="s">
        <v>2914</v>
      </c>
      <c r="B797" s="1" t="s">
        <v>151</v>
      </c>
      <c r="C797" s="1" t="s">
        <v>2896</v>
      </c>
      <c r="H797" s="2">
        <f t="shared" si="15"/>
        <v>0</v>
      </c>
      <c r="I797"/>
    </row>
    <row r="798" spans="1:9">
      <c r="A798" s="1" t="s">
        <v>2914</v>
      </c>
      <c r="B798" s="1" t="s">
        <v>152</v>
      </c>
      <c r="C798" s="1" t="s">
        <v>2896</v>
      </c>
      <c r="H798" s="2">
        <f t="shared" si="15"/>
        <v>0</v>
      </c>
      <c r="I798"/>
    </row>
    <row r="799" spans="1:9">
      <c r="A799" s="1" t="s">
        <v>2914</v>
      </c>
      <c r="B799" s="1" t="s">
        <v>153</v>
      </c>
      <c r="C799" s="1" t="s">
        <v>2896</v>
      </c>
      <c r="H799" s="2">
        <f t="shared" si="15"/>
        <v>0</v>
      </c>
      <c r="I799"/>
    </row>
    <row r="800" spans="1:9">
      <c r="A800" s="1" t="s">
        <v>2914</v>
      </c>
      <c r="B800" s="1" t="s">
        <v>154</v>
      </c>
      <c r="C800" s="1" t="s">
        <v>2896</v>
      </c>
      <c r="H800" s="2">
        <f t="shared" si="15"/>
        <v>0</v>
      </c>
      <c r="I800"/>
    </row>
    <row r="801" spans="1:8">
      <c r="A801" s="1" t="s">
        <v>2914</v>
      </c>
      <c r="B801" s="1" t="s">
        <v>155</v>
      </c>
      <c r="C801" s="1" t="s">
        <v>2896</v>
      </c>
      <c r="H801" s="2">
        <f t="shared" si="15"/>
        <v>0</v>
      </c>
    </row>
    <row r="802" spans="1:9">
      <c r="A802" s="1" t="s">
        <v>2914</v>
      </c>
      <c r="B802" s="1" t="s">
        <v>156</v>
      </c>
      <c r="C802" s="1" t="s">
        <v>2896</v>
      </c>
      <c r="H802" s="2">
        <f t="shared" si="15"/>
        <v>0</v>
      </c>
      <c r="I802"/>
    </row>
    <row r="803" spans="1:9">
      <c r="A803" s="1" t="s">
        <v>2914</v>
      </c>
      <c r="B803" s="1" t="s">
        <v>157</v>
      </c>
      <c r="C803" s="1" t="s">
        <v>2896</v>
      </c>
      <c r="H803" s="2">
        <f t="shared" si="15"/>
        <v>0</v>
      </c>
      <c r="I803"/>
    </row>
    <row r="804" spans="1:9">
      <c r="A804" s="1" t="s">
        <v>2914</v>
      </c>
      <c r="B804" s="1" t="s">
        <v>158</v>
      </c>
      <c r="C804" s="1" t="s">
        <v>2896</v>
      </c>
      <c r="H804" s="2">
        <f t="shared" si="15"/>
        <v>0</v>
      </c>
      <c r="I804"/>
    </row>
    <row r="805" spans="1:9">
      <c r="A805" s="1" t="s">
        <v>2914</v>
      </c>
      <c r="B805" s="1" t="s">
        <v>159</v>
      </c>
      <c r="C805" s="1" t="s">
        <v>2896</v>
      </c>
      <c r="F805" s="2">
        <v>101.89</v>
      </c>
      <c r="H805" s="2">
        <f t="shared" si="15"/>
        <v>101.89</v>
      </c>
      <c r="I805"/>
    </row>
    <row r="806" spans="1:9">
      <c r="A806" s="1" t="s">
        <v>2914</v>
      </c>
      <c r="B806" s="1" t="s">
        <v>148</v>
      </c>
      <c r="C806" s="1" t="s">
        <v>2893</v>
      </c>
      <c r="H806" s="2">
        <f t="shared" si="15"/>
        <v>0</v>
      </c>
      <c r="I806"/>
    </row>
    <row r="807" spans="1:9">
      <c r="A807" s="1" t="s">
        <v>2914</v>
      </c>
      <c r="B807" s="1" t="s">
        <v>149</v>
      </c>
      <c r="C807" s="1" t="s">
        <v>2893</v>
      </c>
      <c r="H807" s="2">
        <f t="shared" si="15"/>
        <v>0</v>
      </c>
      <c r="I807"/>
    </row>
    <row r="808" spans="1:9">
      <c r="A808" s="1" t="s">
        <v>2914</v>
      </c>
      <c r="B808" s="1" t="s">
        <v>150</v>
      </c>
      <c r="C808" s="1" t="s">
        <v>2893</v>
      </c>
      <c r="H808" s="2">
        <f t="shared" si="15"/>
        <v>0</v>
      </c>
      <c r="I808"/>
    </row>
    <row r="809" spans="1:9">
      <c r="A809" s="1" t="s">
        <v>2914</v>
      </c>
      <c r="B809" s="1" t="s">
        <v>151</v>
      </c>
      <c r="C809" s="1" t="s">
        <v>2893</v>
      </c>
      <c r="H809" s="2">
        <f t="shared" si="15"/>
        <v>0</v>
      </c>
      <c r="I809"/>
    </row>
    <row r="810" spans="1:9">
      <c r="A810" s="1" t="s">
        <v>2914</v>
      </c>
      <c r="B810" s="1" t="s">
        <v>152</v>
      </c>
      <c r="C810" s="1" t="s">
        <v>2893</v>
      </c>
      <c r="H810" s="2">
        <f t="shared" si="15"/>
        <v>0</v>
      </c>
      <c r="I810"/>
    </row>
    <row r="811" spans="1:9">
      <c r="A811" s="1" t="s">
        <v>2914</v>
      </c>
      <c r="B811" s="1" t="s">
        <v>153</v>
      </c>
      <c r="C811" s="1" t="s">
        <v>2893</v>
      </c>
      <c r="H811" s="2">
        <f t="shared" si="15"/>
        <v>0</v>
      </c>
      <c r="I811"/>
    </row>
    <row r="812" spans="1:9">
      <c r="A812" s="1" t="s">
        <v>2914</v>
      </c>
      <c r="B812" s="1" t="s">
        <v>154</v>
      </c>
      <c r="C812" s="1" t="s">
        <v>2893</v>
      </c>
      <c r="H812" s="2">
        <f t="shared" si="15"/>
        <v>0</v>
      </c>
      <c r="I812"/>
    </row>
    <row r="813" spans="1:8">
      <c r="A813" s="1" t="s">
        <v>2914</v>
      </c>
      <c r="B813" s="1" t="s">
        <v>155</v>
      </c>
      <c r="C813" s="1" t="s">
        <v>2893</v>
      </c>
      <c r="H813" s="2">
        <f t="shared" si="15"/>
        <v>0</v>
      </c>
    </row>
    <row r="814" spans="1:9">
      <c r="A814" s="1" t="s">
        <v>2914</v>
      </c>
      <c r="B814" s="1" t="s">
        <v>156</v>
      </c>
      <c r="C814" s="1" t="s">
        <v>2893</v>
      </c>
      <c r="H814" s="2">
        <f t="shared" si="15"/>
        <v>0</v>
      </c>
      <c r="I814"/>
    </row>
    <row r="815" spans="1:9">
      <c r="A815" s="1" t="s">
        <v>2914</v>
      </c>
      <c r="B815" s="1" t="s">
        <v>157</v>
      </c>
      <c r="C815" s="1" t="s">
        <v>2893</v>
      </c>
      <c r="H815" s="2">
        <f t="shared" si="15"/>
        <v>0</v>
      </c>
      <c r="I815"/>
    </row>
    <row r="816" spans="1:9">
      <c r="A816" s="1" t="s">
        <v>2914</v>
      </c>
      <c r="B816" s="1" t="s">
        <v>158</v>
      </c>
      <c r="C816" s="1" t="s">
        <v>2893</v>
      </c>
      <c r="H816" s="2">
        <f t="shared" si="15"/>
        <v>0</v>
      </c>
      <c r="I816"/>
    </row>
    <row r="817" spans="1:9">
      <c r="A817" s="1" t="s">
        <v>2914</v>
      </c>
      <c r="B817" s="1" t="s">
        <v>159</v>
      </c>
      <c r="C817" s="1" t="s">
        <v>2893</v>
      </c>
      <c r="F817" s="2">
        <v>101.89</v>
      </c>
      <c r="H817" s="2">
        <f t="shared" si="15"/>
        <v>101.89</v>
      </c>
      <c r="I817"/>
    </row>
    <row r="818" spans="1:9">
      <c r="A818" s="1" t="s">
        <v>2914</v>
      </c>
      <c r="B818" s="1" t="s">
        <v>148</v>
      </c>
      <c r="C818" s="1" t="s">
        <v>2902</v>
      </c>
      <c r="D818" s="2">
        <v>321698.35</v>
      </c>
      <c r="F818" s="2">
        <v>408771.19</v>
      </c>
      <c r="H818" s="2">
        <f t="shared" si="15"/>
        <v>730469.54</v>
      </c>
      <c r="I818"/>
    </row>
    <row r="819" spans="1:9">
      <c r="A819" s="1" t="s">
        <v>2914</v>
      </c>
      <c r="B819" s="1" t="s">
        <v>149</v>
      </c>
      <c r="C819" s="1" t="s">
        <v>2902</v>
      </c>
      <c r="D819" s="2">
        <v>1730935.92</v>
      </c>
      <c r="F819" s="2">
        <v>2161740.64</v>
      </c>
      <c r="H819" s="2">
        <f t="shared" si="15"/>
        <v>3892676.56</v>
      </c>
      <c r="I819"/>
    </row>
    <row r="820" spans="1:9">
      <c r="A820" s="1" t="s">
        <v>2914</v>
      </c>
      <c r="B820" s="1" t="s">
        <v>150</v>
      </c>
      <c r="C820" s="1" t="s">
        <v>2902</v>
      </c>
      <c r="D820" s="2">
        <v>2305232.66</v>
      </c>
      <c r="F820" s="2">
        <v>5709190.1</v>
      </c>
      <c r="H820" s="2">
        <f t="shared" si="15"/>
        <v>8014422.76</v>
      </c>
      <c r="I820"/>
    </row>
    <row r="821" spans="1:9">
      <c r="A821" s="1" t="s">
        <v>2914</v>
      </c>
      <c r="B821" s="1" t="s">
        <v>151</v>
      </c>
      <c r="C821" s="1" t="s">
        <v>2902</v>
      </c>
      <c r="D821" s="2">
        <v>561069.31</v>
      </c>
      <c r="F821" s="2">
        <v>3061427</v>
      </c>
      <c r="H821" s="2">
        <f t="shared" si="15"/>
        <v>3622496.31</v>
      </c>
      <c r="I821"/>
    </row>
    <row r="822" spans="1:9">
      <c r="A822" s="1" t="s">
        <v>2914</v>
      </c>
      <c r="B822" s="1" t="s">
        <v>152</v>
      </c>
      <c r="C822" s="1" t="s">
        <v>2902</v>
      </c>
      <c r="D822" s="2">
        <v>1174464.2</v>
      </c>
      <c r="F822" s="2">
        <v>3357513.85</v>
      </c>
      <c r="H822" s="2">
        <f t="shared" si="15"/>
        <v>4531978.05</v>
      </c>
      <c r="I822"/>
    </row>
    <row r="823" spans="1:9">
      <c r="A823" s="1" t="s">
        <v>2914</v>
      </c>
      <c r="B823" s="1" t="s">
        <v>153</v>
      </c>
      <c r="C823" s="1" t="s">
        <v>2902</v>
      </c>
      <c r="D823" s="2">
        <v>2589114.54</v>
      </c>
      <c r="F823" s="2">
        <v>4832351.53</v>
      </c>
      <c r="H823" s="2">
        <f t="shared" si="15"/>
        <v>7421466.07</v>
      </c>
      <c r="I823"/>
    </row>
    <row r="824" spans="1:9">
      <c r="A824" s="1" t="s">
        <v>2914</v>
      </c>
      <c r="B824" s="1" t="s">
        <v>154</v>
      </c>
      <c r="C824" s="1" t="s">
        <v>2902</v>
      </c>
      <c r="D824" s="2">
        <v>478271.7</v>
      </c>
      <c r="F824" s="2">
        <v>2640509.79</v>
      </c>
      <c r="H824" s="2">
        <f t="shared" si="15"/>
        <v>3118781.49</v>
      </c>
      <c r="I824"/>
    </row>
    <row r="825" spans="1:8">
      <c r="A825" s="1" t="s">
        <v>2914</v>
      </c>
      <c r="B825" s="1" t="s">
        <v>155</v>
      </c>
      <c r="C825" s="1" t="s">
        <v>2902</v>
      </c>
      <c r="D825" s="2">
        <v>506736.76</v>
      </c>
      <c r="F825" s="2">
        <v>1896554.2</v>
      </c>
      <c r="H825" s="2">
        <f t="shared" si="15"/>
        <v>2403290.96</v>
      </c>
    </row>
    <row r="826" spans="1:9">
      <c r="A826" s="1" t="s">
        <v>2914</v>
      </c>
      <c r="B826" s="1" t="s">
        <v>156</v>
      </c>
      <c r="C826" s="1" t="s">
        <v>2902</v>
      </c>
      <c r="D826" s="2">
        <v>2493557.1</v>
      </c>
      <c r="F826" s="2">
        <v>2441724.89</v>
      </c>
      <c r="H826" s="2">
        <f t="shared" si="15"/>
        <v>4935281.99</v>
      </c>
      <c r="I826"/>
    </row>
    <row r="827" spans="1:9">
      <c r="A827" s="1" t="s">
        <v>2914</v>
      </c>
      <c r="B827" s="1" t="s">
        <v>157</v>
      </c>
      <c r="C827" s="1" t="s">
        <v>2902</v>
      </c>
      <c r="D827" s="2">
        <v>109349.35</v>
      </c>
      <c r="F827" s="2">
        <v>1553615.39</v>
      </c>
      <c r="H827" s="2">
        <f t="shared" si="15"/>
        <v>1662964.74</v>
      </c>
      <c r="I827"/>
    </row>
    <row r="828" spans="1:9">
      <c r="A828" s="1" t="s">
        <v>2914</v>
      </c>
      <c r="B828" s="1" t="s">
        <v>158</v>
      </c>
      <c r="C828" s="1" t="s">
        <v>2902</v>
      </c>
      <c r="D828" s="2">
        <v>2636680.98</v>
      </c>
      <c r="F828" s="2">
        <v>2286068.76</v>
      </c>
      <c r="G828" s="2">
        <v>0</v>
      </c>
      <c r="H828" s="2">
        <f t="shared" si="15"/>
        <v>4922749.74</v>
      </c>
      <c r="I828"/>
    </row>
    <row r="829" spans="1:9">
      <c r="A829" s="1" t="s">
        <v>2914</v>
      </c>
      <c r="B829" s="1" t="s">
        <v>159</v>
      </c>
      <c r="C829" s="1" t="s">
        <v>2902</v>
      </c>
      <c r="D829" s="2">
        <v>-212933.33</v>
      </c>
      <c r="F829" s="2">
        <v>3537244.03</v>
      </c>
      <c r="H829" s="2">
        <f t="shared" si="15"/>
        <v>3324310.7</v>
      </c>
      <c r="I829"/>
    </row>
    <row r="830" spans="1:9">
      <c r="A830" s="1" t="s">
        <v>2914</v>
      </c>
      <c r="B830" s="1" t="s">
        <v>148</v>
      </c>
      <c r="C830" s="1" t="s">
        <v>2931</v>
      </c>
      <c r="D830" s="2">
        <v>845198.75</v>
      </c>
      <c r="H830" s="2">
        <f t="shared" si="15"/>
        <v>845198.75</v>
      </c>
      <c r="I830"/>
    </row>
    <row r="831" spans="1:9">
      <c r="A831" s="1" t="s">
        <v>2914</v>
      </c>
      <c r="B831" s="1" t="s">
        <v>149</v>
      </c>
      <c r="C831" s="1" t="s">
        <v>2931</v>
      </c>
      <c r="D831" s="2">
        <v>6412111.91</v>
      </c>
      <c r="H831" s="2">
        <f t="shared" si="15"/>
        <v>6412111.91</v>
      </c>
      <c r="I831"/>
    </row>
    <row r="832" spans="1:9">
      <c r="A832" s="1" t="s">
        <v>2914</v>
      </c>
      <c r="B832" s="1" t="s">
        <v>150</v>
      </c>
      <c r="C832" s="1" t="s">
        <v>2931</v>
      </c>
      <c r="D832" s="2">
        <v>4185599.46</v>
      </c>
      <c r="H832" s="2">
        <f t="shared" si="15"/>
        <v>4185599.46</v>
      </c>
      <c r="I832"/>
    </row>
    <row r="833" spans="1:9">
      <c r="A833" s="1" t="s">
        <v>2914</v>
      </c>
      <c r="B833" s="1" t="s">
        <v>151</v>
      </c>
      <c r="C833" s="1" t="s">
        <v>2931</v>
      </c>
      <c r="D833" s="2">
        <v>974422.3</v>
      </c>
      <c r="H833" s="2">
        <f t="shared" si="15"/>
        <v>974422.3</v>
      </c>
      <c r="I833"/>
    </row>
    <row r="834" spans="1:9">
      <c r="A834" s="1" t="s">
        <v>2914</v>
      </c>
      <c r="B834" s="1" t="s">
        <v>152</v>
      </c>
      <c r="C834" s="1" t="s">
        <v>2931</v>
      </c>
      <c r="D834" s="2">
        <v>3189996.61</v>
      </c>
      <c r="H834" s="2">
        <f t="shared" ref="H834:H897" si="16">SUM(D834:G834)</f>
        <v>3189996.61</v>
      </c>
      <c r="I834"/>
    </row>
    <row r="835" spans="1:9">
      <c r="A835" s="1" t="s">
        <v>2914</v>
      </c>
      <c r="B835" s="1" t="s">
        <v>153</v>
      </c>
      <c r="C835" s="1" t="s">
        <v>2931</v>
      </c>
      <c r="D835" s="2">
        <v>5316501.68</v>
      </c>
      <c r="H835" s="2">
        <f t="shared" si="16"/>
        <v>5316501.68</v>
      </c>
      <c r="I835"/>
    </row>
    <row r="836" spans="1:9">
      <c r="A836" s="1" t="s">
        <v>2914</v>
      </c>
      <c r="B836" s="1" t="s">
        <v>154</v>
      </c>
      <c r="C836" s="1" t="s">
        <v>2931</v>
      </c>
      <c r="D836" s="2">
        <v>2241359.29</v>
      </c>
      <c r="H836" s="2">
        <f t="shared" si="16"/>
        <v>2241359.29</v>
      </c>
      <c r="I836"/>
    </row>
    <row r="837" spans="1:8">
      <c r="A837" s="1" t="s">
        <v>2914</v>
      </c>
      <c r="B837" s="1" t="s">
        <v>155</v>
      </c>
      <c r="C837" s="1" t="s">
        <v>2931</v>
      </c>
      <c r="D837" s="2">
        <v>2166780.71</v>
      </c>
      <c r="H837" s="2">
        <f t="shared" si="16"/>
        <v>2166780.71</v>
      </c>
    </row>
    <row r="838" spans="1:9">
      <c r="A838" s="1" t="s">
        <v>2914</v>
      </c>
      <c r="B838" s="1" t="s">
        <v>156</v>
      </c>
      <c r="C838" s="1" t="s">
        <v>2931</v>
      </c>
      <c r="D838" s="2">
        <v>3452943.58</v>
      </c>
      <c r="H838" s="2">
        <f t="shared" si="16"/>
        <v>3452943.58</v>
      </c>
      <c r="I838"/>
    </row>
    <row r="839" spans="1:9">
      <c r="A839" s="1" t="s">
        <v>2914</v>
      </c>
      <c r="B839" s="1" t="s">
        <v>157</v>
      </c>
      <c r="C839" s="1" t="s">
        <v>2931</v>
      </c>
      <c r="D839" s="2">
        <v>1485441.52</v>
      </c>
      <c r="H839" s="2">
        <f t="shared" si="16"/>
        <v>1485441.52</v>
      </c>
      <c r="I839"/>
    </row>
    <row r="840" spans="1:9">
      <c r="A840" s="1" t="s">
        <v>2914</v>
      </c>
      <c r="B840" s="1" t="s">
        <v>158</v>
      </c>
      <c r="C840" s="1" t="s">
        <v>2931</v>
      </c>
      <c r="D840" s="2">
        <v>5614675.39</v>
      </c>
      <c r="G840" s="2">
        <v>0</v>
      </c>
      <c r="H840" s="2">
        <f t="shared" si="16"/>
        <v>5614675.39</v>
      </c>
      <c r="I840"/>
    </row>
    <row r="841" spans="1:9">
      <c r="A841" s="1" t="s">
        <v>2914</v>
      </c>
      <c r="B841" s="1" t="s">
        <v>159</v>
      </c>
      <c r="C841" s="1" t="s">
        <v>2931</v>
      </c>
      <c r="D841" s="2">
        <v>2276043.3</v>
      </c>
      <c r="H841" s="2">
        <f t="shared" si="16"/>
        <v>2276043.3</v>
      </c>
      <c r="I841"/>
    </row>
    <row r="842" spans="1:9">
      <c r="A842" s="1" t="s">
        <v>2914</v>
      </c>
      <c r="B842" s="1" t="s">
        <v>148</v>
      </c>
      <c r="C842" s="1" t="s">
        <v>1901</v>
      </c>
      <c r="D842" s="2">
        <v>711389.2</v>
      </c>
      <c r="H842" s="2">
        <f t="shared" si="16"/>
        <v>711389.2</v>
      </c>
      <c r="I842"/>
    </row>
    <row r="843" spans="1:9">
      <c r="A843" s="1" t="s">
        <v>2914</v>
      </c>
      <c r="B843" s="1" t="s">
        <v>149</v>
      </c>
      <c r="C843" s="1" t="s">
        <v>1901</v>
      </c>
      <c r="D843" s="2">
        <v>1256614.37</v>
      </c>
      <c r="H843" s="2">
        <f t="shared" si="16"/>
        <v>1256614.37</v>
      </c>
      <c r="I843"/>
    </row>
    <row r="844" spans="1:9">
      <c r="A844" s="1" t="s">
        <v>2914</v>
      </c>
      <c r="B844" s="1" t="s">
        <v>150</v>
      </c>
      <c r="C844" s="1" t="s">
        <v>1901</v>
      </c>
      <c r="D844" s="2">
        <v>1069304.56</v>
      </c>
      <c r="H844" s="2">
        <f t="shared" si="16"/>
        <v>1069304.56</v>
      </c>
      <c r="I844"/>
    </row>
    <row r="845" spans="1:9">
      <c r="A845" s="1" t="s">
        <v>2914</v>
      </c>
      <c r="B845" s="1" t="s">
        <v>151</v>
      </c>
      <c r="C845" s="1" t="s">
        <v>1901</v>
      </c>
      <c r="D845" s="2">
        <v>705754.33</v>
      </c>
      <c r="H845" s="2">
        <f t="shared" si="16"/>
        <v>705754.33</v>
      </c>
      <c r="I845"/>
    </row>
    <row r="846" spans="1:9">
      <c r="A846" s="1" t="s">
        <v>2914</v>
      </c>
      <c r="B846" s="1" t="s">
        <v>152</v>
      </c>
      <c r="C846" s="1" t="s">
        <v>1901</v>
      </c>
      <c r="D846" s="2">
        <v>1052515.46</v>
      </c>
      <c r="H846" s="2">
        <f t="shared" si="16"/>
        <v>1052515.46</v>
      </c>
      <c r="I846"/>
    </row>
    <row r="847" spans="1:9">
      <c r="A847" s="1" t="s">
        <v>2914</v>
      </c>
      <c r="B847" s="1" t="s">
        <v>153</v>
      </c>
      <c r="C847" s="1" t="s">
        <v>1901</v>
      </c>
      <c r="D847" s="2">
        <v>1660768.21</v>
      </c>
      <c r="H847" s="2">
        <f t="shared" si="16"/>
        <v>1660768.21</v>
      </c>
      <c r="I847"/>
    </row>
    <row r="848" spans="1:9">
      <c r="A848" s="1" t="s">
        <v>2914</v>
      </c>
      <c r="B848" s="1" t="s">
        <v>154</v>
      </c>
      <c r="C848" s="1" t="s">
        <v>1901</v>
      </c>
      <c r="D848" s="2">
        <v>1153561.63</v>
      </c>
      <c r="H848" s="2">
        <f t="shared" si="16"/>
        <v>1153561.63</v>
      </c>
      <c r="I848"/>
    </row>
    <row r="849" spans="1:8">
      <c r="A849" s="1" t="s">
        <v>2914</v>
      </c>
      <c r="B849" s="1" t="s">
        <v>155</v>
      </c>
      <c r="C849" s="1" t="s">
        <v>1901</v>
      </c>
      <c r="D849" s="2">
        <v>1032678.79</v>
      </c>
      <c r="H849" s="2">
        <f t="shared" si="16"/>
        <v>1032678.79</v>
      </c>
    </row>
    <row r="850" spans="1:9">
      <c r="A850" s="1" t="s">
        <v>2914</v>
      </c>
      <c r="B850" s="1" t="s">
        <v>156</v>
      </c>
      <c r="C850" s="1" t="s">
        <v>1901</v>
      </c>
      <c r="D850" s="2">
        <v>890542.74</v>
      </c>
      <c r="H850" s="2">
        <f t="shared" si="16"/>
        <v>890542.74</v>
      </c>
      <c r="I850"/>
    </row>
    <row r="851" spans="1:9">
      <c r="A851" s="1" t="s">
        <v>2914</v>
      </c>
      <c r="B851" s="1" t="s">
        <v>157</v>
      </c>
      <c r="C851" s="1" t="s">
        <v>1901</v>
      </c>
      <c r="D851" s="2">
        <v>634650.98</v>
      </c>
      <c r="H851" s="2">
        <f t="shared" si="16"/>
        <v>634650.98</v>
      </c>
      <c r="I851"/>
    </row>
    <row r="852" spans="1:9">
      <c r="A852" s="1" t="s">
        <v>2914</v>
      </c>
      <c r="B852" s="1" t="s">
        <v>158</v>
      </c>
      <c r="C852" s="1" t="s">
        <v>1901</v>
      </c>
      <c r="D852" s="2">
        <v>1328289.21</v>
      </c>
      <c r="H852" s="2">
        <f t="shared" si="16"/>
        <v>1328289.21</v>
      </c>
      <c r="I852"/>
    </row>
    <row r="853" spans="1:9">
      <c r="A853" s="1" t="s">
        <v>2914</v>
      </c>
      <c r="B853" s="1" t="s">
        <v>159</v>
      </c>
      <c r="C853" s="1" t="s">
        <v>1901</v>
      </c>
      <c r="D853" s="2">
        <v>980646.38</v>
      </c>
      <c r="H853" s="2">
        <f t="shared" si="16"/>
        <v>980646.38</v>
      </c>
      <c r="I853"/>
    </row>
    <row r="854" spans="1:9">
      <c r="A854" s="1" t="s">
        <v>2915</v>
      </c>
      <c r="B854" s="1" t="s">
        <v>148</v>
      </c>
      <c r="C854" s="1" t="s">
        <v>2892</v>
      </c>
      <c r="D854" s="2">
        <v>78543.2</v>
      </c>
      <c r="F854" s="2">
        <v>522454.52</v>
      </c>
      <c r="G854" s="2">
        <v>1361.6</v>
      </c>
      <c r="H854" s="2">
        <f t="shared" si="16"/>
        <v>602359.32</v>
      </c>
      <c r="I854"/>
    </row>
    <row r="855" spans="1:9">
      <c r="A855" s="1" t="s">
        <v>2915</v>
      </c>
      <c r="B855" s="1" t="s">
        <v>149</v>
      </c>
      <c r="C855" s="1" t="s">
        <v>2892</v>
      </c>
      <c r="D855" s="2">
        <v>101397.5</v>
      </c>
      <c r="F855" s="2">
        <v>816715.8</v>
      </c>
      <c r="G855" s="2">
        <v>368.5</v>
      </c>
      <c r="H855" s="2">
        <f t="shared" si="16"/>
        <v>918481.8</v>
      </c>
      <c r="I855"/>
    </row>
    <row r="856" spans="1:9">
      <c r="A856" s="1" t="s">
        <v>2915</v>
      </c>
      <c r="B856" s="1" t="s">
        <v>150</v>
      </c>
      <c r="C856" s="1" t="s">
        <v>2892</v>
      </c>
      <c r="D856" s="2">
        <v>74174.95</v>
      </c>
      <c r="F856" s="2">
        <v>1538119.7</v>
      </c>
      <c r="G856" s="2">
        <v>8527.2</v>
      </c>
      <c r="H856" s="2">
        <f t="shared" si="16"/>
        <v>1620821.85</v>
      </c>
      <c r="I856"/>
    </row>
    <row r="857" spans="1:9">
      <c r="A857" s="1" t="s">
        <v>2915</v>
      </c>
      <c r="B857" s="1" t="s">
        <v>151</v>
      </c>
      <c r="C857" s="1" t="s">
        <v>2892</v>
      </c>
      <c r="D857" s="2">
        <v>77344.8</v>
      </c>
      <c r="F857" s="2">
        <v>867789.76</v>
      </c>
      <c r="G857" s="2">
        <v>67240</v>
      </c>
      <c r="H857" s="2">
        <f t="shared" si="16"/>
        <v>1012374.56</v>
      </c>
      <c r="I857"/>
    </row>
    <row r="858" spans="1:9">
      <c r="A858" s="1" t="s">
        <v>2915</v>
      </c>
      <c r="B858" s="1" t="s">
        <v>152</v>
      </c>
      <c r="C858" s="1" t="s">
        <v>2892</v>
      </c>
      <c r="D858" s="2">
        <v>71878</v>
      </c>
      <c r="E858" s="2">
        <v>427000</v>
      </c>
      <c r="F858" s="2">
        <v>12338095.38</v>
      </c>
      <c r="G858" s="2">
        <v>1236336.6</v>
      </c>
      <c r="H858" s="2">
        <f t="shared" si="16"/>
        <v>14073309.98</v>
      </c>
      <c r="I858"/>
    </row>
    <row r="859" spans="1:9">
      <c r="A859" s="1" t="s">
        <v>2915</v>
      </c>
      <c r="B859" s="1" t="s">
        <v>153</v>
      </c>
      <c r="C859" s="1" t="s">
        <v>2892</v>
      </c>
      <c r="D859" s="2">
        <v>91249.28</v>
      </c>
      <c r="F859" s="2">
        <v>-9336444.04</v>
      </c>
      <c r="G859" s="2">
        <v>50026.3</v>
      </c>
      <c r="H859" s="2">
        <f t="shared" si="16"/>
        <v>-9195168.46</v>
      </c>
      <c r="I859"/>
    </row>
    <row r="860" spans="1:9">
      <c r="A860" s="1" t="s">
        <v>2915</v>
      </c>
      <c r="B860" s="1" t="s">
        <v>154</v>
      </c>
      <c r="C860" s="1" t="s">
        <v>2892</v>
      </c>
      <c r="D860" s="2">
        <v>117767</v>
      </c>
      <c r="E860" s="2">
        <v>3968</v>
      </c>
      <c r="F860" s="2">
        <v>1285896.4</v>
      </c>
      <c r="G860" s="2">
        <v>27438.87</v>
      </c>
      <c r="H860" s="2">
        <f t="shared" si="16"/>
        <v>1435070.27</v>
      </c>
      <c r="I860"/>
    </row>
    <row r="861" spans="1:8">
      <c r="A861" s="1" t="s">
        <v>2915</v>
      </c>
      <c r="B861" s="1" t="s">
        <v>155</v>
      </c>
      <c r="C861" s="1" t="s">
        <v>2892</v>
      </c>
      <c r="D861" s="2">
        <v>117597.4</v>
      </c>
      <c r="F861" s="2">
        <v>1328199.14</v>
      </c>
      <c r="G861" s="2">
        <v>21000.7</v>
      </c>
      <c r="H861" s="2">
        <f t="shared" si="16"/>
        <v>1466797.24</v>
      </c>
    </row>
    <row r="862" spans="1:9">
      <c r="A862" s="1" t="s">
        <v>2915</v>
      </c>
      <c r="B862" s="1" t="s">
        <v>156</v>
      </c>
      <c r="C862" s="1" t="s">
        <v>2892</v>
      </c>
      <c r="D862" s="2">
        <v>87619.82</v>
      </c>
      <c r="F862" s="2">
        <v>1257678.7</v>
      </c>
      <c r="G862" s="2">
        <v>891341.8</v>
      </c>
      <c r="H862" s="2">
        <f t="shared" si="16"/>
        <v>2236640.32</v>
      </c>
      <c r="I862"/>
    </row>
    <row r="863" spans="1:9">
      <c r="A863" s="1" t="s">
        <v>2915</v>
      </c>
      <c r="B863" s="1" t="s">
        <v>157</v>
      </c>
      <c r="C863" s="1" t="s">
        <v>2892</v>
      </c>
      <c r="D863" s="2">
        <v>83165.42</v>
      </c>
      <c r="E863" s="2">
        <v>365</v>
      </c>
      <c r="F863" s="2">
        <v>797127.5</v>
      </c>
      <c r="G863" s="2">
        <v>467272.53</v>
      </c>
      <c r="H863" s="2">
        <f t="shared" si="16"/>
        <v>1347930.45</v>
      </c>
      <c r="I863"/>
    </row>
    <row r="864" spans="1:9">
      <c r="A864" s="1" t="s">
        <v>2915</v>
      </c>
      <c r="B864" s="1" t="s">
        <v>158</v>
      </c>
      <c r="C864" s="1" t="s">
        <v>2892</v>
      </c>
      <c r="D864" s="2">
        <v>93445.76</v>
      </c>
      <c r="F864" s="2">
        <v>2750259.45</v>
      </c>
      <c r="G864" s="2">
        <v>36700.62</v>
      </c>
      <c r="H864" s="2">
        <f t="shared" si="16"/>
        <v>2880405.83</v>
      </c>
      <c r="I864"/>
    </row>
    <row r="865" spans="1:9">
      <c r="A865" s="1" t="s">
        <v>2915</v>
      </c>
      <c r="B865" s="1" t="s">
        <v>159</v>
      </c>
      <c r="C865" s="1" t="s">
        <v>2892</v>
      </c>
      <c r="D865" s="2">
        <v>48441.47</v>
      </c>
      <c r="F865" s="2">
        <v>1898311.68</v>
      </c>
      <c r="G865" s="2">
        <v>495607.289999996</v>
      </c>
      <c r="H865" s="2">
        <f t="shared" si="16"/>
        <v>2442360.44</v>
      </c>
      <c r="I865"/>
    </row>
    <row r="866" spans="1:9">
      <c r="A866" s="1" t="s">
        <v>2915</v>
      </c>
      <c r="B866" s="1" t="s">
        <v>148</v>
      </c>
      <c r="C866" s="1" t="s">
        <v>2899</v>
      </c>
      <c r="D866" s="2">
        <v>65352.1134</v>
      </c>
      <c r="F866" s="2">
        <v>363882.9648</v>
      </c>
      <c r="G866" s="2">
        <v>920</v>
      </c>
      <c r="H866" s="2">
        <f t="shared" si="16"/>
        <v>430155.0782</v>
      </c>
      <c r="I866"/>
    </row>
    <row r="867" spans="1:9">
      <c r="A867" s="1" t="s">
        <v>2915</v>
      </c>
      <c r="B867" s="1" t="s">
        <v>149</v>
      </c>
      <c r="C867" s="1" t="s">
        <v>2899</v>
      </c>
      <c r="D867" s="2">
        <v>91760.57</v>
      </c>
      <c r="F867" s="2">
        <v>590627.5</v>
      </c>
      <c r="G867" s="2">
        <v>343</v>
      </c>
      <c r="H867" s="2">
        <f t="shared" si="16"/>
        <v>682731.07</v>
      </c>
      <c r="I867"/>
    </row>
    <row r="868" spans="1:9">
      <c r="A868" s="1" t="s">
        <v>2915</v>
      </c>
      <c r="B868" s="1" t="s">
        <v>150</v>
      </c>
      <c r="C868" s="1" t="s">
        <v>2899</v>
      </c>
      <c r="D868" s="2">
        <v>53878.18</v>
      </c>
      <c r="F868" s="2">
        <v>1360566.77</v>
      </c>
      <c r="G868" s="2">
        <v>7880.75</v>
      </c>
      <c r="H868" s="2">
        <f t="shared" si="16"/>
        <v>1422325.7</v>
      </c>
      <c r="I868"/>
    </row>
    <row r="869" spans="1:9">
      <c r="A869" s="1" t="s">
        <v>2915</v>
      </c>
      <c r="B869" s="1" t="s">
        <v>151</v>
      </c>
      <c r="C869" s="1" t="s">
        <v>2899</v>
      </c>
      <c r="D869" s="2">
        <v>53452</v>
      </c>
      <c r="F869" s="2">
        <v>733401.65</v>
      </c>
      <c r="G869" s="2">
        <v>64259.25</v>
      </c>
      <c r="H869" s="2">
        <f t="shared" si="16"/>
        <v>851112.9</v>
      </c>
      <c r="I869"/>
    </row>
    <row r="870" spans="1:9">
      <c r="A870" s="1" t="s">
        <v>2915</v>
      </c>
      <c r="B870" s="1" t="s">
        <v>152</v>
      </c>
      <c r="C870" s="1" t="s">
        <v>2899</v>
      </c>
      <c r="D870" s="2">
        <v>49172.96</v>
      </c>
      <c r="E870" s="2">
        <v>424011</v>
      </c>
      <c r="F870" s="2">
        <v>12221827.5</v>
      </c>
      <c r="G870" s="2">
        <v>1231141.9</v>
      </c>
      <c r="H870" s="2">
        <f t="shared" si="16"/>
        <v>13926153.36</v>
      </c>
      <c r="I870"/>
    </row>
    <row r="871" spans="1:9">
      <c r="A871" s="1" t="s">
        <v>2915</v>
      </c>
      <c r="B871" s="1" t="s">
        <v>153</v>
      </c>
      <c r="C871" s="1" t="s">
        <v>2899</v>
      </c>
      <c r="D871" s="2">
        <v>70406.55</v>
      </c>
      <c r="F871" s="2">
        <v>-9415756.1</v>
      </c>
      <c r="G871" s="2">
        <v>45598.44</v>
      </c>
      <c r="H871" s="2">
        <f t="shared" si="16"/>
        <v>-9299751.11</v>
      </c>
      <c r="I871"/>
    </row>
    <row r="872" spans="1:9">
      <c r="A872" s="1" t="s">
        <v>2915</v>
      </c>
      <c r="B872" s="1" t="s">
        <v>154</v>
      </c>
      <c r="C872" s="1" t="s">
        <v>2899</v>
      </c>
      <c r="D872" s="2">
        <v>93308.1</v>
      </c>
      <c r="E872" s="2">
        <v>3170.4</v>
      </c>
      <c r="F872" s="2">
        <v>1203833</v>
      </c>
      <c r="G872" s="2">
        <v>23639.4</v>
      </c>
      <c r="H872" s="2">
        <f t="shared" si="16"/>
        <v>1323950.9</v>
      </c>
      <c r="I872"/>
    </row>
    <row r="873" spans="1:8">
      <c r="A873" s="1" t="s">
        <v>2915</v>
      </c>
      <c r="B873" s="1" t="s">
        <v>155</v>
      </c>
      <c r="C873" s="1" t="s">
        <v>2899</v>
      </c>
      <c r="D873" s="2">
        <v>91752.1</v>
      </c>
      <c r="F873" s="2">
        <v>1199699.4</v>
      </c>
      <c r="G873" s="2">
        <v>18760.4</v>
      </c>
      <c r="H873" s="2">
        <f t="shared" si="16"/>
        <v>1310211.9</v>
      </c>
    </row>
    <row r="874" spans="1:9">
      <c r="A874" s="1" t="s">
        <v>2915</v>
      </c>
      <c r="B874" s="1" t="s">
        <v>156</v>
      </c>
      <c r="C874" s="1" t="s">
        <v>2899</v>
      </c>
      <c r="D874" s="2">
        <v>76694.47</v>
      </c>
      <c r="F874" s="2">
        <v>1163752.53</v>
      </c>
      <c r="G874" s="2">
        <v>819163.23</v>
      </c>
      <c r="H874" s="2">
        <f t="shared" si="16"/>
        <v>2059610.23</v>
      </c>
      <c r="I874"/>
    </row>
    <row r="875" spans="1:9">
      <c r="A875" s="1" t="s">
        <v>2915</v>
      </c>
      <c r="B875" s="1" t="s">
        <v>157</v>
      </c>
      <c r="C875" s="1" t="s">
        <v>2899</v>
      </c>
      <c r="D875" s="2">
        <v>73268.9</v>
      </c>
      <c r="E875" s="2">
        <v>209.65</v>
      </c>
      <c r="F875" s="2">
        <v>672072.73</v>
      </c>
      <c r="G875" s="2">
        <v>442065.12</v>
      </c>
      <c r="H875" s="2">
        <f t="shared" si="16"/>
        <v>1187616.4</v>
      </c>
      <c r="I875"/>
    </row>
    <row r="876" spans="1:9">
      <c r="A876" s="1" t="s">
        <v>2915</v>
      </c>
      <c r="B876" s="1" t="s">
        <v>158</v>
      </c>
      <c r="C876" s="1" t="s">
        <v>2899</v>
      </c>
      <c r="D876" s="2">
        <v>78984</v>
      </c>
      <c r="F876" s="2">
        <v>2417983.7</v>
      </c>
      <c r="G876" s="2">
        <v>84987.2</v>
      </c>
      <c r="H876" s="2">
        <f t="shared" si="16"/>
        <v>2581954.9</v>
      </c>
      <c r="I876"/>
    </row>
    <row r="877" spans="1:9">
      <c r="A877" s="1" t="s">
        <v>2915</v>
      </c>
      <c r="B877" s="1" t="s">
        <v>159</v>
      </c>
      <c r="C877" s="1" t="s">
        <v>2899</v>
      </c>
      <c r="D877" s="2">
        <v>46158.6</v>
      </c>
      <c r="F877" s="2">
        <v>1730066.5142</v>
      </c>
      <c r="G877" s="2">
        <v>1923081.8664</v>
      </c>
      <c r="H877" s="2">
        <f t="shared" si="16"/>
        <v>3699306.9806</v>
      </c>
      <c r="I877"/>
    </row>
    <row r="878" spans="1:9">
      <c r="A878" s="1" t="s">
        <v>2915</v>
      </c>
      <c r="B878" s="1" t="s">
        <v>148</v>
      </c>
      <c r="C878" s="1" t="s">
        <v>2896</v>
      </c>
      <c r="D878" s="2">
        <v>1364200.24</v>
      </c>
      <c r="F878" s="2">
        <v>338015.09</v>
      </c>
      <c r="H878" s="2">
        <f t="shared" si="16"/>
        <v>1702215.33</v>
      </c>
      <c r="I878"/>
    </row>
    <row r="879" spans="1:9">
      <c r="A879" s="1" t="s">
        <v>2915</v>
      </c>
      <c r="B879" s="1" t="s">
        <v>149</v>
      </c>
      <c r="C879" s="1" t="s">
        <v>2896</v>
      </c>
      <c r="D879" s="2">
        <v>4017620.82</v>
      </c>
      <c r="F879" s="2">
        <v>216758.49</v>
      </c>
      <c r="H879" s="2">
        <f t="shared" si="16"/>
        <v>4234379.31</v>
      </c>
      <c r="I879"/>
    </row>
    <row r="880" spans="1:9">
      <c r="A880" s="1" t="s">
        <v>2915</v>
      </c>
      <c r="B880" s="1" t="s">
        <v>150</v>
      </c>
      <c r="C880" s="1" t="s">
        <v>2896</v>
      </c>
      <c r="D880" s="2">
        <v>685805.5</v>
      </c>
      <c r="F880" s="2">
        <v>175351.87</v>
      </c>
      <c r="H880" s="2">
        <f t="shared" si="16"/>
        <v>861157.37</v>
      </c>
      <c r="I880"/>
    </row>
    <row r="881" spans="1:9">
      <c r="A881" s="1" t="s">
        <v>2915</v>
      </c>
      <c r="B881" s="1" t="s">
        <v>151</v>
      </c>
      <c r="C881" s="1" t="s">
        <v>2896</v>
      </c>
      <c r="D881" s="2">
        <v>570237.01</v>
      </c>
      <c r="F881" s="2">
        <v>2197254.08</v>
      </c>
      <c r="H881" s="2">
        <f t="shared" si="16"/>
        <v>2767491.09</v>
      </c>
      <c r="I881"/>
    </row>
    <row r="882" spans="1:9">
      <c r="A882" s="1" t="s">
        <v>2915</v>
      </c>
      <c r="B882" s="1" t="s">
        <v>152</v>
      </c>
      <c r="C882" s="1" t="s">
        <v>2896</v>
      </c>
      <c r="D882" s="2">
        <v>536710.83</v>
      </c>
      <c r="F882" s="2">
        <v>78620.26</v>
      </c>
      <c r="G882" s="2">
        <v>0</v>
      </c>
      <c r="H882" s="2">
        <f t="shared" si="16"/>
        <v>615331.09</v>
      </c>
      <c r="I882"/>
    </row>
    <row r="883" spans="1:9">
      <c r="A883" s="1" t="s">
        <v>2915</v>
      </c>
      <c r="B883" s="1" t="s">
        <v>153</v>
      </c>
      <c r="C883" s="1" t="s">
        <v>2896</v>
      </c>
      <c r="D883" s="2">
        <v>728461.3</v>
      </c>
      <c r="F883" s="2">
        <v>51074.66</v>
      </c>
      <c r="G883" s="2">
        <v>0</v>
      </c>
      <c r="H883" s="2">
        <f t="shared" si="16"/>
        <v>779535.96</v>
      </c>
      <c r="I883"/>
    </row>
    <row r="884" spans="1:9">
      <c r="A884" s="1" t="s">
        <v>2915</v>
      </c>
      <c r="B884" s="1" t="s">
        <v>154</v>
      </c>
      <c r="C884" s="1" t="s">
        <v>2896</v>
      </c>
      <c r="D884" s="2">
        <v>599150.9</v>
      </c>
      <c r="F884" s="2">
        <v>26960.38</v>
      </c>
      <c r="H884" s="2">
        <f t="shared" si="16"/>
        <v>626111.28</v>
      </c>
      <c r="I884"/>
    </row>
    <row r="885" spans="1:8">
      <c r="A885" s="1" t="s">
        <v>2915</v>
      </c>
      <c r="B885" s="1" t="s">
        <v>155</v>
      </c>
      <c r="C885" s="1" t="s">
        <v>2896</v>
      </c>
      <c r="D885" s="2">
        <v>553210.9</v>
      </c>
      <c r="F885" s="2">
        <v>63132.07</v>
      </c>
      <c r="H885" s="2">
        <f t="shared" si="16"/>
        <v>616342.97</v>
      </c>
    </row>
    <row r="886" spans="1:9">
      <c r="A886" s="1" t="s">
        <v>2915</v>
      </c>
      <c r="B886" s="1" t="s">
        <v>156</v>
      </c>
      <c r="C886" s="1" t="s">
        <v>2896</v>
      </c>
      <c r="D886" s="2">
        <v>4034.68</v>
      </c>
      <c r="F886" s="2">
        <v>94734.38</v>
      </c>
      <c r="H886" s="2">
        <f t="shared" si="16"/>
        <v>98769.06</v>
      </c>
      <c r="I886"/>
    </row>
    <row r="887" spans="1:9">
      <c r="A887" s="1" t="s">
        <v>2915</v>
      </c>
      <c r="B887" s="1" t="s">
        <v>157</v>
      </c>
      <c r="C887" s="1" t="s">
        <v>2896</v>
      </c>
      <c r="D887" s="2">
        <v>5374.34</v>
      </c>
      <c r="F887" s="2">
        <v>676281.99</v>
      </c>
      <c r="H887" s="2">
        <f t="shared" si="16"/>
        <v>681656.33</v>
      </c>
      <c r="I887"/>
    </row>
    <row r="888" spans="1:9">
      <c r="A888" s="1" t="s">
        <v>2915</v>
      </c>
      <c r="B888" s="1" t="s">
        <v>158</v>
      </c>
      <c r="C888" s="1" t="s">
        <v>2896</v>
      </c>
      <c r="D888" s="2">
        <v>5098.08</v>
      </c>
      <c r="F888" s="2">
        <v>743190.21</v>
      </c>
      <c r="G888" s="2">
        <v>5754934.37</v>
      </c>
      <c r="H888" s="2">
        <f t="shared" si="16"/>
        <v>6503222.66</v>
      </c>
      <c r="I888"/>
    </row>
    <row r="889" spans="1:9">
      <c r="A889" s="1" t="s">
        <v>2915</v>
      </c>
      <c r="B889" s="1" t="s">
        <v>159</v>
      </c>
      <c r="C889" s="1" t="s">
        <v>2896</v>
      </c>
      <c r="D889" s="2">
        <v>8743.96</v>
      </c>
      <c r="F889" s="2">
        <v>37569.79</v>
      </c>
      <c r="G889" s="2">
        <v>8177351.12</v>
      </c>
      <c r="H889" s="2">
        <f t="shared" si="16"/>
        <v>8223664.87</v>
      </c>
      <c r="I889"/>
    </row>
    <row r="890" spans="1:9">
      <c r="A890" s="1" t="s">
        <v>2915</v>
      </c>
      <c r="B890" s="1" t="s">
        <v>148</v>
      </c>
      <c r="C890" s="1" t="s">
        <v>2893</v>
      </c>
      <c r="D890" s="2">
        <v>1111672.16</v>
      </c>
      <c r="F890" s="2">
        <v>300982.79</v>
      </c>
      <c r="H890" s="2">
        <f t="shared" si="16"/>
        <v>1412654.95</v>
      </c>
      <c r="I890"/>
    </row>
    <row r="891" spans="1:9">
      <c r="A891" s="1" t="s">
        <v>2915</v>
      </c>
      <c r="B891" s="1" t="s">
        <v>149</v>
      </c>
      <c r="C891" s="1" t="s">
        <v>2893</v>
      </c>
      <c r="D891" s="2">
        <v>3458294.77</v>
      </c>
      <c r="F891" s="2">
        <v>184010.39</v>
      </c>
      <c r="H891" s="2">
        <f t="shared" si="16"/>
        <v>3642305.16</v>
      </c>
      <c r="I891"/>
    </row>
    <row r="892" spans="1:9">
      <c r="A892" s="1" t="s">
        <v>2915</v>
      </c>
      <c r="B892" s="1" t="s">
        <v>150</v>
      </c>
      <c r="C892" s="1" t="s">
        <v>2893</v>
      </c>
      <c r="D892" s="2">
        <v>461813.42</v>
      </c>
      <c r="F892" s="2">
        <v>173182.8</v>
      </c>
      <c r="H892" s="2">
        <f t="shared" si="16"/>
        <v>634996.22</v>
      </c>
      <c r="I892"/>
    </row>
    <row r="893" spans="1:9">
      <c r="A893" s="1" t="s">
        <v>2915</v>
      </c>
      <c r="B893" s="1" t="s">
        <v>151</v>
      </c>
      <c r="C893" s="1" t="s">
        <v>2893</v>
      </c>
      <c r="D893" s="2">
        <v>377016.39</v>
      </c>
      <c r="F893" s="2">
        <v>2177657.62</v>
      </c>
      <c r="H893" s="2">
        <f t="shared" si="16"/>
        <v>2554674.01</v>
      </c>
      <c r="I893"/>
    </row>
    <row r="894" spans="1:9">
      <c r="A894" s="1" t="s">
        <v>2915</v>
      </c>
      <c r="B894" s="1" t="s">
        <v>152</v>
      </c>
      <c r="C894" s="1" t="s">
        <v>2893</v>
      </c>
      <c r="D894" s="2">
        <v>357178.73</v>
      </c>
      <c r="F894" s="2">
        <v>77287.14</v>
      </c>
      <c r="G894" s="2">
        <v>0</v>
      </c>
      <c r="H894" s="2">
        <f t="shared" si="16"/>
        <v>434465.87</v>
      </c>
      <c r="I894"/>
    </row>
    <row r="895" spans="1:9">
      <c r="A895" s="1" t="s">
        <v>2915</v>
      </c>
      <c r="B895" s="1" t="s">
        <v>153</v>
      </c>
      <c r="C895" s="1" t="s">
        <v>2893</v>
      </c>
      <c r="D895" s="2">
        <v>519269.76</v>
      </c>
      <c r="F895" s="2">
        <v>42228.81</v>
      </c>
      <c r="G895" s="2">
        <v>0</v>
      </c>
      <c r="H895" s="2">
        <f t="shared" si="16"/>
        <v>561498.57</v>
      </c>
      <c r="I895"/>
    </row>
    <row r="896" spans="1:9">
      <c r="A896" s="1" t="s">
        <v>2915</v>
      </c>
      <c r="B896" s="1" t="s">
        <v>154</v>
      </c>
      <c r="C896" s="1" t="s">
        <v>2893</v>
      </c>
      <c r="D896" s="2">
        <v>399057.04</v>
      </c>
      <c r="F896" s="2">
        <v>20547.16</v>
      </c>
      <c r="H896" s="2">
        <f t="shared" si="16"/>
        <v>419604.2</v>
      </c>
      <c r="I896"/>
    </row>
    <row r="897" spans="1:8">
      <c r="A897" s="1" t="s">
        <v>2915</v>
      </c>
      <c r="B897" s="1" t="s">
        <v>155</v>
      </c>
      <c r="C897" s="1" t="s">
        <v>2893</v>
      </c>
      <c r="D897" s="2">
        <v>518518.91</v>
      </c>
      <c r="F897" s="2">
        <v>13930.18</v>
      </c>
      <c r="H897" s="2">
        <f t="shared" si="16"/>
        <v>532449.09</v>
      </c>
    </row>
    <row r="898" spans="1:9">
      <c r="A898" s="1" t="s">
        <v>2915</v>
      </c>
      <c r="B898" s="1" t="s">
        <v>156</v>
      </c>
      <c r="C898" s="1" t="s">
        <v>2893</v>
      </c>
      <c r="D898" s="2">
        <v>2232.08</v>
      </c>
      <c r="F898" s="2">
        <v>89381.59</v>
      </c>
      <c r="H898" s="2">
        <f t="shared" ref="H898:H961" si="17">SUM(D898:G898)</f>
        <v>91613.67</v>
      </c>
      <c r="I898"/>
    </row>
    <row r="899" spans="1:9">
      <c r="A899" s="1" t="s">
        <v>2915</v>
      </c>
      <c r="B899" s="1" t="s">
        <v>157</v>
      </c>
      <c r="C899" s="1" t="s">
        <v>2893</v>
      </c>
      <c r="D899" s="2">
        <v>2838</v>
      </c>
      <c r="F899" s="2">
        <v>659342.26</v>
      </c>
      <c r="H899" s="2">
        <f t="shared" si="17"/>
        <v>662180.26</v>
      </c>
      <c r="I899"/>
    </row>
    <row r="900" spans="1:9">
      <c r="A900" s="1" t="s">
        <v>2915</v>
      </c>
      <c r="B900" s="1" t="s">
        <v>158</v>
      </c>
      <c r="C900" s="1" t="s">
        <v>2893</v>
      </c>
      <c r="D900" s="2">
        <v>1975.45</v>
      </c>
      <c r="F900" s="2">
        <v>666511.47</v>
      </c>
      <c r="G900" s="2">
        <v>5445978.6</v>
      </c>
      <c r="H900" s="2">
        <f t="shared" si="17"/>
        <v>6114465.52</v>
      </c>
      <c r="I900"/>
    </row>
    <row r="901" spans="1:9">
      <c r="A901" s="1" t="s">
        <v>2915</v>
      </c>
      <c r="B901" s="1" t="s">
        <v>159</v>
      </c>
      <c r="C901" s="1" t="s">
        <v>2893</v>
      </c>
      <c r="D901" s="2">
        <v>3120.32</v>
      </c>
      <c r="F901" s="2">
        <v>35139.56</v>
      </c>
      <c r="G901" s="2">
        <v>5889033.99</v>
      </c>
      <c r="H901" s="2">
        <f t="shared" si="17"/>
        <v>5927293.87</v>
      </c>
      <c r="I901"/>
    </row>
    <row r="902" spans="1:9">
      <c r="A902" s="1" t="s">
        <v>2915</v>
      </c>
      <c r="B902" s="1" t="s">
        <v>148</v>
      </c>
      <c r="C902" s="1" t="s">
        <v>2904</v>
      </c>
      <c r="H902" s="2">
        <f t="shared" si="17"/>
        <v>0</v>
      </c>
      <c r="I902"/>
    </row>
    <row r="903" spans="1:9">
      <c r="A903" s="1" t="s">
        <v>2915</v>
      </c>
      <c r="B903" s="1" t="s">
        <v>149</v>
      </c>
      <c r="C903" s="1" t="s">
        <v>2904</v>
      </c>
      <c r="H903" s="2">
        <f t="shared" si="17"/>
        <v>0</v>
      </c>
      <c r="I903"/>
    </row>
    <row r="904" spans="1:9">
      <c r="A904" s="1" t="s">
        <v>2915</v>
      </c>
      <c r="B904" s="1" t="s">
        <v>150</v>
      </c>
      <c r="C904" s="1" t="s">
        <v>2904</v>
      </c>
      <c r="H904" s="2">
        <f t="shared" si="17"/>
        <v>0</v>
      </c>
      <c r="I904"/>
    </row>
    <row r="905" spans="1:9">
      <c r="A905" s="1" t="s">
        <v>2915</v>
      </c>
      <c r="B905" s="1" t="s">
        <v>151</v>
      </c>
      <c r="C905" s="1" t="s">
        <v>2904</v>
      </c>
      <c r="H905" s="2">
        <f t="shared" si="17"/>
        <v>0</v>
      </c>
      <c r="I905"/>
    </row>
    <row r="906" spans="1:9">
      <c r="A906" s="1" t="s">
        <v>2915</v>
      </c>
      <c r="B906" s="1" t="s">
        <v>152</v>
      </c>
      <c r="C906" s="1" t="s">
        <v>2904</v>
      </c>
      <c r="H906" s="2">
        <f t="shared" si="17"/>
        <v>0</v>
      </c>
      <c r="I906"/>
    </row>
    <row r="907" spans="1:9">
      <c r="A907" s="1" t="s">
        <v>2915</v>
      </c>
      <c r="B907" s="1" t="s">
        <v>153</v>
      </c>
      <c r="C907" s="1" t="s">
        <v>2904</v>
      </c>
      <c r="H907" s="2">
        <f t="shared" si="17"/>
        <v>0</v>
      </c>
      <c r="I907"/>
    </row>
    <row r="908" spans="1:9">
      <c r="A908" s="1" t="s">
        <v>2915</v>
      </c>
      <c r="B908" s="1" t="s">
        <v>154</v>
      </c>
      <c r="C908" s="1" t="s">
        <v>2904</v>
      </c>
      <c r="H908" s="2">
        <f t="shared" si="17"/>
        <v>0</v>
      </c>
      <c r="I908"/>
    </row>
    <row r="909" spans="1:9">
      <c r="A909" s="1" t="s">
        <v>2915</v>
      </c>
      <c r="B909" s="1" t="s">
        <v>155</v>
      </c>
      <c r="C909" s="1" t="s">
        <v>2904</v>
      </c>
      <c r="H909" s="2">
        <f t="shared" si="17"/>
        <v>0</v>
      </c>
      <c r="I909"/>
    </row>
    <row r="910" spans="1:9">
      <c r="A910" s="1" t="s">
        <v>2915</v>
      </c>
      <c r="B910" s="1" t="s">
        <v>156</v>
      </c>
      <c r="C910" s="1" t="s">
        <v>2904</v>
      </c>
      <c r="H910" s="2">
        <f t="shared" si="17"/>
        <v>0</v>
      </c>
      <c r="I910"/>
    </row>
    <row r="911" spans="1:9">
      <c r="A911" s="1" t="s">
        <v>2915</v>
      </c>
      <c r="B911" s="1" t="s">
        <v>157</v>
      </c>
      <c r="C911" s="1" t="s">
        <v>2904</v>
      </c>
      <c r="H911" s="2">
        <f t="shared" si="17"/>
        <v>0</v>
      </c>
      <c r="I911"/>
    </row>
    <row r="912" spans="1:9">
      <c r="A912" s="1" t="s">
        <v>2915</v>
      </c>
      <c r="B912" s="1" t="s">
        <v>158</v>
      </c>
      <c r="C912" s="1" t="s">
        <v>2904</v>
      </c>
      <c r="G912" s="2">
        <v>2830188.68</v>
      </c>
      <c r="H912" s="2">
        <f t="shared" si="17"/>
        <v>2830188.68</v>
      </c>
      <c r="I912"/>
    </row>
    <row r="913" spans="1:9">
      <c r="A913" s="1" t="s">
        <v>2915</v>
      </c>
      <c r="B913" s="1" t="s">
        <v>159</v>
      </c>
      <c r="C913" s="1" t="s">
        <v>2904</v>
      </c>
      <c r="H913" s="2">
        <f t="shared" si="17"/>
        <v>0</v>
      </c>
      <c r="I913"/>
    </row>
    <row r="914" spans="1:9">
      <c r="A914" s="1" t="s">
        <v>2934</v>
      </c>
      <c r="B914" s="1" t="s">
        <v>148</v>
      </c>
      <c r="C914" s="1" t="s">
        <v>2892</v>
      </c>
      <c r="H914" s="2">
        <f t="shared" si="17"/>
        <v>0</v>
      </c>
      <c r="I914"/>
    </row>
    <row r="915" spans="1:9">
      <c r="A915" s="1" t="s">
        <v>2934</v>
      </c>
      <c r="B915" s="1" t="s">
        <v>149</v>
      </c>
      <c r="C915" s="1" t="s">
        <v>2892</v>
      </c>
      <c r="H915" s="2">
        <f t="shared" si="17"/>
        <v>0</v>
      </c>
      <c r="I915"/>
    </row>
    <row r="916" spans="1:9">
      <c r="A916" s="1" t="s">
        <v>2934</v>
      </c>
      <c r="B916" s="1" t="s">
        <v>150</v>
      </c>
      <c r="C916" s="1" t="s">
        <v>2892</v>
      </c>
      <c r="H916" s="2">
        <f t="shared" si="17"/>
        <v>0</v>
      </c>
      <c r="I916"/>
    </row>
    <row r="917" spans="1:9">
      <c r="A917" s="1" t="s">
        <v>2934</v>
      </c>
      <c r="B917" s="1" t="s">
        <v>151</v>
      </c>
      <c r="C917" s="1" t="s">
        <v>2892</v>
      </c>
      <c r="H917" s="2">
        <f t="shared" si="17"/>
        <v>0</v>
      </c>
      <c r="I917"/>
    </row>
    <row r="918" spans="1:9">
      <c r="A918" s="1" t="s">
        <v>2934</v>
      </c>
      <c r="B918" s="1" t="s">
        <v>152</v>
      </c>
      <c r="C918" s="1" t="s">
        <v>2892</v>
      </c>
      <c r="H918" s="2">
        <f t="shared" si="17"/>
        <v>0</v>
      </c>
      <c r="I918"/>
    </row>
    <row r="919" spans="1:9">
      <c r="A919" s="1" t="s">
        <v>2934</v>
      </c>
      <c r="B919" s="1" t="s">
        <v>153</v>
      </c>
      <c r="C919" s="1" t="s">
        <v>2892</v>
      </c>
      <c r="G919" s="18">
        <v>42490</v>
      </c>
      <c r="H919" s="2">
        <f t="shared" si="17"/>
        <v>42490</v>
      </c>
      <c r="I919"/>
    </row>
    <row r="920" spans="1:9">
      <c r="A920" s="1" t="s">
        <v>2934</v>
      </c>
      <c r="B920" s="1" t="s">
        <v>154</v>
      </c>
      <c r="C920" s="1" t="s">
        <v>2892</v>
      </c>
      <c r="G920" s="2">
        <v>12805.55</v>
      </c>
      <c r="H920" s="2">
        <f t="shared" si="17"/>
        <v>12805.55</v>
      </c>
      <c r="I920"/>
    </row>
    <row r="921" spans="1:8">
      <c r="A921" s="1" t="s">
        <v>2934</v>
      </c>
      <c r="B921" s="1" t="s">
        <v>155</v>
      </c>
      <c r="C921" s="1" t="s">
        <v>2892</v>
      </c>
      <c r="G921" s="2">
        <v>41137</v>
      </c>
      <c r="H921" s="2">
        <f t="shared" si="17"/>
        <v>41137</v>
      </c>
    </row>
    <row r="922" spans="1:9">
      <c r="A922" s="1" t="s">
        <v>2934</v>
      </c>
      <c r="B922" s="1" t="s">
        <v>156</v>
      </c>
      <c r="C922" s="1" t="s">
        <v>2892</v>
      </c>
      <c r="H922" s="2">
        <f t="shared" si="17"/>
        <v>0</v>
      </c>
      <c r="I922"/>
    </row>
    <row r="923" spans="1:9">
      <c r="A923" s="1" t="s">
        <v>2934</v>
      </c>
      <c r="B923" s="1" t="s">
        <v>157</v>
      </c>
      <c r="C923" s="1" t="s">
        <v>2892</v>
      </c>
      <c r="H923" s="2">
        <f t="shared" si="17"/>
        <v>0</v>
      </c>
      <c r="I923"/>
    </row>
    <row r="924" spans="1:9">
      <c r="A924" s="1" t="s">
        <v>2934</v>
      </c>
      <c r="B924" s="1" t="s">
        <v>158</v>
      </c>
      <c r="C924" s="1" t="s">
        <v>2892</v>
      </c>
      <c r="H924" s="2">
        <f t="shared" si="17"/>
        <v>0</v>
      </c>
      <c r="I924"/>
    </row>
    <row r="925" spans="1:9">
      <c r="A925" s="1" t="s">
        <v>2934</v>
      </c>
      <c r="B925" s="1" t="s">
        <v>159</v>
      </c>
      <c r="C925" s="1" t="s">
        <v>2892</v>
      </c>
      <c r="H925" s="2">
        <f t="shared" si="17"/>
        <v>0</v>
      </c>
      <c r="I925"/>
    </row>
    <row r="926" spans="1:9">
      <c r="A926" s="1" t="s">
        <v>2934</v>
      </c>
      <c r="B926" s="1" t="s">
        <v>148</v>
      </c>
      <c r="C926" s="1" t="s">
        <v>2899</v>
      </c>
      <c r="H926" s="2">
        <f t="shared" si="17"/>
        <v>0</v>
      </c>
      <c r="I926"/>
    </row>
    <row r="927" spans="1:9">
      <c r="A927" s="1" t="s">
        <v>2934</v>
      </c>
      <c r="B927" s="1" t="s">
        <v>149</v>
      </c>
      <c r="C927" s="1" t="s">
        <v>2899</v>
      </c>
      <c r="H927" s="2">
        <f t="shared" si="17"/>
        <v>0</v>
      </c>
      <c r="I927"/>
    </row>
    <row r="928" spans="1:9">
      <c r="A928" s="1" t="s">
        <v>2934</v>
      </c>
      <c r="B928" s="1" t="s">
        <v>150</v>
      </c>
      <c r="C928" s="1" t="s">
        <v>2899</v>
      </c>
      <c r="H928" s="2">
        <f t="shared" si="17"/>
        <v>0</v>
      </c>
      <c r="I928"/>
    </row>
    <row r="929" spans="1:9">
      <c r="A929" s="1" t="s">
        <v>2934</v>
      </c>
      <c r="B929" s="1" t="s">
        <v>151</v>
      </c>
      <c r="C929" s="1" t="s">
        <v>2899</v>
      </c>
      <c r="H929" s="2">
        <f t="shared" si="17"/>
        <v>0</v>
      </c>
      <c r="I929"/>
    </row>
    <row r="930" spans="1:9">
      <c r="A930" s="1" t="s">
        <v>2934</v>
      </c>
      <c r="B930" s="1" t="s">
        <v>152</v>
      </c>
      <c r="C930" s="1" t="s">
        <v>2899</v>
      </c>
      <c r="H930" s="2">
        <f t="shared" si="17"/>
        <v>0</v>
      </c>
      <c r="I930"/>
    </row>
    <row r="931" spans="1:9">
      <c r="A931" s="1" t="s">
        <v>2934</v>
      </c>
      <c r="B931" s="1" t="s">
        <v>153</v>
      </c>
      <c r="C931" s="1" t="s">
        <v>2899</v>
      </c>
      <c r="G931" s="18">
        <v>41456.28</v>
      </c>
      <c r="H931" s="2">
        <f t="shared" si="17"/>
        <v>41456.28</v>
      </c>
      <c r="I931"/>
    </row>
    <row r="932" spans="1:9">
      <c r="A932" s="1" t="s">
        <v>2934</v>
      </c>
      <c r="B932" s="1" t="s">
        <v>154</v>
      </c>
      <c r="C932" s="1" t="s">
        <v>2899</v>
      </c>
      <c r="G932" s="2">
        <v>12783.07</v>
      </c>
      <c r="H932" s="2">
        <f t="shared" si="17"/>
        <v>12783.07</v>
      </c>
      <c r="I932"/>
    </row>
    <row r="933" spans="1:8">
      <c r="A933" s="1" t="s">
        <v>2934</v>
      </c>
      <c r="B933" s="1" t="s">
        <v>155</v>
      </c>
      <c r="C933" s="1" t="s">
        <v>2899</v>
      </c>
      <c r="G933" s="2">
        <v>40063.16</v>
      </c>
      <c r="H933" s="2">
        <f t="shared" si="17"/>
        <v>40063.16</v>
      </c>
    </row>
    <row r="934" spans="1:9">
      <c r="A934" s="1" t="s">
        <v>2934</v>
      </c>
      <c r="B934" s="1" t="s">
        <v>156</v>
      </c>
      <c r="C934" s="1" t="s">
        <v>2899</v>
      </c>
      <c r="H934" s="2">
        <f t="shared" si="17"/>
        <v>0</v>
      </c>
      <c r="I934"/>
    </row>
    <row r="935" spans="1:9">
      <c r="A935" s="1" t="s">
        <v>2934</v>
      </c>
      <c r="B935" s="1" t="s">
        <v>157</v>
      </c>
      <c r="C935" s="1" t="s">
        <v>2899</v>
      </c>
      <c r="H935" s="2">
        <f t="shared" si="17"/>
        <v>0</v>
      </c>
      <c r="I935"/>
    </row>
    <row r="936" spans="1:9">
      <c r="A936" s="1" t="s">
        <v>2934</v>
      </c>
      <c r="B936" s="1" t="s">
        <v>158</v>
      </c>
      <c r="C936" s="1" t="s">
        <v>2899</v>
      </c>
      <c r="H936" s="2">
        <f t="shared" si="17"/>
        <v>0</v>
      </c>
      <c r="I936"/>
    </row>
    <row r="937" spans="1:9">
      <c r="A937" s="1" t="s">
        <v>2934</v>
      </c>
      <c r="B937" s="1" t="s">
        <v>159</v>
      </c>
      <c r="C937" s="1" t="s">
        <v>2899</v>
      </c>
      <c r="H937" s="2">
        <f t="shared" si="17"/>
        <v>0</v>
      </c>
      <c r="I937"/>
    </row>
    <row r="938" spans="1:9">
      <c r="A938" s="1" t="s">
        <v>2934</v>
      </c>
      <c r="B938" s="1" t="s">
        <v>148</v>
      </c>
      <c r="C938" s="1" t="s">
        <v>2904</v>
      </c>
      <c r="H938" s="2">
        <f t="shared" si="17"/>
        <v>0</v>
      </c>
      <c r="I938"/>
    </row>
    <row r="939" spans="1:9">
      <c r="A939" s="1" t="s">
        <v>2934</v>
      </c>
      <c r="B939" s="1" t="s">
        <v>149</v>
      </c>
      <c r="C939" s="1" t="s">
        <v>2904</v>
      </c>
      <c r="H939" s="2">
        <f t="shared" si="17"/>
        <v>0</v>
      </c>
      <c r="I939"/>
    </row>
    <row r="940" spans="1:9">
      <c r="A940" s="1" t="s">
        <v>2934</v>
      </c>
      <c r="B940" s="1" t="s">
        <v>150</v>
      </c>
      <c r="C940" s="1" t="s">
        <v>2904</v>
      </c>
      <c r="H940" s="2">
        <f t="shared" si="17"/>
        <v>0</v>
      </c>
      <c r="I940"/>
    </row>
    <row r="941" spans="1:9">
      <c r="A941" s="1" t="s">
        <v>2934</v>
      </c>
      <c r="B941" s="1" t="s">
        <v>151</v>
      </c>
      <c r="C941" s="1" t="s">
        <v>2904</v>
      </c>
      <c r="H941" s="2">
        <f t="shared" si="17"/>
        <v>0</v>
      </c>
      <c r="I941"/>
    </row>
    <row r="942" spans="1:9">
      <c r="A942" s="1" t="s">
        <v>2934</v>
      </c>
      <c r="B942" s="1" t="s">
        <v>152</v>
      </c>
      <c r="C942" s="1" t="s">
        <v>2904</v>
      </c>
      <c r="H942" s="2">
        <f t="shared" si="17"/>
        <v>0</v>
      </c>
      <c r="I942"/>
    </row>
    <row r="943" spans="1:9">
      <c r="A943" s="1" t="s">
        <v>2934</v>
      </c>
      <c r="B943" s="1" t="s">
        <v>153</v>
      </c>
      <c r="C943" s="1" t="s">
        <v>2904</v>
      </c>
      <c r="H943" s="2">
        <f t="shared" si="17"/>
        <v>0</v>
      </c>
      <c r="I943"/>
    </row>
    <row r="944" spans="1:9">
      <c r="A944" s="1" t="s">
        <v>2934</v>
      </c>
      <c r="B944" s="1" t="s">
        <v>154</v>
      </c>
      <c r="C944" s="1" t="s">
        <v>2904</v>
      </c>
      <c r="H944" s="2">
        <f t="shared" si="17"/>
        <v>0</v>
      </c>
      <c r="I944"/>
    </row>
    <row r="945" spans="1:9">
      <c r="A945" s="1" t="s">
        <v>2934</v>
      </c>
      <c r="B945" s="1" t="s">
        <v>155</v>
      </c>
      <c r="C945" s="1" t="s">
        <v>2904</v>
      </c>
      <c r="G945" s="2">
        <v>33.91</v>
      </c>
      <c r="H945" s="2">
        <f t="shared" si="17"/>
        <v>33.91</v>
      </c>
      <c r="I945"/>
    </row>
    <row r="946" spans="1:9">
      <c r="A946" s="1" t="s">
        <v>2934</v>
      </c>
      <c r="B946" s="1" t="s">
        <v>156</v>
      </c>
      <c r="C946" s="1" t="s">
        <v>2904</v>
      </c>
      <c r="G946" s="2">
        <v>203.6</v>
      </c>
      <c r="H946" s="2">
        <f t="shared" si="17"/>
        <v>203.6</v>
      </c>
      <c r="I946"/>
    </row>
    <row r="947" spans="1:9">
      <c r="A947" s="1" t="s">
        <v>2934</v>
      </c>
      <c r="B947" s="1" t="s">
        <v>157</v>
      </c>
      <c r="C947" s="1" t="s">
        <v>2904</v>
      </c>
      <c r="G947" s="2">
        <v>39.07</v>
      </c>
      <c r="H947" s="2">
        <f t="shared" si="17"/>
        <v>39.07</v>
      </c>
      <c r="I947"/>
    </row>
    <row r="948" spans="1:9">
      <c r="A948" s="1" t="s">
        <v>2934</v>
      </c>
      <c r="B948" s="1" t="s">
        <v>158</v>
      </c>
      <c r="C948" s="1" t="s">
        <v>2904</v>
      </c>
      <c r="G948" s="2">
        <v>17.45</v>
      </c>
      <c r="H948" s="2">
        <f t="shared" si="17"/>
        <v>17.45</v>
      </c>
      <c r="I948"/>
    </row>
    <row r="949" spans="1:9">
      <c r="A949" s="1" t="s">
        <v>2934</v>
      </c>
      <c r="B949" s="1" t="s">
        <v>159</v>
      </c>
      <c r="C949" s="1" t="s">
        <v>2904</v>
      </c>
      <c r="G949" s="2">
        <v>-294.03</v>
      </c>
      <c r="H949" s="2">
        <f t="shared" si="17"/>
        <v>-294.03</v>
      </c>
      <c r="I949"/>
    </row>
    <row r="950" spans="1:9">
      <c r="A950" s="1" t="s">
        <v>2935</v>
      </c>
      <c r="B950" s="1" t="s">
        <v>148</v>
      </c>
      <c r="C950" s="1" t="s">
        <v>2896</v>
      </c>
      <c r="H950" s="2">
        <f t="shared" si="17"/>
        <v>0</v>
      </c>
      <c r="I950"/>
    </row>
    <row r="951" spans="1:9">
      <c r="A951" s="1" t="s">
        <v>2935</v>
      </c>
      <c r="B951" s="1" t="s">
        <v>149</v>
      </c>
      <c r="C951" s="1" t="s">
        <v>2896</v>
      </c>
      <c r="H951" s="2">
        <f t="shared" si="17"/>
        <v>0</v>
      </c>
      <c r="I951"/>
    </row>
    <row r="952" spans="1:9">
      <c r="A952" s="1" t="s">
        <v>2935</v>
      </c>
      <c r="B952" s="1" t="s">
        <v>150</v>
      </c>
      <c r="C952" s="1" t="s">
        <v>2896</v>
      </c>
      <c r="H952" s="2">
        <f t="shared" si="17"/>
        <v>0</v>
      </c>
      <c r="I952"/>
    </row>
    <row r="953" spans="1:9">
      <c r="A953" s="1" t="s">
        <v>2935</v>
      </c>
      <c r="B953" s="1" t="s">
        <v>151</v>
      </c>
      <c r="C953" s="1" t="s">
        <v>2896</v>
      </c>
      <c r="H953" s="2">
        <f t="shared" si="17"/>
        <v>0</v>
      </c>
      <c r="I953"/>
    </row>
    <row r="954" spans="1:9">
      <c r="A954" s="1" t="s">
        <v>2935</v>
      </c>
      <c r="B954" s="1" t="s">
        <v>152</v>
      </c>
      <c r="C954" s="1" t="s">
        <v>2896</v>
      </c>
      <c r="H954" s="2">
        <f t="shared" si="17"/>
        <v>0</v>
      </c>
      <c r="I954"/>
    </row>
    <row r="955" spans="1:9">
      <c r="A955" s="1" t="s">
        <v>2935</v>
      </c>
      <c r="B955" s="1" t="s">
        <v>153</v>
      </c>
      <c r="C955" s="1" t="s">
        <v>2896</v>
      </c>
      <c r="H955" s="2">
        <f t="shared" si="17"/>
        <v>0</v>
      </c>
      <c r="I955"/>
    </row>
    <row r="956" spans="1:9">
      <c r="A956" s="1" t="s">
        <v>2935</v>
      </c>
      <c r="B956" s="1" t="s">
        <v>154</v>
      </c>
      <c r="C956" s="1" t="s">
        <v>2896</v>
      </c>
      <c r="H956" s="2">
        <f t="shared" si="17"/>
        <v>0</v>
      </c>
      <c r="I956"/>
    </row>
    <row r="957" spans="1:9">
      <c r="A957" s="1" t="s">
        <v>2935</v>
      </c>
      <c r="B957" s="1" t="s">
        <v>155</v>
      </c>
      <c r="C957" s="1" t="s">
        <v>2896</v>
      </c>
      <c r="H957" s="2">
        <f t="shared" si="17"/>
        <v>0</v>
      </c>
      <c r="I957"/>
    </row>
    <row r="958" spans="1:9">
      <c r="A958" s="1" t="s">
        <v>2935</v>
      </c>
      <c r="B958" s="1" t="s">
        <v>156</v>
      </c>
      <c r="C958" s="1" t="s">
        <v>2896</v>
      </c>
      <c r="H958" s="2">
        <f t="shared" si="17"/>
        <v>0</v>
      </c>
      <c r="I958"/>
    </row>
    <row r="959" spans="1:9">
      <c r="A959" s="1" t="s">
        <v>2935</v>
      </c>
      <c r="B959" s="1" t="s">
        <v>157</v>
      </c>
      <c r="C959" s="1" t="s">
        <v>2896</v>
      </c>
      <c r="H959" s="2">
        <f t="shared" si="17"/>
        <v>0</v>
      </c>
      <c r="I959"/>
    </row>
    <row r="960" spans="1:9">
      <c r="A960" s="1" t="s">
        <v>2935</v>
      </c>
      <c r="B960" s="1" t="s">
        <v>158</v>
      </c>
      <c r="C960" s="1" t="s">
        <v>2896</v>
      </c>
      <c r="D960" s="2">
        <v>0</v>
      </c>
      <c r="F960" s="2">
        <v>18206908.22</v>
      </c>
      <c r="G960" s="2">
        <v>0</v>
      </c>
      <c r="H960" s="2">
        <f t="shared" si="17"/>
        <v>18206908.22</v>
      </c>
      <c r="I960"/>
    </row>
    <row r="961" spans="1:9">
      <c r="A961" s="1" t="s">
        <v>2935</v>
      </c>
      <c r="B961" s="1" t="s">
        <v>159</v>
      </c>
      <c r="C961" s="1" t="s">
        <v>2896</v>
      </c>
      <c r="F961" s="2">
        <v>3704159.54</v>
      </c>
      <c r="H961" s="2">
        <f t="shared" si="17"/>
        <v>3704159.54</v>
      </c>
      <c r="I961"/>
    </row>
    <row r="962" spans="1:9">
      <c r="A962" s="1" t="s">
        <v>2935</v>
      </c>
      <c r="B962" s="1" t="s">
        <v>148</v>
      </c>
      <c r="C962" s="1" t="s">
        <v>2893</v>
      </c>
      <c r="H962" s="2">
        <f t="shared" ref="H962:H1025" si="18">SUM(D962:G962)</f>
        <v>0</v>
      </c>
      <c r="I962"/>
    </row>
    <row r="963" spans="1:9">
      <c r="A963" s="1" t="s">
        <v>2935</v>
      </c>
      <c r="B963" s="1" t="s">
        <v>149</v>
      </c>
      <c r="C963" s="1" t="s">
        <v>2893</v>
      </c>
      <c r="H963" s="2">
        <f t="shared" si="18"/>
        <v>0</v>
      </c>
      <c r="I963"/>
    </row>
    <row r="964" spans="1:9">
      <c r="A964" s="1" t="s">
        <v>2935</v>
      </c>
      <c r="B964" s="1" t="s">
        <v>150</v>
      </c>
      <c r="C964" s="1" t="s">
        <v>2893</v>
      </c>
      <c r="H964" s="2">
        <f t="shared" si="18"/>
        <v>0</v>
      </c>
      <c r="I964"/>
    </row>
    <row r="965" spans="1:9">
      <c r="A965" s="1" t="s">
        <v>2935</v>
      </c>
      <c r="B965" s="1" t="s">
        <v>151</v>
      </c>
      <c r="C965" s="1" t="s">
        <v>2893</v>
      </c>
      <c r="H965" s="2">
        <f t="shared" si="18"/>
        <v>0</v>
      </c>
      <c r="I965"/>
    </row>
    <row r="966" spans="1:9">
      <c r="A966" s="1" t="s">
        <v>2935</v>
      </c>
      <c r="B966" s="1" t="s">
        <v>152</v>
      </c>
      <c r="C966" s="1" t="s">
        <v>2893</v>
      </c>
      <c r="H966" s="2">
        <f t="shared" si="18"/>
        <v>0</v>
      </c>
      <c r="I966"/>
    </row>
    <row r="967" spans="1:9">
      <c r="A967" s="1" t="s">
        <v>2935</v>
      </c>
      <c r="B967" s="1" t="s">
        <v>153</v>
      </c>
      <c r="C967" s="1" t="s">
        <v>2893</v>
      </c>
      <c r="H967" s="2">
        <f t="shared" si="18"/>
        <v>0</v>
      </c>
      <c r="I967"/>
    </row>
    <row r="968" spans="1:9">
      <c r="A968" s="1" t="s">
        <v>2935</v>
      </c>
      <c r="B968" s="1" t="s">
        <v>154</v>
      </c>
      <c r="C968" s="1" t="s">
        <v>2893</v>
      </c>
      <c r="H968" s="2">
        <f t="shared" si="18"/>
        <v>0</v>
      </c>
      <c r="I968"/>
    </row>
    <row r="969" spans="1:9">
      <c r="A969" s="1" t="s">
        <v>2935</v>
      </c>
      <c r="B969" s="1" t="s">
        <v>155</v>
      </c>
      <c r="C969" s="1" t="s">
        <v>2893</v>
      </c>
      <c r="H969" s="2">
        <f t="shared" si="18"/>
        <v>0</v>
      </c>
      <c r="I969"/>
    </row>
    <row r="970" spans="1:9">
      <c r="A970" s="1" t="s">
        <v>2935</v>
      </c>
      <c r="B970" s="1" t="s">
        <v>156</v>
      </c>
      <c r="C970" s="1" t="s">
        <v>2893</v>
      </c>
      <c r="H970" s="2">
        <f t="shared" si="18"/>
        <v>0</v>
      </c>
      <c r="I970"/>
    </row>
    <row r="971" spans="1:9">
      <c r="A971" s="1" t="s">
        <v>2935</v>
      </c>
      <c r="B971" s="1" t="s">
        <v>157</v>
      </c>
      <c r="C971" s="1" t="s">
        <v>2893</v>
      </c>
      <c r="H971" s="2">
        <f t="shared" si="18"/>
        <v>0</v>
      </c>
      <c r="I971"/>
    </row>
    <row r="972" spans="1:9">
      <c r="A972" s="1" t="s">
        <v>2935</v>
      </c>
      <c r="B972" s="1" t="s">
        <v>158</v>
      </c>
      <c r="C972" s="1" t="s">
        <v>2893</v>
      </c>
      <c r="D972" s="2">
        <v>0</v>
      </c>
      <c r="F972" s="2">
        <v>18027895.35</v>
      </c>
      <c r="G972" s="2">
        <v>0</v>
      </c>
      <c r="H972" s="2">
        <f t="shared" si="18"/>
        <v>18027895.35</v>
      </c>
      <c r="I972"/>
    </row>
    <row r="973" spans="1:9">
      <c r="A973" s="1" t="s">
        <v>2935</v>
      </c>
      <c r="B973" s="1" t="s">
        <v>159</v>
      </c>
      <c r="C973" s="1" t="s">
        <v>2893</v>
      </c>
      <c r="F973" s="2">
        <v>3648638.38</v>
      </c>
      <c r="H973" s="2">
        <f t="shared" si="18"/>
        <v>3648638.38</v>
      </c>
      <c r="I973"/>
    </row>
    <row r="974" spans="1:9">
      <c r="A974" s="1" t="s">
        <v>2935</v>
      </c>
      <c r="B974" s="1" t="s">
        <v>148</v>
      </c>
      <c r="C974" s="1" t="s">
        <v>2904</v>
      </c>
      <c r="H974" s="2">
        <f t="shared" si="18"/>
        <v>0</v>
      </c>
      <c r="I974"/>
    </row>
    <row r="975" spans="1:9">
      <c r="A975" s="1" t="s">
        <v>2935</v>
      </c>
      <c r="B975" s="1" t="s">
        <v>149</v>
      </c>
      <c r="C975" s="1" t="s">
        <v>2904</v>
      </c>
      <c r="H975" s="2">
        <f t="shared" si="18"/>
        <v>0</v>
      </c>
      <c r="I975"/>
    </row>
    <row r="976" spans="1:9">
      <c r="A976" s="1" t="s">
        <v>2935</v>
      </c>
      <c r="B976" s="1" t="s">
        <v>150</v>
      </c>
      <c r="C976" s="1" t="s">
        <v>2904</v>
      </c>
      <c r="H976" s="2">
        <f t="shared" si="18"/>
        <v>0</v>
      </c>
      <c r="I976"/>
    </row>
    <row r="977" spans="1:9">
      <c r="A977" s="1" t="s">
        <v>2935</v>
      </c>
      <c r="B977" s="1" t="s">
        <v>151</v>
      </c>
      <c r="C977" s="1" t="s">
        <v>2904</v>
      </c>
      <c r="H977" s="2">
        <f t="shared" si="18"/>
        <v>0</v>
      </c>
      <c r="I977"/>
    </row>
    <row r="978" spans="1:9">
      <c r="A978" s="1" t="s">
        <v>2935</v>
      </c>
      <c r="B978" s="1" t="s">
        <v>152</v>
      </c>
      <c r="C978" s="1" t="s">
        <v>2904</v>
      </c>
      <c r="H978" s="2">
        <f t="shared" si="18"/>
        <v>0</v>
      </c>
      <c r="I978"/>
    </row>
    <row r="979" spans="1:9">
      <c r="A979" s="1" t="s">
        <v>2935</v>
      </c>
      <c r="B979" s="1" t="s">
        <v>153</v>
      </c>
      <c r="C979" s="1" t="s">
        <v>2904</v>
      </c>
      <c r="H979" s="2">
        <f t="shared" si="18"/>
        <v>0</v>
      </c>
      <c r="I979"/>
    </row>
    <row r="980" spans="1:9">
      <c r="A980" s="1" t="s">
        <v>2935</v>
      </c>
      <c r="B980" s="1" t="s">
        <v>154</v>
      </c>
      <c r="C980" s="1" t="s">
        <v>2904</v>
      </c>
      <c r="H980" s="2">
        <f t="shared" si="18"/>
        <v>0</v>
      </c>
      <c r="I980"/>
    </row>
    <row r="981" spans="1:9">
      <c r="A981" s="1" t="s">
        <v>2935</v>
      </c>
      <c r="B981" s="1" t="s">
        <v>155</v>
      </c>
      <c r="C981" s="1" t="s">
        <v>2904</v>
      </c>
      <c r="H981" s="2">
        <f t="shared" si="18"/>
        <v>0</v>
      </c>
      <c r="I981"/>
    </row>
    <row r="982" spans="1:9">
      <c r="A982" s="1" t="s">
        <v>2935</v>
      </c>
      <c r="B982" s="1" t="s">
        <v>156</v>
      </c>
      <c r="C982" s="1" t="s">
        <v>2904</v>
      </c>
      <c r="H982" s="2">
        <f t="shared" si="18"/>
        <v>0</v>
      </c>
      <c r="I982"/>
    </row>
    <row r="983" spans="1:9">
      <c r="A983" s="1" t="s">
        <v>2935</v>
      </c>
      <c r="B983" s="1" t="s">
        <v>157</v>
      </c>
      <c r="C983" s="1" t="s">
        <v>2904</v>
      </c>
      <c r="H983" s="2">
        <f t="shared" si="18"/>
        <v>0</v>
      </c>
      <c r="I983"/>
    </row>
    <row r="984" spans="1:9">
      <c r="A984" s="1" t="s">
        <v>2935</v>
      </c>
      <c r="B984" s="1" t="s">
        <v>158</v>
      </c>
      <c r="C984" s="1" t="s">
        <v>2904</v>
      </c>
      <c r="G984" s="2">
        <v>16677400</v>
      </c>
      <c r="H984" s="2">
        <f t="shared" si="18"/>
        <v>16677400</v>
      </c>
      <c r="I984"/>
    </row>
    <row r="985" spans="1:9">
      <c r="A985" s="1" t="s">
        <v>2935</v>
      </c>
      <c r="B985" s="1" t="s">
        <v>159</v>
      </c>
      <c r="C985" s="1" t="s">
        <v>2904</v>
      </c>
      <c r="G985" s="2">
        <v>19261330.37</v>
      </c>
      <c r="H985" s="2">
        <f t="shared" si="18"/>
        <v>19261330.37</v>
      </c>
      <c r="I985"/>
    </row>
    <row r="986" spans="1:9">
      <c r="A986" s="1" t="s">
        <v>2935</v>
      </c>
      <c r="B986" s="1" t="s">
        <v>148</v>
      </c>
      <c r="C986" s="1" t="s">
        <v>2926</v>
      </c>
      <c r="H986" s="2">
        <f t="shared" si="18"/>
        <v>0</v>
      </c>
      <c r="I986"/>
    </row>
    <row r="987" spans="1:9">
      <c r="A987" s="1" t="s">
        <v>2935</v>
      </c>
      <c r="B987" s="1" t="s">
        <v>149</v>
      </c>
      <c r="C987" s="1" t="s">
        <v>2926</v>
      </c>
      <c r="H987" s="2">
        <f t="shared" si="18"/>
        <v>0</v>
      </c>
      <c r="I987"/>
    </row>
    <row r="988" spans="1:9">
      <c r="A988" s="1" t="s">
        <v>2935</v>
      </c>
      <c r="B988" s="1" t="s">
        <v>150</v>
      </c>
      <c r="C988" s="1" t="s">
        <v>2926</v>
      </c>
      <c r="H988" s="2">
        <f t="shared" si="18"/>
        <v>0</v>
      </c>
      <c r="I988"/>
    </row>
    <row r="989" spans="1:9">
      <c r="A989" s="1" t="s">
        <v>2935</v>
      </c>
      <c r="B989" s="1" t="s">
        <v>151</v>
      </c>
      <c r="C989" s="1" t="s">
        <v>2926</v>
      </c>
      <c r="H989" s="2">
        <f t="shared" si="18"/>
        <v>0</v>
      </c>
      <c r="I989"/>
    </row>
    <row r="990" spans="1:9">
      <c r="A990" s="1" t="s">
        <v>2935</v>
      </c>
      <c r="B990" s="1" t="s">
        <v>152</v>
      </c>
      <c r="C990" s="1" t="s">
        <v>2926</v>
      </c>
      <c r="H990" s="2">
        <f t="shared" si="18"/>
        <v>0</v>
      </c>
      <c r="I990"/>
    </row>
    <row r="991" spans="1:9">
      <c r="A991" s="1" t="s">
        <v>2935</v>
      </c>
      <c r="B991" s="1" t="s">
        <v>153</v>
      </c>
      <c r="C991" s="1" t="s">
        <v>2926</v>
      </c>
      <c r="H991" s="2">
        <f t="shared" si="18"/>
        <v>0</v>
      </c>
      <c r="I991"/>
    </row>
    <row r="992" spans="1:9">
      <c r="A992" s="1" t="s">
        <v>2935</v>
      </c>
      <c r="B992" s="1" t="s">
        <v>154</v>
      </c>
      <c r="C992" s="1" t="s">
        <v>2926</v>
      </c>
      <c r="H992" s="2">
        <f t="shared" si="18"/>
        <v>0</v>
      </c>
      <c r="I992"/>
    </row>
    <row r="993" spans="1:9">
      <c r="A993" s="1" t="s">
        <v>2935</v>
      </c>
      <c r="B993" s="1" t="s">
        <v>155</v>
      </c>
      <c r="C993" s="1" t="s">
        <v>2926</v>
      </c>
      <c r="H993" s="2">
        <f t="shared" si="18"/>
        <v>0</v>
      </c>
      <c r="I993"/>
    </row>
    <row r="994" spans="1:9">
      <c r="A994" s="1" t="s">
        <v>2935</v>
      </c>
      <c r="B994" s="1" t="s">
        <v>156</v>
      </c>
      <c r="C994" s="1" t="s">
        <v>2926</v>
      </c>
      <c r="H994" s="2">
        <f t="shared" si="18"/>
        <v>0</v>
      </c>
      <c r="I994"/>
    </row>
    <row r="995" spans="1:9">
      <c r="A995" s="1" t="s">
        <v>2935</v>
      </c>
      <c r="B995" s="1" t="s">
        <v>157</v>
      </c>
      <c r="C995" s="1" t="s">
        <v>2926</v>
      </c>
      <c r="H995" s="2">
        <f t="shared" si="18"/>
        <v>0</v>
      </c>
      <c r="I995"/>
    </row>
    <row r="996" spans="1:9">
      <c r="A996" s="1" t="s">
        <v>2935</v>
      </c>
      <c r="B996" s="1" t="s">
        <v>158</v>
      </c>
      <c r="C996" s="1" t="s">
        <v>2926</v>
      </c>
      <c r="G996" s="2">
        <v>16358043.52</v>
      </c>
      <c r="H996" s="2">
        <f t="shared" si="18"/>
        <v>16358043.52</v>
      </c>
      <c r="I996"/>
    </row>
    <row r="997" spans="1:9">
      <c r="A997" s="1" t="s">
        <v>2935</v>
      </c>
      <c r="B997" s="1" t="s">
        <v>159</v>
      </c>
      <c r="C997" s="1" t="s">
        <v>2926</v>
      </c>
      <c r="G997" s="2">
        <v>19150225.97</v>
      </c>
      <c r="H997" s="2">
        <f t="shared" si="18"/>
        <v>19150225.97</v>
      </c>
      <c r="I997"/>
    </row>
    <row r="998" spans="1:9">
      <c r="A998" s="1" t="s">
        <v>2918</v>
      </c>
      <c r="B998" s="1" t="s">
        <v>148</v>
      </c>
      <c r="C998" s="1" t="s">
        <v>2903</v>
      </c>
      <c r="H998" s="2">
        <f t="shared" si="18"/>
        <v>0</v>
      </c>
      <c r="I998"/>
    </row>
    <row r="999" spans="1:9">
      <c r="A999" s="1" t="s">
        <v>2918</v>
      </c>
      <c r="B999" s="1" t="s">
        <v>149</v>
      </c>
      <c r="C999" s="1" t="s">
        <v>2903</v>
      </c>
      <c r="H999" s="2">
        <f t="shared" si="18"/>
        <v>0</v>
      </c>
      <c r="I999"/>
    </row>
    <row r="1000" spans="1:9">
      <c r="A1000" s="1" t="s">
        <v>2918</v>
      </c>
      <c r="B1000" s="1" t="s">
        <v>150</v>
      </c>
      <c r="C1000" s="1" t="s">
        <v>2903</v>
      </c>
      <c r="H1000" s="2">
        <f t="shared" si="18"/>
        <v>0</v>
      </c>
      <c r="I1000"/>
    </row>
    <row r="1001" spans="1:9">
      <c r="A1001" s="1" t="s">
        <v>2918</v>
      </c>
      <c r="B1001" s="1" t="s">
        <v>151</v>
      </c>
      <c r="C1001" s="1" t="s">
        <v>2903</v>
      </c>
      <c r="H1001" s="2">
        <f t="shared" si="18"/>
        <v>0</v>
      </c>
      <c r="I1001"/>
    </row>
    <row r="1002" spans="1:9">
      <c r="A1002" s="1" t="s">
        <v>2918</v>
      </c>
      <c r="B1002" s="1" t="s">
        <v>152</v>
      </c>
      <c r="C1002" s="1" t="s">
        <v>2903</v>
      </c>
      <c r="H1002" s="2">
        <f t="shared" si="18"/>
        <v>0</v>
      </c>
      <c r="I1002"/>
    </row>
    <row r="1003" spans="1:9">
      <c r="A1003" s="1" t="s">
        <v>2918</v>
      </c>
      <c r="B1003" s="1" t="s">
        <v>153</v>
      </c>
      <c r="C1003" s="1" t="s">
        <v>2903</v>
      </c>
      <c r="H1003" s="2">
        <f t="shared" si="18"/>
        <v>0</v>
      </c>
      <c r="I1003"/>
    </row>
    <row r="1004" spans="1:9">
      <c r="A1004" s="1" t="s">
        <v>2918</v>
      </c>
      <c r="B1004" s="1" t="s">
        <v>154</v>
      </c>
      <c r="C1004" s="1" t="s">
        <v>2903</v>
      </c>
      <c r="H1004" s="2">
        <f t="shared" si="18"/>
        <v>0</v>
      </c>
      <c r="I1004"/>
    </row>
    <row r="1005" spans="1:8">
      <c r="A1005" s="1" t="s">
        <v>2918</v>
      </c>
      <c r="B1005" s="1" t="s">
        <v>155</v>
      </c>
      <c r="C1005" s="1" t="s">
        <v>2903</v>
      </c>
      <c r="H1005" s="2">
        <f t="shared" si="18"/>
        <v>0</v>
      </c>
    </row>
    <row r="1006" spans="1:9">
      <c r="A1006" s="1" t="s">
        <v>2918</v>
      </c>
      <c r="B1006" s="1" t="s">
        <v>156</v>
      </c>
      <c r="C1006" s="1" t="s">
        <v>2903</v>
      </c>
      <c r="H1006" s="2">
        <f t="shared" si="18"/>
        <v>0</v>
      </c>
      <c r="I1006"/>
    </row>
    <row r="1007" spans="1:9">
      <c r="A1007" s="1" t="s">
        <v>2918</v>
      </c>
      <c r="B1007" s="1" t="s">
        <v>157</v>
      </c>
      <c r="C1007" s="1" t="s">
        <v>2903</v>
      </c>
      <c r="H1007" s="2">
        <f t="shared" si="18"/>
        <v>0</v>
      </c>
      <c r="I1007"/>
    </row>
    <row r="1008" spans="1:9">
      <c r="A1008" s="1" t="s">
        <v>2918</v>
      </c>
      <c r="B1008" s="1" t="s">
        <v>158</v>
      </c>
      <c r="C1008" s="1" t="s">
        <v>2903</v>
      </c>
      <c r="H1008" s="2">
        <f t="shared" si="18"/>
        <v>0</v>
      </c>
      <c r="I1008"/>
    </row>
    <row r="1009" spans="1:9">
      <c r="A1009" s="1" t="s">
        <v>2918</v>
      </c>
      <c r="B1009" s="1" t="s">
        <v>159</v>
      </c>
      <c r="C1009" s="1" t="s">
        <v>2903</v>
      </c>
      <c r="H1009" s="2">
        <f t="shared" si="18"/>
        <v>0</v>
      </c>
      <c r="I1009"/>
    </row>
    <row r="1010" spans="1:9">
      <c r="A1010" s="1" t="s">
        <v>2918</v>
      </c>
      <c r="B1010" s="1" t="s">
        <v>148</v>
      </c>
      <c r="C1010" s="1" t="s">
        <v>2907</v>
      </c>
      <c r="G1010" s="2">
        <v>279513.74</v>
      </c>
      <c r="H1010" s="2">
        <f t="shared" si="18"/>
        <v>279513.74</v>
      </c>
      <c r="I1010"/>
    </row>
    <row r="1011" spans="1:9">
      <c r="A1011" s="1" t="s">
        <v>2918</v>
      </c>
      <c r="B1011" s="1" t="s">
        <v>149</v>
      </c>
      <c r="C1011" s="1" t="s">
        <v>2907</v>
      </c>
      <c r="G1011" s="2">
        <v>204814.33</v>
      </c>
      <c r="H1011" s="2">
        <f t="shared" si="18"/>
        <v>204814.33</v>
      </c>
      <c r="I1011"/>
    </row>
    <row r="1012" spans="1:9">
      <c r="A1012" s="1" t="s">
        <v>2918</v>
      </c>
      <c r="B1012" s="1" t="s">
        <v>150</v>
      </c>
      <c r="C1012" s="1" t="s">
        <v>2907</v>
      </c>
      <c r="G1012" s="2">
        <v>1260384.25</v>
      </c>
      <c r="H1012" s="2">
        <f t="shared" si="18"/>
        <v>1260384.25</v>
      </c>
      <c r="I1012"/>
    </row>
    <row r="1013" spans="1:9">
      <c r="A1013" s="1" t="s">
        <v>2918</v>
      </c>
      <c r="B1013" s="1" t="s">
        <v>151</v>
      </c>
      <c r="C1013" s="1" t="s">
        <v>2907</v>
      </c>
      <c r="G1013" s="2">
        <v>2486578.25</v>
      </c>
      <c r="H1013" s="2">
        <f t="shared" si="18"/>
        <v>2486578.25</v>
      </c>
      <c r="I1013"/>
    </row>
    <row r="1014" spans="1:9">
      <c r="A1014" s="1" t="s">
        <v>2918</v>
      </c>
      <c r="B1014" s="1" t="s">
        <v>152</v>
      </c>
      <c r="C1014" s="1" t="s">
        <v>2907</v>
      </c>
      <c r="G1014" s="2">
        <v>1127299.5</v>
      </c>
      <c r="H1014" s="2">
        <f t="shared" si="18"/>
        <v>1127299.5</v>
      </c>
      <c r="I1014"/>
    </row>
    <row r="1015" spans="1:9">
      <c r="A1015" s="1" t="s">
        <v>2918</v>
      </c>
      <c r="B1015" s="1" t="s">
        <v>153</v>
      </c>
      <c r="C1015" s="1" t="s">
        <v>2907</v>
      </c>
      <c r="G1015" s="2">
        <v>330040.29</v>
      </c>
      <c r="H1015" s="2">
        <f t="shared" si="18"/>
        <v>330040.29</v>
      </c>
      <c r="I1015"/>
    </row>
    <row r="1016" spans="1:9">
      <c r="A1016" s="1" t="s">
        <v>2918</v>
      </c>
      <c r="B1016" s="1" t="s">
        <v>154</v>
      </c>
      <c r="C1016" s="1" t="s">
        <v>2907</v>
      </c>
      <c r="G1016" s="2">
        <v>3757879.49</v>
      </c>
      <c r="H1016" s="2">
        <f t="shared" si="18"/>
        <v>3757879.49</v>
      </c>
      <c r="I1016"/>
    </row>
    <row r="1017" spans="1:8">
      <c r="A1017" s="1" t="s">
        <v>2918</v>
      </c>
      <c r="B1017" s="1" t="s">
        <v>155</v>
      </c>
      <c r="C1017" s="1" t="s">
        <v>2907</v>
      </c>
      <c r="G1017" s="2">
        <v>29886.22</v>
      </c>
      <c r="H1017" s="2">
        <f t="shared" si="18"/>
        <v>29886.22</v>
      </c>
    </row>
    <row r="1018" spans="1:9">
      <c r="A1018" s="1" t="s">
        <v>2918</v>
      </c>
      <c r="B1018" s="1" t="s">
        <v>156</v>
      </c>
      <c r="C1018" s="1" t="s">
        <v>2907</v>
      </c>
      <c r="G1018" s="2">
        <v>368749.81</v>
      </c>
      <c r="H1018" s="2">
        <f t="shared" si="18"/>
        <v>368749.81</v>
      </c>
      <c r="I1018"/>
    </row>
    <row r="1019" spans="1:9">
      <c r="A1019" s="1" t="s">
        <v>2918</v>
      </c>
      <c r="B1019" s="1" t="s">
        <v>157</v>
      </c>
      <c r="C1019" s="1" t="s">
        <v>2907</v>
      </c>
      <c r="G1019" s="2">
        <v>774368.17</v>
      </c>
      <c r="H1019" s="2">
        <f t="shared" si="18"/>
        <v>774368.17</v>
      </c>
      <c r="I1019"/>
    </row>
    <row r="1020" spans="1:9">
      <c r="A1020" s="1" t="s">
        <v>2918</v>
      </c>
      <c r="B1020" s="1" t="s">
        <v>158</v>
      </c>
      <c r="C1020" s="1" t="s">
        <v>2907</v>
      </c>
      <c r="G1020" s="2">
        <v>19658288.87</v>
      </c>
      <c r="H1020" s="2">
        <f t="shared" si="18"/>
        <v>19658288.87</v>
      </c>
      <c r="I1020"/>
    </row>
    <row r="1021" spans="1:9">
      <c r="A1021" s="1" t="s">
        <v>2918</v>
      </c>
      <c r="B1021" s="1" t="s">
        <v>159</v>
      </c>
      <c r="C1021" s="1" t="s">
        <v>2907</v>
      </c>
      <c r="G1021" s="2">
        <v>174681.51</v>
      </c>
      <c r="H1021" s="2">
        <f t="shared" si="18"/>
        <v>174681.51</v>
      </c>
      <c r="I1021"/>
    </row>
    <row r="1022" spans="1:9">
      <c r="A1022" s="1" t="s">
        <v>2918</v>
      </c>
      <c r="B1022" s="1" t="s">
        <v>148</v>
      </c>
      <c r="C1022" s="1" t="s">
        <v>2933</v>
      </c>
      <c r="G1022" s="2">
        <v>207938.27</v>
      </c>
      <c r="H1022" s="2">
        <f t="shared" si="18"/>
        <v>207938.27</v>
      </c>
      <c r="I1022"/>
    </row>
    <row r="1023" spans="1:9">
      <c r="A1023" s="1" t="s">
        <v>2918</v>
      </c>
      <c r="B1023" s="1" t="s">
        <v>149</v>
      </c>
      <c r="C1023" s="1" t="s">
        <v>2933</v>
      </c>
      <c r="G1023" s="2">
        <v>204814.33</v>
      </c>
      <c r="H1023" s="2">
        <f t="shared" si="18"/>
        <v>204814.33</v>
      </c>
      <c r="I1023"/>
    </row>
    <row r="1024" spans="1:9">
      <c r="A1024" s="1" t="s">
        <v>2918</v>
      </c>
      <c r="B1024" s="1" t="s">
        <v>150</v>
      </c>
      <c r="C1024" s="1" t="s">
        <v>2933</v>
      </c>
      <c r="G1024" s="2">
        <v>1260384.25</v>
      </c>
      <c r="H1024" s="2">
        <f t="shared" si="18"/>
        <v>1260384.25</v>
      </c>
      <c r="I1024"/>
    </row>
    <row r="1025" spans="1:9">
      <c r="A1025" s="1" t="s">
        <v>2918</v>
      </c>
      <c r="B1025" s="1" t="s">
        <v>151</v>
      </c>
      <c r="C1025" s="1" t="s">
        <v>2933</v>
      </c>
      <c r="G1025" s="2">
        <v>2486578.25</v>
      </c>
      <c r="H1025" s="2">
        <f t="shared" si="18"/>
        <v>2486578.25</v>
      </c>
      <c r="I1025"/>
    </row>
    <row r="1026" spans="1:9">
      <c r="A1026" s="1" t="s">
        <v>2918</v>
      </c>
      <c r="B1026" s="1" t="s">
        <v>152</v>
      </c>
      <c r="C1026" s="1" t="s">
        <v>2933</v>
      </c>
      <c r="G1026" s="2">
        <v>1127299.5</v>
      </c>
      <c r="H1026" s="2">
        <f t="shared" ref="H1026:H1057" si="19">SUM(D1026:G1026)</f>
        <v>1127299.5</v>
      </c>
      <c r="I1026"/>
    </row>
    <row r="1027" spans="1:9">
      <c r="A1027" s="1" t="s">
        <v>2918</v>
      </c>
      <c r="B1027" s="1" t="s">
        <v>153</v>
      </c>
      <c r="C1027" s="1" t="s">
        <v>2933</v>
      </c>
      <c r="G1027" s="2">
        <v>330040.29</v>
      </c>
      <c r="H1027" s="2">
        <f t="shared" si="19"/>
        <v>330040.29</v>
      </c>
      <c r="I1027"/>
    </row>
    <row r="1028" spans="1:9">
      <c r="A1028" s="1" t="s">
        <v>2918</v>
      </c>
      <c r="B1028" s="1" t="s">
        <v>154</v>
      </c>
      <c r="C1028" s="1" t="s">
        <v>2933</v>
      </c>
      <c r="G1028" s="2">
        <v>3757879.49</v>
      </c>
      <c r="H1028" s="2">
        <f t="shared" si="19"/>
        <v>3757879.49</v>
      </c>
      <c r="I1028"/>
    </row>
    <row r="1029" spans="1:8">
      <c r="A1029" s="1" t="s">
        <v>2918</v>
      </c>
      <c r="B1029" s="1" t="s">
        <v>155</v>
      </c>
      <c r="C1029" s="1" t="s">
        <v>2933</v>
      </c>
      <c r="G1029" s="2">
        <v>37318.55</v>
      </c>
      <c r="H1029" s="2">
        <f t="shared" si="19"/>
        <v>37318.55</v>
      </c>
    </row>
    <row r="1030" spans="1:9">
      <c r="A1030" s="1" t="s">
        <v>2918</v>
      </c>
      <c r="B1030" s="1" t="s">
        <v>156</v>
      </c>
      <c r="C1030" s="1" t="s">
        <v>2933</v>
      </c>
      <c r="G1030" s="2">
        <v>324795.64</v>
      </c>
      <c r="H1030" s="2">
        <f t="shared" si="19"/>
        <v>324795.64</v>
      </c>
      <c r="I1030"/>
    </row>
    <row r="1031" spans="1:9">
      <c r="A1031" s="1" t="s">
        <v>2918</v>
      </c>
      <c r="B1031" s="1" t="s">
        <v>157</v>
      </c>
      <c r="C1031" s="1" t="s">
        <v>2933</v>
      </c>
      <c r="G1031" s="2">
        <v>774368.17</v>
      </c>
      <c r="H1031" s="2">
        <f t="shared" si="19"/>
        <v>774368.17</v>
      </c>
      <c r="I1031"/>
    </row>
    <row r="1032" spans="1:16">
      <c r="A1032" s="1" t="s">
        <v>2918</v>
      </c>
      <c r="B1032" s="1" t="s">
        <v>158</v>
      </c>
      <c r="C1032" s="1" t="s">
        <v>2933</v>
      </c>
      <c r="G1032" s="2">
        <v>19658290.6</v>
      </c>
      <c r="H1032" s="2">
        <f t="shared" si="19"/>
        <v>19658290.6</v>
      </c>
      <c r="I1032"/>
      <c r="K1032" s="21"/>
      <c r="L1032" s="20"/>
      <c r="M1032" s="20"/>
      <c r="N1032" s="20"/>
      <c r="O1032" s="20"/>
      <c r="P1032" s="20"/>
    </row>
    <row r="1033" spans="1:16">
      <c r="A1033" s="1" t="s">
        <v>2918</v>
      </c>
      <c r="B1033" s="1" t="s">
        <v>159</v>
      </c>
      <c r="C1033" s="1" t="s">
        <v>2933</v>
      </c>
      <c r="G1033" s="2">
        <v>224804.17</v>
      </c>
      <c r="H1033" s="2">
        <f t="shared" si="19"/>
        <v>224804.17</v>
      </c>
      <c r="I1033"/>
      <c r="K1033" s="21"/>
      <c r="L1033" s="20"/>
      <c r="M1033" s="20"/>
      <c r="N1033" s="20"/>
      <c r="O1033" s="20"/>
      <c r="P1033" s="20"/>
    </row>
    <row r="1034" spans="1:16">
      <c r="A1034" s="1" t="s">
        <v>2918</v>
      </c>
      <c r="B1034" s="1" t="s">
        <v>148</v>
      </c>
      <c r="C1034" s="1" t="s">
        <v>2898</v>
      </c>
      <c r="E1034" s="2">
        <v>388679.52</v>
      </c>
      <c r="F1034" s="2">
        <v>1640229.32</v>
      </c>
      <c r="G1034" s="2">
        <v>5471.7</v>
      </c>
      <c r="H1034" s="2">
        <f t="shared" si="19"/>
        <v>2034380.54</v>
      </c>
      <c r="I1034"/>
      <c r="K1034" s="21" t="s">
        <v>2886</v>
      </c>
      <c r="L1034" s="20" t="s">
        <v>2887</v>
      </c>
      <c r="M1034" s="20"/>
      <c r="N1034" s="20"/>
      <c r="O1034" s="20"/>
      <c r="P1034" s="20"/>
    </row>
    <row r="1035" spans="1:16">
      <c r="A1035" s="1" t="s">
        <v>2918</v>
      </c>
      <c r="B1035" s="1" t="s">
        <v>149</v>
      </c>
      <c r="C1035" s="1" t="s">
        <v>2898</v>
      </c>
      <c r="E1035" s="2">
        <v>626197.07</v>
      </c>
      <c r="F1035" s="2">
        <v>1542442.84</v>
      </c>
      <c r="G1035" s="2">
        <v>255041.51</v>
      </c>
      <c r="H1035" s="2">
        <f t="shared" si="19"/>
        <v>2423681.42</v>
      </c>
      <c r="I1035"/>
      <c r="K1035" s="21" t="s">
        <v>1901</v>
      </c>
      <c r="L1035" s="20">
        <v>13199687.96</v>
      </c>
      <c r="M1035" s="20">
        <f>GETPIVOTDATA("合计",$K$1034,"收入组成项","代运营服务收入")-GETPIVOTDATA("合计",$K$1034,"收入组成项","代运营服务费")</f>
        <v>55950882.56</v>
      </c>
      <c r="N1035" s="20">
        <f>M1035</f>
        <v>55950882.56</v>
      </c>
      <c r="O1035" s="20">
        <f>N1035*1.06</f>
        <v>59307935.5136</v>
      </c>
      <c r="P1035" s="20" t="e">
        <f>O1035/10000-'毛利-收入组成'!#REF!</f>
        <v>#REF!</v>
      </c>
    </row>
    <row r="1036" spans="1:16">
      <c r="A1036" s="1" t="s">
        <v>2918</v>
      </c>
      <c r="B1036" s="1" t="s">
        <v>150</v>
      </c>
      <c r="C1036" s="1" t="s">
        <v>2898</v>
      </c>
      <c r="E1036" s="2">
        <v>644672.74</v>
      </c>
      <c r="F1036" s="2">
        <v>2012803</v>
      </c>
      <c r="G1036" s="2">
        <v>6753.6</v>
      </c>
      <c r="H1036" s="2">
        <f t="shared" si="19"/>
        <v>2664229.34</v>
      </c>
      <c r="I1036"/>
      <c r="K1036" s="21" t="s">
        <v>2931</v>
      </c>
      <c r="L1036" s="20">
        <v>69150570.52</v>
      </c>
      <c r="M1036" s="20"/>
      <c r="N1036" s="20"/>
      <c r="O1036" s="20"/>
      <c r="P1036" s="20"/>
    </row>
    <row r="1037" spans="1:17">
      <c r="A1037" s="1" t="s">
        <v>2918</v>
      </c>
      <c r="B1037" s="1" t="s">
        <v>151</v>
      </c>
      <c r="C1037" s="1" t="s">
        <v>2898</v>
      </c>
      <c r="E1037" s="2">
        <v>529252.42</v>
      </c>
      <c r="F1037" s="2">
        <v>11542608.43</v>
      </c>
      <c r="G1037" s="2">
        <v>52521.99</v>
      </c>
      <c r="H1037" s="2">
        <f t="shared" si="19"/>
        <v>12124382.84</v>
      </c>
      <c r="I1037"/>
      <c r="K1037" s="21" t="s">
        <v>2893</v>
      </c>
      <c r="L1037" s="20">
        <v>3954743296.53</v>
      </c>
      <c r="M1037" s="20">
        <f>GETPIVOTDATA("合计",$K$1034,"收入组成项","购销成本")-GETPIVOTDATA("合计",$K$1034,"收入组成项","购销成本（抵消）")</f>
        <v>3426655127.26</v>
      </c>
      <c r="N1037" s="20">
        <f>M1039-M1037</f>
        <v>20571218.9099998</v>
      </c>
      <c r="O1037" s="20">
        <f>N1037*1.06</f>
        <v>21805492.0445998</v>
      </c>
      <c r="P1037" s="20">
        <f>O1037+O1041+O1047+O1049</f>
        <v>363542634.388599</v>
      </c>
      <c r="Q1037" s="4" t="e">
        <f>P1037/10000-'毛利-收入组成'!#REF!</f>
        <v>#REF!</v>
      </c>
    </row>
    <row r="1038" spans="1:16">
      <c r="A1038" s="1" t="s">
        <v>2918</v>
      </c>
      <c r="B1038" s="1" t="s">
        <v>152</v>
      </c>
      <c r="C1038" s="1" t="s">
        <v>2898</v>
      </c>
      <c r="E1038" s="2">
        <v>298748.08</v>
      </c>
      <c r="F1038" s="2">
        <v>24538059.68</v>
      </c>
      <c r="G1038" s="2">
        <v>27600.53</v>
      </c>
      <c r="H1038" s="2">
        <f t="shared" si="19"/>
        <v>24864408.29</v>
      </c>
      <c r="I1038"/>
      <c r="K1038" s="21" t="s">
        <v>2895</v>
      </c>
      <c r="L1038" s="20">
        <v>528088169.27</v>
      </c>
      <c r="M1038" s="20"/>
      <c r="N1038" s="20"/>
      <c r="O1038" s="20"/>
      <c r="P1038" s="20"/>
    </row>
    <row r="1039" spans="1:16">
      <c r="A1039" s="1" t="s">
        <v>2918</v>
      </c>
      <c r="B1039" s="1" t="s">
        <v>153</v>
      </c>
      <c r="C1039" s="1" t="s">
        <v>2898</v>
      </c>
      <c r="E1039" s="2">
        <v>398868.11</v>
      </c>
      <c r="F1039" s="2">
        <v>42260329.21</v>
      </c>
      <c r="G1039" s="2">
        <v>287755.95</v>
      </c>
      <c r="H1039" s="2">
        <f t="shared" si="19"/>
        <v>42946953.27</v>
      </c>
      <c r="I1039"/>
      <c r="K1039" s="21" t="s">
        <v>2896</v>
      </c>
      <c r="L1039" s="20">
        <v>3975688460.69</v>
      </c>
      <c r="M1039" s="20">
        <f>GETPIVOTDATA("合计",$K$1034,"收入组成项","购销收入")-GETPIVOTDATA("合计",$K$1034,"收入组成项","购销收入（抵消）")</f>
        <v>3447226346.17</v>
      </c>
      <c r="N1039" s="20"/>
      <c r="O1039" s="20"/>
      <c r="P1039" s="20"/>
    </row>
    <row r="1040" spans="1:16">
      <c r="A1040" s="1" t="s">
        <v>2918</v>
      </c>
      <c r="B1040" s="1" t="s">
        <v>154</v>
      </c>
      <c r="C1040" s="1" t="s">
        <v>2898</v>
      </c>
      <c r="D1040" s="2">
        <v>14968</v>
      </c>
      <c r="E1040" s="2">
        <v>588535.33</v>
      </c>
      <c r="F1040" s="2">
        <v>34154877.35</v>
      </c>
      <c r="G1040" s="2">
        <v>3626.42</v>
      </c>
      <c r="H1040" s="2">
        <f t="shared" si="19"/>
        <v>34762007.1</v>
      </c>
      <c r="I1040"/>
      <c r="K1040" s="21" t="s">
        <v>2898</v>
      </c>
      <c r="L1040" s="20">
        <v>528462114.52</v>
      </c>
      <c r="M1040" s="20"/>
      <c r="N1040" s="20"/>
      <c r="O1040" s="20"/>
      <c r="P1040" s="20"/>
    </row>
    <row r="1041" spans="1:16">
      <c r="A1041" s="1" t="s">
        <v>2918</v>
      </c>
      <c r="B1041" s="1" t="s">
        <v>155</v>
      </c>
      <c r="C1041" s="1" t="s">
        <v>2898</v>
      </c>
      <c r="D1041" s="2">
        <v>50973.46</v>
      </c>
      <c r="E1041" s="2">
        <v>798152.33</v>
      </c>
      <c r="F1041" s="2">
        <v>77134916.16</v>
      </c>
      <c r="G1041" s="2">
        <v>138812.81</v>
      </c>
      <c r="H1041" s="2">
        <f t="shared" si="19"/>
        <v>78122854.76</v>
      </c>
      <c r="K1041" s="21" t="s">
        <v>2899</v>
      </c>
      <c r="L1041" s="20">
        <v>21227641706.965</v>
      </c>
      <c r="M1041" s="20">
        <f>GETPIVOTDATA("合计",$K$1034,"收入组成项","寄售销售额")-GETPIVOTDATA("合计",$K$1034,"收入组成项","寄售成本额")</f>
        <v>188482137.605</v>
      </c>
      <c r="N1041" s="20">
        <f>M1041</f>
        <v>188482137.605</v>
      </c>
      <c r="O1041" s="20">
        <f>N1041</f>
        <v>188482137.605</v>
      </c>
      <c r="P1041" s="20"/>
    </row>
    <row r="1042" spans="1:16">
      <c r="A1042" s="1" t="s">
        <v>2918</v>
      </c>
      <c r="B1042" s="1" t="s">
        <v>156</v>
      </c>
      <c r="C1042" s="1" t="s">
        <v>2898</v>
      </c>
      <c r="E1042" s="2">
        <v>596932.16</v>
      </c>
      <c r="F1042" s="2">
        <v>89833253.53</v>
      </c>
      <c r="G1042" s="2">
        <v>27435.14</v>
      </c>
      <c r="H1042" s="2">
        <f t="shared" si="19"/>
        <v>90457620.83</v>
      </c>
      <c r="I1042"/>
      <c r="K1042" s="21" t="s">
        <v>2892</v>
      </c>
      <c r="L1042" s="20">
        <v>21416123844.57</v>
      </c>
      <c r="M1042" s="20"/>
      <c r="N1042" s="20"/>
      <c r="O1042" s="20"/>
      <c r="P1042" s="20"/>
    </row>
    <row r="1043" spans="1:16">
      <c r="A1043" s="1" t="s">
        <v>2918</v>
      </c>
      <c r="B1043" s="1" t="s">
        <v>157</v>
      </c>
      <c r="C1043" s="1" t="s">
        <v>2898</v>
      </c>
      <c r="E1043" s="2">
        <v>783658</v>
      </c>
      <c r="F1043" s="2">
        <v>35104674.9</v>
      </c>
      <c r="G1043" s="2">
        <v>32389.8</v>
      </c>
      <c r="H1043" s="2">
        <f t="shared" si="19"/>
        <v>35920722.7</v>
      </c>
      <c r="I1043"/>
      <c r="K1043" s="21" t="s">
        <v>2926</v>
      </c>
      <c r="L1043" s="20">
        <v>125152654.75</v>
      </c>
      <c r="M1043" s="20">
        <f>GETPIVOTDATA("合计",$K$1034,"收入组成项","推广服务费")-GETPIVOTDATA("合计",$K$1034,"收入组成项","推广服务费（抵消）")</f>
        <v>94758143.24</v>
      </c>
      <c r="N1043" s="20">
        <f>M1045-M1043</f>
        <v>4190464.45</v>
      </c>
      <c r="O1043" s="20">
        <f>N1043*1.06</f>
        <v>4441892.317</v>
      </c>
      <c r="P1043" s="20" t="e">
        <f>O1043/10000-'毛利-收入组成'!#REF!</f>
        <v>#REF!</v>
      </c>
    </row>
    <row r="1044" spans="1:16">
      <c r="A1044" s="1" t="s">
        <v>2918</v>
      </c>
      <c r="B1044" s="1" t="s">
        <v>158</v>
      </c>
      <c r="C1044" s="1" t="s">
        <v>2898</v>
      </c>
      <c r="E1044" s="2">
        <v>334437.35</v>
      </c>
      <c r="F1044" s="2">
        <v>77470933.85</v>
      </c>
      <c r="G1044" s="2">
        <v>4060844.09</v>
      </c>
      <c r="H1044" s="2">
        <f t="shared" si="19"/>
        <v>81866215.29</v>
      </c>
      <c r="I1044"/>
      <c r="K1044" s="21" t="s">
        <v>2933</v>
      </c>
      <c r="L1044" s="20">
        <v>30394511.51</v>
      </c>
      <c r="M1044" s="20"/>
      <c r="N1044" s="20"/>
      <c r="O1044" s="20"/>
      <c r="P1044" s="20"/>
    </row>
    <row r="1045" spans="1:16">
      <c r="A1045" s="1" t="s">
        <v>2918</v>
      </c>
      <c r="B1045" s="1" t="s">
        <v>159</v>
      </c>
      <c r="C1045" s="1" t="s">
        <v>2898</v>
      </c>
      <c r="D1045" s="2">
        <v>18809.25</v>
      </c>
      <c r="E1045" s="2">
        <v>1941515.33</v>
      </c>
      <c r="F1045" s="2">
        <v>111095334.71</v>
      </c>
      <c r="G1045" s="2">
        <v>7218998.85</v>
      </c>
      <c r="H1045" s="2">
        <f t="shared" si="19"/>
        <v>120274658.14</v>
      </c>
      <c r="I1045"/>
      <c r="K1045" s="21" t="s">
        <v>2904</v>
      </c>
      <c r="L1045" s="20">
        <v>129401092.12</v>
      </c>
      <c r="M1045" s="20">
        <f>GETPIVOTDATA("合计",$K$1034,"收入组成项","推广服务收入")-GETPIVOTDATA("合计",$K$1034,"收入组成项","推广服务收入（抵消）")</f>
        <v>98948607.69</v>
      </c>
      <c r="N1045" s="20"/>
      <c r="O1045" s="20"/>
      <c r="P1045" s="20"/>
    </row>
    <row r="1046" spans="1:16">
      <c r="A1046" s="1" t="s">
        <v>2918</v>
      </c>
      <c r="B1046" s="1" t="s">
        <v>148</v>
      </c>
      <c r="C1046" s="1" t="s">
        <v>2895</v>
      </c>
      <c r="E1046" s="2">
        <v>388271.89</v>
      </c>
      <c r="F1046" s="2">
        <v>1640033.09</v>
      </c>
      <c r="G1046" s="2">
        <v>5471.7</v>
      </c>
      <c r="H1046" s="2">
        <f t="shared" si="19"/>
        <v>2033776.68</v>
      </c>
      <c r="I1046"/>
      <c r="K1046" s="21" t="s">
        <v>2907</v>
      </c>
      <c r="L1046" s="20">
        <v>30452484.43</v>
      </c>
      <c r="M1046" s="20"/>
      <c r="N1046" s="20"/>
      <c r="O1046" s="20"/>
      <c r="P1046" s="20"/>
    </row>
    <row r="1047" spans="1:16">
      <c r="A1047" s="1" t="s">
        <v>2918</v>
      </c>
      <c r="B1047" s="1" t="s">
        <v>149</v>
      </c>
      <c r="C1047" s="1" t="s">
        <v>2895</v>
      </c>
      <c r="E1047" s="2">
        <v>626197.07</v>
      </c>
      <c r="F1047" s="2">
        <v>1542442.84</v>
      </c>
      <c r="G1047" s="2">
        <v>255041.51</v>
      </c>
      <c r="H1047" s="2">
        <f t="shared" si="19"/>
        <v>2423681.42</v>
      </c>
      <c r="I1047"/>
      <c r="K1047" s="21" t="s">
        <v>2902</v>
      </c>
      <c r="L1047" s="20">
        <v>143682459.97</v>
      </c>
      <c r="M1047" s="20">
        <f>GETPIVOTDATA("合计",$K$1034,"收入组成项","佣金服务收入")-GETPIVOTDATA("合计",$K$1034,"收入组成项","佣金服务收入（抵消）")</f>
        <v>143682459.97</v>
      </c>
      <c r="N1047" s="20">
        <f>M1047</f>
        <v>143682459.97</v>
      </c>
      <c r="O1047" s="20">
        <f>N1047*1.06</f>
        <v>152303407.5682</v>
      </c>
      <c r="P1047" s="20"/>
    </row>
    <row r="1048" spans="1:16">
      <c r="A1048" s="1" t="s">
        <v>2918</v>
      </c>
      <c r="B1048" s="1" t="s">
        <v>150</v>
      </c>
      <c r="C1048" s="1" t="s">
        <v>2895</v>
      </c>
      <c r="E1048" s="2">
        <v>644672.74</v>
      </c>
      <c r="F1048" s="2">
        <v>2012803</v>
      </c>
      <c r="G1048" s="2">
        <v>6753.6</v>
      </c>
      <c r="H1048" s="2">
        <f t="shared" si="19"/>
        <v>2664229.34</v>
      </c>
      <c r="I1048"/>
      <c r="K1048" s="21" t="s">
        <v>2903</v>
      </c>
      <c r="L1048" s="20">
        <v>0</v>
      </c>
      <c r="M1048" s="20"/>
      <c r="N1048" s="20"/>
      <c r="O1048" s="20"/>
      <c r="P1048" s="20"/>
    </row>
    <row r="1049" spans="1:16">
      <c r="A1049" s="1" t="s">
        <v>2918</v>
      </c>
      <c r="B1049" s="1" t="s">
        <v>151</v>
      </c>
      <c r="C1049" s="1" t="s">
        <v>2895</v>
      </c>
      <c r="E1049" s="2">
        <v>523075.03</v>
      </c>
      <c r="F1049" s="2">
        <v>11542608.43</v>
      </c>
      <c r="G1049" s="2">
        <v>52521.99</v>
      </c>
      <c r="H1049" s="2">
        <f t="shared" si="19"/>
        <v>12118205.45</v>
      </c>
      <c r="I1049"/>
      <c r="K1049" s="21" t="s">
        <v>2905</v>
      </c>
      <c r="L1049" s="20">
        <v>897733.18</v>
      </c>
      <c r="M1049" s="20">
        <f>GETPIVOTDATA("合计",$K$1034,"收入组成项","逾期权益收入")</f>
        <v>897733.18</v>
      </c>
      <c r="N1049" s="20">
        <f>M1049</f>
        <v>897733.18</v>
      </c>
      <c r="O1049" s="20">
        <f>N1049*1.06</f>
        <v>951597.1708</v>
      </c>
      <c r="P1049" s="20"/>
    </row>
    <row r="1050" spans="1:16">
      <c r="A1050" s="1" t="s">
        <v>2918</v>
      </c>
      <c r="B1050" s="1" t="s">
        <v>152</v>
      </c>
      <c r="C1050" s="1" t="s">
        <v>2895</v>
      </c>
      <c r="E1050" s="2">
        <v>298748.08</v>
      </c>
      <c r="F1050" s="2">
        <v>24538059.68</v>
      </c>
      <c r="G1050" s="2">
        <v>27600.53</v>
      </c>
      <c r="H1050" s="2">
        <f t="shared" si="19"/>
        <v>24864408.29</v>
      </c>
      <c r="I1050"/>
      <c r="K1050" s="21" t="s">
        <v>319</v>
      </c>
      <c r="L1050" s="20">
        <v>52173078786.985</v>
      </c>
      <c r="M1050" s="20"/>
      <c r="N1050" s="20"/>
      <c r="O1050" s="20"/>
      <c r="P1050" s="20"/>
    </row>
    <row r="1051" spans="1:16">
      <c r="A1051" s="1" t="s">
        <v>2918</v>
      </c>
      <c r="B1051" s="1" t="s">
        <v>153</v>
      </c>
      <c r="C1051" s="1" t="s">
        <v>2895</v>
      </c>
      <c r="E1051" s="2">
        <v>398868.11</v>
      </c>
      <c r="F1051" s="2">
        <v>42260329.21</v>
      </c>
      <c r="G1051" s="2">
        <v>287755.95</v>
      </c>
      <c r="H1051" s="2">
        <f t="shared" si="19"/>
        <v>42946953.27</v>
      </c>
      <c r="I1051"/>
      <c r="K1051" s="21"/>
      <c r="L1051" s="20"/>
      <c r="M1051" s="20"/>
      <c r="N1051" s="20"/>
      <c r="O1051" s="20"/>
      <c r="P1051" s="20"/>
    </row>
    <row r="1052" spans="1:16">
      <c r="A1052" s="1" t="s">
        <v>2918</v>
      </c>
      <c r="B1052" s="1" t="s">
        <v>154</v>
      </c>
      <c r="C1052" s="1" t="s">
        <v>2895</v>
      </c>
      <c r="D1052" s="2">
        <v>14968</v>
      </c>
      <c r="E1052" s="2">
        <v>588535.33</v>
      </c>
      <c r="F1052" s="2">
        <v>34154877.35</v>
      </c>
      <c r="G1052" s="2">
        <v>3626.42</v>
      </c>
      <c r="H1052" s="2">
        <f t="shared" si="19"/>
        <v>34762007.1</v>
      </c>
      <c r="I1052"/>
      <c r="K1052" s="21"/>
      <c r="L1052" s="20"/>
      <c r="M1052" s="20"/>
      <c r="N1052" s="20"/>
      <c r="O1052" s="20"/>
      <c r="P1052" s="20"/>
    </row>
    <row r="1053" spans="1:16">
      <c r="A1053" s="1" t="s">
        <v>2918</v>
      </c>
      <c r="B1053" s="1" t="s">
        <v>155</v>
      </c>
      <c r="C1053" s="1" t="s">
        <v>2895</v>
      </c>
      <c r="D1053" s="2">
        <v>50973.46</v>
      </c>
      <c r="E1053" s="2">
        <v>779947.23</v>
      </c>
      <c r="F1053" s="2">
        <v>77134916.16</v>
      </c>
      <c r="G1053" s="2">
        <v>131413.64</v>
      </c>
      <c r="H1053" s="2">
        <f t="shared" si="19"/>
        <v>78097250.49</v>
      </c>
      <c r="K1053" s="21"/>
      <c r="L1053" s="20"/>
      <c r="M1053" s="20"/>
      <c r="N1053" s="20"/>
      <c r="O1053" s="20"/>
      <c r="P1053" s="20"/>
    </row>
    <row r="1054" spans="1:16">
      <c r="A1054" s="1" t="s">
        <v>2918</v>
      </c>
      <c r="B1054" s="1" t="s">
        <v>156</v>
      </c>
      <c r="C1054" s="1" t="s">
        <v>2895</v>
      </c>
      <c r="E1054" s="2">
        <v>525833.16</v>
      </c>
      <c r="F1054" s="2">
        <v>89833253.53</v>
      </c>
      <c r="G1054" s="2">
        <v>27435.14</v>
      </c>
      <c r="H1054" s="2">
        <f t="shared" si="19"/>
        <v>90386521.83</v>
      </c>
      <c r="I1054"/>
      <c r="K1054" s="21"/>
      <c r="L1054" s="20"/>
      <c r="M1054" s="20"/>
      <c r="N1054" s="20"/>
      <c r="O1054" s="20"/>
      <c r="P1054" s="20"/>
    </row>
    <row r="1055" spans="1:16">
      <c r="A1055" s="1" t="s">
        <v>2918</v>
      </c>
      <c r="B1055" s="1" t="s">
        <v>157</v>
      </c>
      <c r="C1055" s="1" t="s">
        <v>2895</v>
      </c>
      <c r="E1055" s="2">
        <v>641612</v>
      </c>
      <c r="F1055" s="2">
        <v>35104674.9</v>
      </c>
      <c r="G1055" s="2">
        <v>32389.8</v>
      </c>
      <c r="H1055" s="2">
        <f t="shared" si="19"/>
        <v>35778676.7</v>
      </c>
      <c r="I1055"/>
      <c r="K1055" s="21"/>
      <c r="L1055" s="20"/>
      <c r="M1055" s="20"/>
      <c r="N1055" s="20"/>
      <c r="O1055" s="20"/>
      <c r="P1055" s="20"/>
    </row>
    <row r="1056" spans="1:12">
      <c r="A1056" s="1" t="s">
        <v>2918</v>
      </c>
      <c r="B1056" s="1" t="s">
        <v>158</v>
      </c>
      <c r="C1056" s="1" t="s">
        <v>2895</v>
      </c>
      <c r="E1056" s="2">
        <v>262997.51</v>
      </c>
      <c r="F1056" s="2">
        <v>77470933.85</v>
      </c>
      <c r="G1056" s="2">
        <v>4060842.36</v>
      </c>
      <c r="H1056" s="2">
        <f t="shared" si="19"/>
        <v>81794773.72</v>
      </c>
      <c r="I1056"/>
      <c r="L1056" s="4"/>
    </row>
    <row r="1057" spans="1:12">
      <c r="A1057" s="1" t="s">
        <v>2918</v>
      </c>
      <c r="B1057" s="1" t="s">
        <v>159</v>
      </c>
      <c r="C1057" s="1" t="s">
        <v>2895</v>
      </c>
      <c r="D1057" s="2">
        <v>18809.25</v>
      </c>
      <c r="E1057" s="2">
        <v>1884542.17</v>
      </c>
      <c r="F1057" s="2">
        <v>111095334.71</v>
      </c>
      <c r="G1057" s="2">
        <v>7218998.85</v>
      </c>
      <c r="H1057" s="2">
        <f t="shared" si="19"/>
        <v>120217684.98</v>
      </c>
      <c r="I1057"/>
      <c r="L1057" s="4"/>
    </row>
  </sheetData>
  <autoFilter xmlns:etc="http://www.wps.cn/officeDocument/2017/etCustomData" ref="A1:Q1057" etc:filterBottomFollowUsedRange="0">
    <extLst/>
  </autoFilter>
  <pageMargins left="0.75" right="0.75" top="1" bottom="1" header="0.5" footer="0.5"/>
  <headerFooter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9"/>
  <sheetViews>
    <sheetView topLeftCell="M1" workbookViewId="0">
      <pane ySplit="1" topLeftCell="A83" activePane="bottomLeft" state="frozen"/>
      <selection/>
      <selection pane="bottomLeft" activeCell="D64" sqref="D64"/>
    </sheetView>
  </sheetViews>
  <sheetFormatPr defaultColWidth="9" defaultRowHeight="13.5"/>
  <cols>
    <col min="3" max="3" width="11.6333333333333" customWidth="1"/>
    <col min="4" max="4" width="12.1333333333333" customWidth="1"/>
    <col min="8" max="8" width="12.2583333333333" customWidth="1"/>
    <col min="10" max="10" width="10.3833333333333" style="3" customWidth="1"/>
    <col min="11" max="11" width="20" style="3" customWidth="1"/>
    <col min="12" max="16" width="16.1333333333333" style="4"/>
    <col min="17" max="17" width="15.7583333333333" style="4" customWidth="1"/>
    <col min="19" max="19" width="14.6333333333333" style="4" customWidth="1"/>
    <col min="20" max="21" width="9" style="4"/>
    <col min="22" max="22" width="10.3833333333333" style="4"/>
    <col min="23" max="23" width="14" style="4"/>
    <col min="25" max="25" width="9" style="20"/>
    <col min="26" max="26" width="10.3833333333333" style="20"/>
    <col min="27" max="28" width="9" style="20"/>
    <col min="29" max="29" width="12.6333333333333" style="20"/>
  </cols>
  <sheetData>
    <row r="1" spans="1:16">
      <c r="A1" s="7" t="s">
        <v>2885</v>
      </c>
      <c r="B1" s="7" t="s">
        <v>84</v>
      </c>
      <c r="C1" s="7" t="s">
        <v>2886</v>
      </c>
      <c r="D1" s="8" t="s">
        <v>12</v>
      </c>
      <c r="E1" s="8" t="s">
        <v>13</v>
      </c>
      <c r="F1" s="8" t="s">
        <v>14</v>
      </c>
      <c r="G1" s="8" t="s">
        <v>20</v>
      </c>
      <c r="H1" s="8" t="s">
        <v>15</v>
      </c>
      <c r="J1" s="3" t="s">
        <v>84</v>
      </c>
      <c r="K1" s="3" t="s">
        <v>2886</v>
      </c>
      <c r="L1" s="4" t="s">
        <v>2887</v>
      </c>
      <c r="M1" s="4" t="s">
        <v>2888</v>
      </c>
      <c r="N1" s="4" t="s">
        <v>2936</v>
      </c>
      <c r="O1" s="4" t="s">
        <v>2890</v>
      </c>
      <c r="P1" s="4" t="s">
        <v>2891</v>
      </c>
    </row>
    <row r="2" spans="1:29">
      <c r="A2" s="1" t="s">
        <v>369</v>
      </c>
      <c r="B2" s="1" t="s">
        <v>148</v>
      </c>
      <c r="C2" s="1" t="s">
        <v>2900</v>
      </c>
      <c r="D2" s="2">
        <v>486.75</v>
      </c>
      <c r="E2" s="2"/>
      <c r="F2" s="2"/>
      <c r="G2" s="2"/>
      <c r="H2" s="2">
        <v>486.75</v>
      </c>
      <c r="J2" s="3" t="s">
        <v>148</v>
      </c>
      <c r="L2" s="4">
        <v>1057280.21</v>
      </c>
      <c r="M2" s="4">
        <v>486.75</v>
      </c>
      <c r="O2" s="4">
        <v>1054664</v>
      </c>
      <c r="P2" s="4">
        <v>2129.46</v>
      </c>
      <c r="R2" s="4"/>
      <c r="S2" s="4" t="s">
        <v>12</v>
      </c>
      <c r="T2" s="4" t="s">
        <v>13</v>
      </c>
      <c r="U2" s="4" t="s">
        <v>14</v>
      </c>
      <c r="V2" s="4" t="s">
        <v>20</v>
      </c>
      <c r="Y2" s="20" t="s">
        <v>304</v>
      </c>
      <c r="Z2" s="20" t="s">
        <v>12</v>
      </c>
      <c r="AA2" s="20" t="s">
        <v>13</v>
      </c>
      <c r="AB2" s="20" t="s">
        <v>14</v>
      </c>
      <c r="AC2" s="20" t="s">
        <v>20</v>
      </c>
    </row>
    <row r="3" spans="1:29">
      <c r="A3" s="1" t="s">
        <v>369</v>
      </c>
      <c r="B3" s="1" t="s">
        <v>149</v>
      </c>
      <c r="C3" s="1" t="s">
        <v>2900</v>
      </c>
      <c r="D3" s="2">
        <v>2254.6</v>
      </c>
      <c r="E3" s="2"/>
      <c r="F3" s="2"/>
      <c r="G3" s="2"/>
      <c r="H3" s="2">
        <v>2254.6</v>
      </c>
      <c r="K3" s="3" t="s">
        <v>2937</v>
      </c>
      <c r="L3" s="4">
        <v>1345.46</v>
      </c>
      <c r="P3" s="4">
        <v>1345.46</v>
      </c>
      <c r="Q3" s="4">
        <f>(L4-L3+L5-L6+L7+L10-L11-L8+L9)*1.06</f>
        <v>-79.1925999999605</v>
      </c>
      <c r="R3" t="s">
        <v>2938</v>
      </c>
      <c r="S3" s="4">
        <f>(M4-M3+M5-M6+M7+M10-M11-M8+M9)*1.06</f>
        <v>515.955</v>
      </c>
      <c r="T3" s="4">
        <f>(N4-N3+N5-N6+N7+N10-N11-N8+N9)*1.06</f>
        <v>0</v>
      </c>
      <c r="U3" s="4">
        <f>(O4-O3+O5-O6+O7+O10-O11-O8+O9)*1.06</f>
        <v>0</v>
      </c>
      <c r="V3" s="4">
        <f>(P4-P3+P5-P6+P7+P10-P11-P8+P9)*1.06</f>
        <v>-595.1476</v>
      </c>
      <c r="W3" s="4">
        <f>SUM(S3:V3)</f>
        <v>-79.1926000000001</v>
      </c>
      <c r="Y3" s="20" t="s">
        <v>2938</v>
      </c>
      <c r="Z3" s="20">
        <f>S3/10000</f>
        <v>0.0515955</v>
      </c>
      <c r="AA3" s="20">
        <f>T3/10000</f>
        <v>0</v>
      </c>
      <c r="AB3" s="20">
        <f>U3/10000</f>
        <v>0</v>
      </c>
      <c r="AC3" s="20">
        <f>V3/10000</f>
        <v>-0.05951476</v>
      </c>
    </row>
    <row r="4" spans="1:17">
      <c r="A4" s="1" t="s">
        <v>369</v>
      </c>
      <c r="B4" s="1" t="s">
        <v>150</v>
      </c>
      <c r="C4" s="1" t="s">
        <v>2900</v>
      </c>
      <c r="D4" s="2">
        <v>18961.98</v>
      </c>
      <c r="E4" s="2"/>
      <c r="F4" s="2"/>
      <c r="G4" s="2"/>
      <c r="H4" s="2">
        <v>18961.98</v>
      </c>
      <c r="K4" s="3" t="s">
        <v>2921</v>
      </c>
      <c r="L4" s="4">
        <v>784</v>
      </c>
      <c r="P4" s="4">
        <v>784</v>
      </c>
      <c r="Q4" s="4">
        <f>Q3-W3</f>
        <v>3.95630195271224e-11</v>
      </c>
    </row>
    <row r="5" spans="1:15">
      <c r="A5" s="1" t="s">
        <v>369</v>
      </c>
      <c r="B5" s="1" t="s">
        <v>151</v>
      </c>
      <c r="C5" s="1" t="s">
        <v>2900</v>
      </c>
      <c r="D5" s="2">
        <v>849.8</v>
      </c>
      <c r="E5" s="2"/>
      <c r="F5" s="2"/>
      <c r="G5" s="2">
        <v>14186.63</v>
      </c>
      <c r="H5" s="2">
        <v>15036.43</v>
      </c>
      <c r="K5" s="3" t="s">
        <v>2900</v>
      </c>
      <c r="L5" s="4">
        <v>527818.75</v>
      </c>
      <c r="M5" s="4">
        <v>486.75</v>
      </c>
      <c r="O5" s="4">
        <v>527332</v>
      </c>
    </row>
    <row r="6" spans="1:15">
      <c r="A6" s="1" t="s">
        <v>369</v>
      </c>
      <c r="B6" s="1" t="s">
        <v>152</v>
      </c>
      <c r="C6" s="1" t="s">
        <v>2900</v>
      </c>
      <c r="D6" s="2">
        <v>1952.99</v>
      </c>
      <c r="E6" s="2"/>
      <c r="F6" s="2"/>
      <c r="G6" s="2">
        <v>0</v>
      </c>
      <c r="H6" s="2">
        <v>1952.99</v>
      </c>
      <c r="K6" s="3" t="s">
        <v>2901</v>
      </c>
      <c r="L6" s="4">
        <v>527332</v>
      </c>
      <c r="O6" s="4">
        <v>527332</v>
      </c>
    </row>
    <row r="7" spans="1:12">
      <c r="A7" s="1" t="s">
        <v>369</v>
      </c>
      <c r="B7" s="1" t="s">
        <v>153</v>
      </c>
      <c r="C7" s="1" t="s">
        <v>2900</v>
      </c>
      <c r="D7" s="2">
        <v>1907.83</v>
      </c>
      <c r="E7" s="2"/>
      <c r="F7" s="2"/>
      <c r="G7" s="2">
        <v>57656.89</v>
      </c>
      <c r="H7" s="2">
        <v>59564.72</v>
      </c>
      <c r="K7" s="3" t="s">
        <v>2939</v>
      </c>
      <c r="L7" s="4">
        <v>0</v>
      </c>
    </row>
    <row r="8" spans="1:12">
      <c r="A8" s="1" t="s">
        <v>369</v>
      </c>
      <c r="B8" s="1" t="s">
        <v>154</v>
      </c>
      <c r="C8" s="1" t="s">
        <v>2900</v>
      </c>
      <c r="D8" s="2">
        <v>1244.8</v>
      </c>
      <c r="E8" s="2"/>
      <c r="F8" s="2"/>
      <c r="G8" s="2">
        <v>52842.3</v>
      </c>
      <c r="H8" s="2">
        <v>54087.1</v>
      </c>
      <c r="K8" s="3" t="s">
        <v>2940</v>
      </c>
      <c r="L8" s="4">
        <v>0</v>
      </c>
    </row>
    <row r="9" spans="1:12">
      <c r="A9" s="1" t="s">
        <v>369</v>
      </c>
      <c r="B9" s="1" t="s">
        <v>155</v>
      </c>
      <c r="C9" s="1" t="s">
        <v>2900</v>
      </c>
      <c r="D9" s="2">
        <v>570.76</v>
      </c>
      <c r="E9" s="2"/>
      <c r="F9" s="2"/>
      <c r="G9" s="2">
        <v>63969.36</v>
      </c>
      <c r="H9" s="2">
        <v>64540.12</v>
      </c>
      <c r="K9" s="3" t="s">
        <v>2941</v>
      </c>
      <c r="L9" s="4">
        <v>0</v>
      </c>
    </row>
    <row r="10" spans="1:12">
      <c r="A10" s="1" t="s">
        <v>369</v>
      </c>
      <c r="B10" s="1" t="s">
        <v>156</v>
      </c>
      <c r="C10" s="1" t="s">
        <v>2900</v>
      </c>
      <c r="D10" s="2">
        <v>735.79</v>
      </c>
      <c r="E10" s="2"/>
      <c r="F10" s="2"/>
      <c r="G10" s="2">
        <v>31067.05</v>
      </c>
      <c r="H10" s="2">
        <v>31802.84</v>
      </c>
      <c r="K10" s="3" t="s">
        <v>2942</v>
      </c>
      <c r="L10" s="4">
        <v>0</v>
      </c>
    </row>
    <row r="11" spans="1:12">
      <c r="A11" s="1" t="s">
        <v>369</v>
      </c>
      <c r="B11" s="1" t="s">
        <v>157</v>
      </c>
      <c r="C11" s="1" t="s">
        <v>2900</v>
      </c>
      <c r="D11" s="2">
        <v>1034.64</v>
      </c>
      <c r="E11" s="2"/>
      <c r="F11" s="2"/>
      <c r="G11" s="2">
        <v>40971.98</v>
      </c>
      <c r="H11" s="2">
        <v>42006.62</v>
      </c>
      <c r="K11" s="3" t="s">
        <v>2922</v>
      </c>
      <c r="L11" s="4">
        <v>0</v>
      </c>
    </row>
    <row r="12" spans="1:29">
      <c r="A12" s="1" t="s">
        <v>369</v>
      </c>
      <c r="B12" s="1" t="s">
        <v>158</v>
      </c>
      <c r="C12" s="1" t="s">
        <v>2900</v>
      </c>
      <c r="D12" s="2">
        <v>665.03</v>
      </c>
      <c r="E12" s="2"/>
      <c r="F12" s="2"/>
      <c r="G12" s="2">
        <v>70668.62</v>
      </c>
      <c r="H12" s="2">
        <v>71333.65</v>
      </c>
      <c r="J12" s="3" t="s">
        <v>149</v>
      </c>
      <c r="L12" s="4">
        <v>2826983.53</v>
      </c>
      <c r="M12" s="4">
        <v>14518.75</v>
      </c>
      <c r="O12" s="4">
        <v>2725795.1</v>
      </c>
      <c r="P12" s="4">
        <v>86669.68</v>
      </c>
      <c r="R12" s="4"/>
      <c r="S12" s="4" t="s">
        <v>12</v>
      </c>
      <c r="T12" s="4" t="s">
        <v>13</v>
      </c>
      <c r="U12" s="4" t="s">
        <v>14</v>
      </c>
      <c r="V12" s="4" t="s">
        <v>20</v>
      </c>
      <c r="Y12" s="20" t="s">
        <v>304</v>
      </c>
      <c r="Z12" s="20" t="s">
        <v>12</v>
      </c>
      <c r="AA12" s="20" t="s">
        <v>13</v>
      </c>
      <c r="AB12" s="20" t="s">
        <v>14</v>
      </c>
      <c r="AC12" s="20" t="s">
        <v>20</v>
      </c>
    </row>
    <row r="13" spans="1:29">
      <c r="A13" s="1" t="s">
        <v>369</v>
      </c>
      <c r="B13" s="1" t="s">
        <v>159</v>
      </c>
      <c r="C13" s="1" t="s">
        <v>2900</v>
      </c>
      <c r="D13" s="2">
        <v>3395.2</v>
      </c>
      <c r="E13" s="2"/>
      <c r="F13" s="2"/>
      <c r="G13" s="2">
        <v>64096.9</v>
      </c>
      <c r="H13" s="2">
        <v>67492.1</v>
      </c>
      <c r="K13" s="3" t="s">
        <v>2937</v>
      </c>
      <c r="L13" s="4">
        <v>43012.18</v>
      </c>
      <c r="P13" s="4">
        <v>43012.18</v>
      </c>
      <c r="Q13" s="4">
        <f>(L14-L13+L15-L16+L17+L20-L21-L18+L19)*1.06</f>
        <v>16073.9141999999</v>
      </c>
      <c r="R13" t="s">
        <v>2938</v>
      </c>
      <c r="S13" s="4">
        <f>(M14-M13+M15-M16+M17+M20-M21-M18+M19)*1.06</f>
        <v>15389.875</v>
      </c>
      <c r="T13" s="4">
        <f>(N14-N13+N15-N16+N17+N20-N21-N18+N19)*1.06</f>
        <v>0</v>
      </c>
      <c r="U13" s="4">
        <f>(O14-O13+O15-O16+O17+O20-O21-O18+O19)*1.06</f>
        <v>0</v>
      </c>
      <c r="V13" s="4">
        <f>(P14-P13+P15-P16+P17+P20-P21-P18+P19)*1.06</f>
        <v>684.0392</v>
      </c>
      <c r="W13" s="4">
        <f>SUM(S13:V13)</f>
        <v>16073.9142</v>
      </c>
      <c r="Y13" s="20" t="s">
        <v>2938</v>
      </c>
      <c r="Z13" s="20">
        <f>S13/10000</f>
        <v>1.5389875</v>
      </c>
      <c r="AA13" s="20">
        <f>T13/10000</f>
        <v>0</v>
      </c>
      <c r="AB13" s="20">
        <f>U13/10000</f>
        <v>0</v>
      </c>
      <c r="AC13" s="20">
        <f>V13/10000</f>
        <v>0.06840392</v>
      </c>
    </row>
    <row r="14" spans="1:17">
      <c r="A14" s="1" t="s">
        <v>369</v>
      </c>
      <c r="B14" s="1" t="s">
        <v>148</v>
      </c>
      <c r="C14" s="1" t="s">
        <v>2942</v>
      </c>
      <c r="D14" s="2"/>
      <c r="E14" s="2"/>
      <c r="F14" s="2"/>
      <c r="G14" s="2"/>
      <c r="H14" s="2">
        <v>0</v>
      </c>
      <c r="K14" s="3" t="s">
        <v>2921</v>
      </c>
      <c r="L14" s="4">
        <v>43657.5</v>
      </c>
      <c r="P14" s="4">
        <v>43657.5</v>
      </c>
      <c r="Q14" s="4">
        <f>Q13-W13</f>
        <v>-7.82165443524718e-11</v>
      </c>
    </row>
    <row r="15" spans="1:15">
      <c r="A15" s="1" t="s">
        <v>369</v>
      </c>
      <c r="B15" s="1" t="s">
        <v>149</v>
      </c>
      <c r="C15" s="1" t="s">
        <v>2942</v>
      </c>
      <c r="D15" s="2">
        <v>12264.15</v>
      </c>
      <c r="E15" s="2"/>
      <c r="F15" s="2"/>
      <c r="G15" s="2"/>
      <c r="H15" s="2">
        <v>12264.15</v>
      </c>
      <c r="K15" s="3" t="s">
        <v>2900</v>
      </c>
      <c r="L15" s="4">
        <v>1365152.15</v>
      </c>
      <c r="M15" s="4">
        <v>2254.6</v>
      </c>
      <c r="O15" s="4">
        <v>1362897.55</v>
      </c>
    </row>
    <row r="16" spans="1:15">
      <c r="A16" s="1" t="s">
        <v>369</v>
      </c>
      <c r="B16" s="1" t="s">
        <v>150</v>
      </c>
      <c r="C16" s="1" t="s">
        <v>2942</v>
      </c>
      <c r="D16" s="2"/>
      <c r="E16" s="2"/>
      <c r="F16" s="2"/>
      <c r="G16" s="2"/>
      <c r="H16" s="2">
        <v>0</v>
      </c>
      <c r="K16" s="3" t="s">
        <v>2901</v>
      </c>
      <c r="L16" s="4">
        <v>1362897.55</v>
      </c>
      <c r="O16" s="4">
        <v>1362897.55</v>
      </c>
    </row>
    <row r="17" spans="1:12">
      <c r="A17" s="1" t="s">
        <v>369</v>
      </c>
      <c r="B17" s="1" t="s">
        <v>151</v>
      </c>
      <c r="C17" s="1" t="s">
        <v>2942</v>
      </c>
      <c r="D17" s="2">
        <v>520603.77</v>
      </c>
      <c r="E17" s="2"/>
      <c r="F17" s="2"/>
      <c r="G17" s="2"/>
      <c r="H17" s="2">
        <v>520603.77</v>
      </c>
      <c r="K17" s="3" t="s">
        <v>2939</v>
      </c>
      <c r="L17" s="4">
        <v>0</v>
      </c>
    </row>
    <row r="18" spans="1:12">
      <c r="A18" s="1" t="s">
        <v>369</v>
      </c>
      <c r="B18" s="1" t="s">
        <v>152</v>
      </c>
      <c r="C18" s="1" t="s">
        <v>2942</v>
      </c>
      <c r="D18" s="2">
        <v>12264.15</v>
      </c>
      <c r="E18" s="2"/>
      <c r="F18" s="2"/>
      <c r="G18" s="2"/>
      <c r="H18" s="2">
        <v>12264.15</v>
      </c>
      <c r="K18" s="3" t="s">
        <v>2940</v>
      </c>
      <c r="L18" s="4">
        <v>0</v>
      </c>
    </row>
    <row r="19" spans="1:12">
      <c r="A19" s="1" t="s">
        <v>369</v>
      </c>
      <c r="B19" s="1" t="s">
        <v>153</v>
      </c>
      <c r="C19" s="1" t="s">
        <v>2942</v>
      </c>
      <c r="D19" s="13">
        <v>2070497.17</v>
      </c>
      <c r="E19" s="2"/>
      <c r="F19" s="2"/>
      <c r="G19" s="2"/>
      <c r="H19" s="2">
        <v>2070497.17</v>
      </c>
      <c r="K19" s="3" t="s">
        <v>2941</v>
      </c>
      <c r="L19" s="4">
        <v>0</v>
      </c>
    </row>
    <row r="20" spans="1:13">
      <c r="A20" s="1" t="s">
        <v>369</v>
      </c>
      <c r="B20" s="1" t="s">
        <v>154</v>
      </c>
      <c r="C20" s="1" t="s">
        <v>2942</v>
      </c>
      <c r="D20" s="2"/>
      <c r="E20" s="2"/>
      <c r="F20" s="2"/>
      <c r="G20" s="2"/>
      <c r="H20" s="2">
        <v>0</v>
      </c>
      <c r="K20" s="3" t="s">
        <v>2942</v>
      </c>
      <c r="L20" s="4">
        <v>12264.15</v>
      </c>
      <c r="M20" s="4">
        <v>12264.15</v>
      </c>
    </row>
    <row r="21" spans="1:12">
      <c r="A21" s="1" t="s">
        <v>369</v>
      </c>
      <c r="B21" s="1" t="s">
        <v>155</v>
      </c>
      <c r="C21" s="1" t="s">
        <v>2942</v>
      </c>
      <c r="D21" s="2"/>
      <c r="E21" s="2"/>
      <c r="F21" s="2"/>
      <c r="G21" s="2"/>
      <c r="H21" s="2">
        <v>0</v>
      </c>
      <c r="K21" s="3" t="s">
        <v>2943</v>
      </c>
      <c r="L21" s="4">
        <v>0</v>
      </c>
    </row>
    <row r="22" spans="1:29">
      <c r="A22" s="1" t="s">
        <v>369</v>
      </c>
      <c r="B22" s="1" t="s">
        <v>156</v>
      </c>
      <c r="C22" s="1" t="s">
        <v>2942</v>
      </c>
      <c r="D22" s="2"/>
      <c r="E22" s="2"/>
      <c r="F22" s="2"/>
      <c r="G22" s="2"/>
      <c r="H22" s="2">
        <v>0</v>
      </c>
      <c r="J22" s="3" t="s">
        <v>150</v>
      </c>
      <c r="L22" s="4">
        <v>1743521.06</v>
      </c>
      <c r="M22" s="4">
        <v>19027.54</v>
      </c>
      <c r="O22" s="4">
        <v>1724493.52</v>
      </c>
      <c r="R22" s="4"/>
      <c r="S22" s="4" t="s">
        <v>12</v>
      </c>
      <c r="T22" s="4" t="s">
        <v>13</v>
      </c>
      <c r="U22" s="4" t="s">
        <v>14</v>
      </c>
      <c r="V22" s="4" t="s">
        <v>20</v>
      </c>
      <c r="Y22" s="20" t="s">
        <v>304</v>
      </c>
      <c r="Z22" s="20" t="s">
        <v>12</v>
      </c>
      <c r="AA22" s="20" t="s">
        <v>13</v>
      </c>
      <c r="AB22" s="20" t="s">
        <v>14</v>
      </c>
      <c r="AC22" s="20" t="s">
        <v>20</v>
      </c>
    </row>
    <row r="23" spans="1:29">
      <c r="A23" s="1" t="s">
        <v>369</v>
      </c>
      <c r="B23" s="1" t="s">
        <v>157</v>
      </c>
      <c r="C23" s="1" t="s">
        <v>2942</v>
      </c>
      <c r="D23" s="2">
        <v>141509.43</v>
      </c>
      <c r="E23" s="2"/>
      <c r="F23" s="2"/>
      <c r="G23" s="2"/>
      <c r="H23" s="2">
        <v>141509.43</v>
      </c>
      <c r="K23" s="3" t="s">
        <v>2937</v>
      </c>
      <c r="L23" s="4">
        <v>0</v>
      </c>
      <c r="Q23" s="4">
        <f>(L24-L23+L25-L26+L27+L30-L31-L28+L29)*1.06</f>
        <v>20169.1924</v>
      </c>
      <c r="R23" t="s">
        <v>2938</v>
      </c>
      <c r="S23" s="4">
        <f>(M24-M23+M25-M26+M27+M30-M31-M28+M29)*1.06</f>
        <v>20169.1924</v>
      </c>
      <c r="T23" s="4">
        <f>(N24-N23+N25-N26+N27+N30-N31-N28+N29)*1.06</f>
        <v>0</v>
      </c>
      <c r="U23" s="4">
        <f>(O24-O23+O25-O26+O27+O30-O31-O28+O29)*1.06</f>
        <v>0</v>
      </c>
      <c r="V23" s="4">
        <f>(P24-P23+P25-P26+P27+P30-P31-P28+P29)*1.06</f>
        <v>0</v>
      </c>
      <c r="W23" s="4">
        <f>SUM(S23:V23)</f>
        <v>20169.1924</v>
      </c>
      <c r="Y23" s="20" t="s">
        <v>2938</v>
      </c>
      <c r="Z23" s="20">
        <f>S23/10000</f>
        <v>2.01691924</v>
      </c>
      <c r="AA23" s="20">
        <f>T23/10000</f>
        <v>0</v>
      </c>
      <c r="AB23" s="20">
        <f>U23/10000</f>
        <v>0</v>
      </c>
      <c r="AC23" s="20">
        <f>V23/10000</f>
        <v>0</v>
      </c>
    </row>
    <row r="24" spans="1:17">
      <c r="A24" s="1" t="s">
        <v>369</v>
      </c>
      <c r="B24" s="1" t="s">
        <v>158</v>
      </c>
      <c r="C24" s="1" t="s">
        <v>2942</v>
      </c>
      <c r="D24" s="2"/>
      <c r="E24" s="2"/>
      <c r="F24" s="2"/>
      <c r="G24" s="2"/>
      <c r="H24" s="2">
        <v>0</v>
      </c>
      <c r="K24" s="3" t="s">
        <v>2921</v>
      </c>
      <c r="L24" s="4">
        <v>0</v>
      </c>
      <c r="Q24" s="4">
        <f>Q23-W23</f>
        <v>3.63797880709171e-11</v>
      </c>
    </row>
    <row r="25" spans="1:15">
      <c r="A25" s="1" t="s">
        <v>369</v>
      </c>
      <c r="B25" s="1" t="s">
        <v>159</v>
      </c>
      <c r="C25" s="1" t="s">
        <v>2942</v>
      </c>
      <c r="D25" s="2">
        <v>75471.7</v>
      </c>
      <c r="E25" s="2"/>
      <c r="F25" s="2"/>
      <c r="G25" s="2"/>
      <c r="H25" s="2">
        <v>75471.7</v>
      </c>
      <c r="K25" s="3" t="s">
        <v>2900</v>
      </c>
      <c r="L25" s="4">
        <v>881274.3</v>
      </c>
      <c r="M25" s="4">
        <v>19027.54</v>
      </c>
      <c r="O25" s="4">
        <v>862246.76</v>
      </c>
    </row>
    <row r="26" spans="1:15">
      <c r="A26" s="1" t="s">
        <v>369</v>
      </c>
      <c r="B26" s="1" t="s">
        <v>148</v>
      </c>
      <c r="C26" s="1" t="s">
        <v>2939</v>
      </c>
      <c r="D26" s="2"/>
      <c r="E26" s="2"/>
      <c r="F26" s="2"/>
      <c r="G26" s="2"/>
      <c r="H26" s="2">
        <v>0</v>
      </c>
      <c r="K26" s="3" t="s">
        <v>2901</v>
      </c>
      <c r="L26" s="4">
        <v>862246.76</v>
      </c>
      <c r="O26" s="4">
        <v>862246.76</v>
      </c>
    </row>
    <row r="27" spans="1:12">
      <c r="A27" s="1" t="s">
        <v>369</v>
      </c>
      <c r="B27" s="1" t="s">
        <v>149</v>
      </c>
      <c r="C27" s="1" t="s">
        <v>2939</v>
      </c>
      <c r="D27" s="2"/>
      <c r="E27" s="2"/>
      <c r="F27" s="2"/>
      <c r="G27" s="2"/>
      <c r="H27" s="2">
        <v>0</v>
      </c>
      <c r="K27" s="3" t="s">
        <v>2939</v>
      </c>
      <c r="L27" s="4">
        <v>0</v>
      </c>
    </row>
    <row r="28" spans="1:12">
      <c r="A28" s="1" t="s">
        <v>369</v>
      </c>
      <c r="B28" s="1" t="s">
        <v>150</v>
      </c>
      <c r="C28" s="1" t="s">
        <v>2939</v>
      </c>
      <c r="D28" s="2"/>
      <c r="E28" s="2"/>
      <c r="F28" s="2"/>
      <c r="G28" s="2"/>
      <c r="H28" s="2">
        <v>0</v>
      </c>
      <c r="K28" s="3" t="s">
        <v>2940</v>
      </c>
      <c r="L28" s="4">
        <v>0</v>
      </c>
    </row>
    <row r="29" spans="1:12">
      <c r="A29" s="1" t="s">
        <v>369</v>
      </c>
      <c r="B29" s="1" t="s">
        <v>151</v>
      </c>
      <c r="C29" s="1" t="s">
        <v>2939</v>
      </c>
      <c r="D29" s="2"/>
      <c r="E29" s="2"/>
      <c r="F29" s="2"/>
      <c r="G29" s="2"/>
      <c r="H29" s="2">
        <v>0</v>
      </c>
      <c r="K29" s="3" t="s">
        <v>2941</v>
      </c>
      <c r="L29" s="4">
        <v>0</v>
      </c>
    </row>
    <row r="30" spans="1:12">
      <c r="A30" s="1" t="s">
        <v>369</v>
      </c>
      <c r="B30" s="1" t="s">
        <v>152</v>
      </c>
      <c r="C30" s="1" t="s">
        <v>2939</v>
      </c>
      <c r="D30" s="2"/>
      <c r="E30" s="2"/>
      <c r="F30" s="2"/>
      <c r="G30" s="2"/>
      <c r="H30" s="2">
        <v>0</v>
      </c>
      <c r="K30" s="3" t="s">
        <v>2942</v>
      </c>
      <c r="L30" s="4">
        <v>0</v>
      </c>
    </row>
    <row r="31" spans="1:12">
      <c r="A31" s="1" t="s">
        <v>369</v>
      </c>
      <c r="B31" s="1" t="s">
        <v>153</v>
      </c>
      <c r="C31" s="1" t="s">
        <v>2939</v>
      </c>
      <c r="D31" s="2"/>
      <c r="E31" s="2"/>
      <c r="F31" s="2"/>
      <c r="G31" s="2"/>
      <c r="H31" s="2">
        <v>0</v>
      </c>
      <c r="K31" s="3" t="s">
        <v>2943</v>
      </c>
      <c r="L31" s="4">
        <v>0</v>
      </c>
    </row>
    <row r="32" spans="1:29">
      <c r="A32" s="1" t="s">
        <v>369</v>
      </c>
      <c r="B32" s="1" t="s">
        <v>154</v>
      </c>
      <c r="C32" s="1" t="s">
        <v>2939</v>
      </c>
      <c r="D32" s="2"/>
      <c r="E32" s="2"/>
      <c r="F32" s="2"/>
      <c r="G32" s="2"/>
      <c r="H32" s="2">
        <v>0</v>
      </c>
      <c r="J32" s="3" t="s">
        <v>151</v>
      </c>
      <c r="L32" s="4">
        <v>2111970.73</v>
      </c>
      <c r="M32" s="4">
        <v>616408.89</v>
      </c>
      <c r="O32" s="4">
        <v>1481375.2</v>
      </c>
      <c r="P32" s="4">
        <v>14186.64</v>
      </c>
      <c r="R32" s="4"/>
      <c r="S32" s="4" t="s">
        <v>12</v>
      </c>
      <c r="T32" s="4" t="s">
        <v>13</v>
      </c>
      <c r="U32" s="4" t="s">
        <v>14</v>
      </c>
      <c r="V32" s="4" t="s">
        <v>20</v>
      </c>
      <c r="Y32" s="20" t="s">
        <v>304</v>
      </c>
      <c r="Z32" s="20" t="s">
        <v>12</v>
      </c>
      <c r="AA32" s="20" t="s">
        <v>13</v>
      </c>
      <c r="AB32" s="20" t="s">
        <v>14</v>
      </c>
      <c r="AC32" s="20" t="s">
        <v>20</v>
      </c>
    </row>
    <row r="33" spans="1:29">
      <c r="A33" s="1" t="s">
        <v>369</v>
      </c>
      <c r="B33" s="1" t="s">
        <v>155</v>
      </c>
      <c r="C33" s="1" t="s">
        <v>2939</v>
      </c>
      <c r="D33" s="2"/>
      <c r="E33" s="2"/>
      <c r="F33" s="2"/>
      <c r="G33" s="2"/>
      <c r="H33" s="2">
        <v>0</v>
      </c>
      <c r="K33" s="3" t="s">
        <v>2937</v>
      </c>
      <c r="L33" s="4">
        <v>0.01</v>
      </c>
      <c r="P33" s="4">
        <v>0.01</v>
      </c>
      <c r="Q33" s="4">
        <f>(L34-L33+L35-L36+L37+L40-L41-L38+L39)*1.06</f>
        <v>467975.7854</v>
      </c>
      <c r="R33" t="s">
        <v>2938</v>
      </c>
      <c r="S33" s="4">
        <f>(M34-M33+M35-M36+M37+M40-M41-M38+M39)*1.06</f>
        <v>452937.9682</v>
      </c>
      <c r="T33" s="4">
        <f>(N34-N33+N35-N36+N37+N40-N41-N38+N39)*1.06</f>
        <v>0</v>
      </c>
      <c r="U33" s="4">
        <f>(O34-O33+O35-O36+O37+O40-O41-O38+O39)*1.06</f>
        <v>0</v>
      </c>
      <c r="V33" s="4">
        <f>(P34-P33+P35-P36+P37+P40-P41-P38+P39)*1.06</f>
        <v>15037.8172</v>
      </c>
      <c r="W33" s="4">
        <f>SUM(S33:V33)</f>
        <v>467975.7854</v>
      </c>
      <c r="Y33" s="20" t="s">
        <v>2938</v>
      </c>
      <c r="Z33" s="20">
        <f>S33/10000</f>
        <v>45.29379682</v>
      </c>
      <c r="AA33" s="20">
        <f>T33/10000</f>
        <v>0</v>
      </c>
      <c r="AB33" s="20">
        <f>U33/10000</f>
        <v>0</v>
      </c>
      <c r="AC33" s="20">
        <f>V33/10000</f>
        <v>1.50378172</v>
      </c>
    </row>
    <row r="34" spans="1:17">
      <c r="A34" s="1" t="s">
        <v>369</v>
      </c>
      <c r="B34" s="1" t="s">
        <v>156</v>
      </c>
      <c r="C34" s="1" t="s">
        <v>2939</v>
      </c>
      <c r="D34" s="2"/>
      <c r="E34" s="2"/>
      <c r="F34" s="2"/>
      <c r="G34" s="2"/>
      <c r="H34" s="2">
        <v>0</v>
      </c>
      <c r="K34" s="3" t="s">
        <v>2921</v>
      </c>
      <c r="L34" s="4">
        <v>0</v>
      </c>
      <c r="Q34" s="4">
        <f>Q33-W33</f>
        <v>0</v>
      </c>
    </row>
    <row r="35" spans="1:16">
      <c r="A35" s="1" t="s">
        <v>369</v>
      </c>
      <c r="B35" s="1" t="s">
        <v>157</v>
      </c>
      <c r="C35" s="1" t="s">
        <v>2939</v>
      </c>
      <c r="D35" s="2"/>
      <c r="E35" s="2"/>
      <c r="F35" s="2"/>
      <c r="G35" s="2"/>
      <c r="H35" s="2">
        <v>0</v>
      </c>
      <c r="K35" s="3" t="s">
        <v>2900</v>
      </c>
      <c r="L35" s="4">
        <v>756124.89</v>
      </c>
      <c r="M35" s="4">
        <v>1250.66</v>
      </c>
      <c r="O35" s="4">
        <v>740687.6</v>
      </c>
      <c r="P35" s="4">
        <v>14186.63</v>
      </c>
    </row>
    <row r="36" spans="1:15">
      <c r="A36" s="1" t="s">
        <v>369</v>
      </c>
      <c r="B36" s="1" t="s">
        <v>158</v>
      </c>
      <c r="C36" s="1" t="s">
        <v>2939</v>
      </c>
      <c r="D36" s="2"/>
      <c r="E36" s="2"/>
      <c r="F36" s="2"/>
      <c r="G36" s="2"/>
      <c r="H36" s="2">
        <v>0</v>
      </c>
      <c r="K36" s="3" t="s">
        <v>2901</v>
      </c>
      <c r="L36" s="4">
        <v>740687.6</v>
      </c>
      <c r="O36" s="4">
        <v>740687.6</v>
      </c>
    </row>
    <row r="37" spans="1:12">
      <c r="A37" s="1" t="s">
        <v>369</v>
      </c>
      <c r="B37" s="1" t="s">
        <v>159</v>
      </c>
      <c r="C37" s="1" t="s">
        <v>2939</v>
      </c>
      <c r="D37" s="2"/>
      <c r="E37" s="2"/>
      <c r="F37" s="2"/>
      <c r="G37" s="2"/>
      <c r="H37" s="2">
        <v>0</v>
      </c>
      <c r="K37" s="3" t="s">
        <v>2939</v>
      </c>
      <c r="L37" s="4">
        <v>0</v>
      </c>
    </row>
    <row r="38" spans="1:13">
      <c r="A38" s="1" t="s">
        <v>369</v>
      </c>
      <c r="B38" s="1" t="s">
        <v>148</v>
      </c>
      <c r="C38" s="1" t="s">
        <v>2921</v>
      </c>
      <c r="D38" s="2"/>
      <c r="E38" s="2"/>
      <c r="F38" s="2"/>
      <c r="G38" s="2">
        <v>784</v>
      </c>
      <c r="H38" s="2">
        <v>784</v>
      </c>
      <c r="K38" s="3" t="s">
        <v>2940</v>
      </c>
      <c r="L38" s="4">
        <v>94554.46</v>
      </c>
      <c r="M38" s="4">
        <v>94554.46</v>
      </c>
    </row>
    <row r="39" spans="1:12">
      <c r="A39" s="1" t="s">
        <v>369</v>
      </c>
      <c r="B39" s="1" t="s">
        <v>149</v>
      </c>
      <c r="C39" s="1" t="s">
        <v>2921</v>
      </c>
      <c r="D39" s="2"/>
      <c r="E39" s="2"/>
      <c r="F39" s="2"/>
      <c r="G39" s="2">
        <v>43657.5</v>
      </c>
      <c r="H39" s="2">
        <v>43657.5</v>
      </c>
      <c r="K39" s="3" t="s">
        <v>2941</v>
      </c>
      <c r="L39" s="4">
        <v>0</v>
      </c>
    </row>
    <row r="40" spans="1:13">
      <c r="A40" s="1" t="s">
        <v>369</v>
      </c>
      <c r="B40" s="1" t="s">
        <v>150</v>
      </c>
      <c r="C40" s="1" t="s">
        <v>2921</v>
      </c>
      <c r="D40" s="2"/>
      <c r="E40" s="2"/>
      <c r="F40" s="2"/>
      <c r="G40" s="2"/>
      <c r="H40" s="2">
        <v>0</v>
      </c>
      <c r="K40" s="3" t="s">
        <v>2942</v>
      </c>
      <c r="L40" s="4">
        <v>520603.77</v>
      </c>
      <c r="M40" s="4">
        <v>520603.77</v>
      </c>
    </row>
    <row r="41" spans="1:12">
      <c r="A41" s="1" t="s">
        <v>369</v>
      </c>
      <c r="B41" s="1" t="s">
        <v>151</v>
      </c>
      <c r="C41" s="1" t="s">
        <v>2921</v>
      </c>
      <c r="D41" s="2"/>
      <c r="E41" s="2"/>
      <c r="F41" s="2"/>
      <c r="G41" s="2"/>
      <c r="H41" s="2">
        <v>0</v>
      </c>
      <c r="K41" s="3" t="s">
        <v>2943</v>
      </c>
      <c r="L41" s="4">
        <v>0</v>
      </c>
    </row>
    <row r="42" spans="1:29">
      <c r="A42" s="1" t="s">
        <v>369</v>
      </c>
      <c r="B42" s="1" t="s">
        <v>152</v>
      </c>
      <c r="C42" s="1" t="s">
        <v>2921</v>
      </c>
      <c r="D42" s="2"/>
      <c r="E42" s="2"/>
      <c r="F42" s="2"/>
      <c r="G42" s="2"/>
      <c r="H42" s="2">
        <v>0</v>
      </c>
      <c r="J42" s="3" t="s">
        <v>152</v>
      </c>
      <c r="L42" s="4">
        <v>1472811.35</v>
      </c>
      <c r="M42" s="4">
        <v>14783.06</v>
      </c>
      <c r="O42" s="4">
        <v>1456707.54</v>
      </c>
      <c r="P42" s="4">
        <v>1320.75</v>
      </c>
      <c r="R42" s="4"/>
      <c r="S42" s="4" t="s">
        <v>12</v>
      </c>
      <c r="T42" s="4" t="s">
        <v>13</v>
      </c>
      <c r="U42" s="4" t="s">
        <v>14</v>
      </c>
      <c r="V42" s="4" t="s">
        <v>20</v>
      </c>
      <c r="Y42" s="20" t="s">
        <v>304</v>
      </c>
      <c r="Z42" s="20" t="s">
        <v>12</v>
      </c>
      <c r="AA42" s="20" t="s">
        <v>13</v>
      </c>
      <c r="AB42" s="20" t="s">
        <v>14</v>
      </c>
      <c r="AC42" s="20" t="s">
        <v>20</v>
      </c>
    </row>
    <row r="43" spans="1:29">
      <c r="A43" s="1" t="s">
        <v>369</v>
      </c>
      <c r="B43" s="1" t="s">
        <v>153</v>
      </c>
      <c r="C43" s="1" t="s">
        <v>2921</v>
      </c>
      <c r="D43" s="2"/>
      <c r="E43" s="2"/>
      <c r="F43" s="2"/>
      <c r="G43" s="2"/>
      <c r="H43" s="2">
        <v>0</v>
      </c>
      <c r="K43" s="3" t="s">
        <v>2937</v>
      </c>
      <c r="L43" s="4">
        <v>0</v>
      </c>
      <c r="Q43" s="4">
        <f>(L44-L43+L45-L46+L47+L50-L51-L48+L49)*1.06</f>
        <v>17070.0386</v>
      </c>
      <c r="R43" t="s">
        <v>2938</v>
      </c>
      <c r="S43" s="4">
        <f>(M44-M43+M45-M46+M47+M50-M51-M48+M49)*1.06</f>
        <v>15670.0436</v>
      </c>
      <c r="T43" s="4">
        <f>(N44-N43+N45-N46+N47+N50-N51-N48+N49)*1.06</f>
        <v>0</v>
      </c>
      <c r="U43" s="4">
        <f>(O44-O43+O45-O46+O47+O50-O51-O48+O49)*1.06</f>
        <v>0</v>
      </c>
      <c r="V43" s="4">
        <f>(P44-P43+P45-P46+P47+P50-P51-P48+P49)*1.06</f>
        <v>1399.995</v>
      </c>
      <c r="W43" s="4">
        <f>SUM(S43:V43)</f>
        <v>17070.0386</v>
      </c>
      <c r="Y43" s="20" t="s">
        <v>2938</v>
      </c>
      <c r="Z43" s="20">
        <f>S43/10000</f>
        <v>1.56700436</v>
      </c>
      <c r="AA43" s="20">
        <f>T43/10000</f>
        <v>0</v>
      </c>
      <c r="AB43" s="20">
        <f>U43/10000</f>
        <v>0</v>
      </c>
      <c r="AC43" s="20">
        <f>V43/10000</f>
        <v>0.1399995</v>
      </c>
    </row>
    <row r="44" spans="1:17">
      <c r="A44" s="1" t="s">
        <v>369</v>
      </c>
      <c r="B44" s="1" t="s">
        <v>154</v>
      </c>
      <c r="C44" s="1" t="s">
        <v>2921</v>
      </c>
      <c r="D44" s="2"/>
      <c r="E44" s="2"/>
      <c r="F44" s="2"/>
      <c r="G44" s="2"/>
      <c r="H44" s="2">
        <v>0</v>
      </c>
      <c r="K44" s="3" t="s">
        <v>2921</v>
      </c>
      <c r="L44" s="4">
        <v>0</v>
      </c>
      <c r="Q44" s="4">
        <f>Q43-W43</f>
        <v>3.63797880709171e-11</v>
      </c>
    </row>
    <row r="45" spans="1:16">
      <c r="A45" s="1" t="s">
        <v>369</v>
      </c>
      <c r="B45" s="1" t="s">
        <v>155</v>
      </c>
      <c r="C45" s="1" t="s">
        <v>2921</v>
      </c>
      <c r="D45" s="2"/>
      <c r="E45" s="2"/>
      <c r="F45" s="2"/>
      <c r="G45" s="2"/>
      <c r="H45" s="2">
        <v>0</v>
      </c>
      <c r="K45" s="3" t="s">
        <v>2900</v>
      </c>
      <c r="L45" s="4">
        <v>732193.43</v>
      </c>
      <c r="M45" s="4">
        <v>2518.91</v>
      </c>
      <c r="O45" s="4">
        <v>728353.77</v>
      </c>
      <c r="P45" s="4">
        <v>1320.75</v>
      </c>
    </row>
    <row r="46" spans="1:15">
      <c r="A46" s="1" t="s">
        <v>369</v>
      </c>
      <c r="B46" s="1" t="s">
        <v>156</v>
      </c>
      <c r="C46" s="1" t="s">
        <v>2921</v>
      </c>
      <c r="D46" s="2"/>
      <c r="E46" s="2"/>
      <c r="F46" s="2"/>
      <c r="G46" s="2"/>
      <c r="H46" s="2">
        <v>0</v>
      </c>
      <c r="K46" s="3" t="s">
        <v>2901</v>
      </c>
      <c r="L46" s="4">
        <v>728353.77</v>
      </c>
      <c r="O46" s="4">
        <v>728353.77</v>
      </c>
    </row>
    <row r="47" spans="1:12">
      <c r="A47" s="1" t="s">
        <v>369</v>
      </c>
      <c r="B47" s="1" t="s">
        <v>157</v>
      </c>
      <c r="C47" s="1" t="s">
        <v>2921</v>
      </c>
      <c r="D47" s="2"/>
      <c r="E47" s="2"/>
      <c r="F47" s="2"/>
      <c r="G47" s="2"/>
      <c r="H47" s="2">
        <v>0</v>
      </c>
      <c r="K47" s="3" t="s">
        <v>2939</v>
      </c>
      <c r="L47" s="4">
        <v>0</v>
      </c>
    </row>
    <row r="48" spans="1:12">
      <c r="A48" s="1" t="s">
        <v>369</v>
      </c>
      <c r="B48" s="1" t="s">
        <v>158</v>
      </c>
      <c r="C48" s="1" t="s">
        <v>2921</v>
      </c>
      <c r="D48" s="2"/>
      <c r="E48" s="2"/>
      <c r="F48" s="2"/>
      <c r="G48" s="2"/>
      <c r="H48" s="2">
        <v>0</v>
      </c>
      <c r="K48" s="3" t="s">
        <v>2940</v>
      </c>
      <c r="L48" s="4">
        <v>0</v>
      </c>
    </row>
    <row r="49" spans="1:12">
      <c r="A49" s="1" t="s">
        <v>369</v>
      </c>
      <c r="B49" s="1" t="s">
        <v>159</v>
      </c>
      <c r="C49" s="1" t="s">
        <v>2921</v>
      </c>
      <c r="D49" s="2"/>
      <c r="E49" s="2"/>
      <c r="F49" s="2"/>
      <c r="G49" s="2"/>
      <c r="H49" s="2">
        <v>0</v>
      </c>
      <c r="K49" s="3" t="s">
        <v>2941</v>
      </c>
      <c r="L49" s="4">
        <v>0</v>
      </c>
    </row>
    <row r="50" spans="1:13">
      <c r="A50" s="1" t="s">
        <v>369</v>
      </c>
      <c r="B50" s="1" t="s">
        <v>148</v>
      </c>
      <c r="C50" s="1" t="s">
        <v>2940</v>
      </c>
      <c r="D50" s="2"/>
      <c r="E50" s="2"/>
      <c r="F50" s="2"/>
      <c r="G50" s="2"/>
      <c r="H50" s="2">
        <v>0</v>
      </c>
      <c r="K50" s="3" t="s">
        <v>2942</v>
      </c>
      <c r="L50" s="4">
        <v>12264.15</v>
      </c>
      <c r="M50" s="4">
        <v>12264.15</v>
      </c>
    </row>
    <row r="51" spans="1:12">
      <c r="A51" s="1" t="s">
        <v>369</v>
      </c>
      <c r="B51" s="1" t="s">
        <v>149</v>
      </c>
      <c r="C51" s="1" t="s">
        <v>2940</v>
      </c>
      <c r="D51" s="2"/>
      <c r="E51" s="2"/>
      <c r="F51" s="2"/>
      <c r="G51" s="2"/>
      <c r="H51" s="2">
        <v>0</v>
      </c>
      <c r="K51" s="3" t="s">
        <v>2943</v>
      </c>
      <c r="L51" s="4">
        <v>0</v>
      </c>
    </row>
    <row r="52" spans="1:29">
      <c r="A52" s="1" t="s">
        <v>369</v>
      </c>
      <c r="B52" s="1" t="s">
        <v>150</v>
      </c>
      <c r="C52" s="1" t="s">
        <v>2940</v>
      </c>
      <c r="D52" s="2"/>
      <c r="E52" s="2"/>
      <c r="F52" s="2"/>
      <c r="G52" s="2"/>
      <c r="H52" s="2">
        <v>0</v>
      </c>
      <c r="J52" s="3" t="s">
        <v>153</v>
      </c>
      <c r="L52" s="4">
        <v>4489946.23</v>
      </c>
      <c r="M52" s="4">
        <v>2499783.43</v>
      </c>
      <c r="O52" s="4">
        <v>1931991.76</v>
      </c>
      <c r="P52" s="4">
        <v>58171.04</v>
      </c>
      <c r="R52" s="4"/>
      <c r="S52" s="4" t="s">
        <v>12</v>
      </c>
      <c r="T52" s="4" t="s">
        <v>13</v>
      </c>
      <c r="U52" s="4" t="s">
        <v>14</v>
      </c>
      <c r="V52" s="4" t="s">
        <v>20</v>
      </c>
      <c r="Y52" s="20" t="s">
        <v>304</v>
      </c>
      <c r="Z52" s="20" t="s">
        <v>12</v>
      </c>
      <c r="AA52" s="20" t="s">
        <v>13</v>
      </c>
      <c r="AB52" s="20" t="s">
        <v>14</v>
      </c>
      <c r="AC52" s="20" t="s">
        <v>20</v>
      </c>
    </row>
    <row r="53" spans="1:29">
      <c r="A53" s="1" t="s">
        <v>369</v>
      </c>
      <c r="B53" s="1" t="s">
        <v>151</v>
      </c>
      <c r="C53" s="1" t="s">
        <v>2940</v>
      </c>
      <c r="D53" s="2">
        <v>94554.46</v>
      </c>
      <c r="E53" s="2"/>
      <c r="F53" s="2"/>
      <c r="G53" s="2"/>
      <c r="H53" s="2">
        <v>94554.46</v>
      </c>
      <c r="K53" s="3" t="s">
        <v>2937</v>
      </c>
      <c r="L53" s="4">
        <v>0</v>
      </c>
      <c r="Q53" s="4">
        <f>(L54-L53+L55-L56+L57+L60-L61-L58+L59)*1.06</f>
        <v>1811431.7422</v>
      </c>
      <c r="R53" t="s">
        <v>2938</v>
      </c>
      <c r="S53" s="4">
        <f>(M54-M53+M55-M56+M57+M60-M61-M58+M59)*1.06</f>
        <v>1749770.4398</v>
      </c>
      <c r="T53" s="4">
        <f>(N54-N53+N55-N56+N57+N60-N61-N58+N59)*1.06</f>
        <v>0</v>
      </c>
      <c r="U53" s="4">
        <f>(O54-O53+O55-O56+O57+O60-O61-O58+O59)*1.06</f>
        <v>0</v>
      </c>
      <c r="V53" s="4">
        <f>(P54-P53+P55-P56+P57+P60-P61-P58+P59)*1.06</f>
        <v>61661.3024</v>
      </c>
      <c r="W53" s="4">
        <f>SUM(S53:V53)</f>
        <v>1811431.7422</v>
      </c>
      <c r="Y53" s="20" t="s">
        <v>2938</v>
      </c>
      <c r="Z53" s="20">
        <f>S53/10000</f>
        <v>174.97704398</v>
      </c>
      <c r="AA53" s="20">
        <f>T53/10000</f>
        <v>0</v>
      </c>
      <c r="AB53" s="20">
        <f>U53/10000</f>
        <v>0</v>
      </c>
      <c r="AC53" s="20">
        <f>V53/10000</f>
        <v>6.16613024</v>
      </c>
    </row>
    <row r="54" spans="1:17">
      <c r="A54" s="1" t="s">
        <v>369</v>
      </c>
      <c r="B54" s="1" t="s">
        <v>152</v>
      </c>
      <c r="C54" s="1" t="s">
        <v>2940</v>
      </c>
      <c r="D54" s="2"/>
      <c r="E54" s="2"/>
      <c r="F54" s="2"/>
      <c r="G54" s="2"/>
      <c r="H54" s="2">
        <v>0</v>
      </c>
      <c r="K54" s="3" t="s">
        <v>2921</v>
      </c>
      <c r="L54" s="4">
        <v>0</v>
      </c>
      <c r="Q54" s="4">
        <f>Q53-W53</f>
        <v>0</v>
      </c>
    </row>
    <row r="55" spans="1:16">
      <c r="A55" s="1" t="s">
        <v>369</v>
      </c>
      <c r="B55" s="1" t="s">
        <v>153</v>
      </c>
      <c r="C55" s="1" t="s">
        <v>2940</v>
      </c>
      <c r="D55" s="2">
        <v>424528.3</v>
      </c>
      <c r="E55" s="2"/>
      <c r="F55" s="2"/>
      <c r="G55" s="2"/>
      <c r="H55" s="2">
        <v>424528.3</v>
      </c>
      <c r="K55" s="3" t="s">
        <v>2900</v>
      </c>
      <c r="L55" s="4">
        <v>1028924.88</v>
      </c>
      <c r="M55" s="4">
        <v>4757.96</v>
      </c>
      <c r="O55" s="4">
        <v>965995.88</v>
      </c>
      <c r="P55" s="4">
        <v>58171.04</v>
      </c>
    </row>
    <row r="56" spans="1:15">
      <c r="A56" s="1" t="s">
        <v>369</v>
      </c>
      <c r="B56" s="1" t="s">
        <v>154</v>
      </c>
      <c r="C56" s="1" t="s">
        <v>2940</v>
      </c>
      <c r="D56" s="2"/>
      <c r="E56" s="2"/>
      <c r="F56" s="2"/>
      <c r="G56" s="2"/>
      <c r="H56" s="2">
        <v>0</v>
      </c>
      <c r="K56" s="3" t="s">
        <v>2901</v>
      </c>
      <c r="L56" s="4">
        <v>965995.88</v>
      </c>
      <c r="O56" s="4">
        <v>965995.88</v>
      </c>
    </row>
    <row r="57" spans="1:12">
      <c r="A57" s="1" t="s">
        <v>369</v>
      </c>
      <c r="B57" s="1" t="s">
        <v>155</v>
      </c>
      <c r="C57" s="1" t="s">
        <v>2940</v>
      </c>
      <c r="D57" s="2"/>
      <c r="E57" s="2"/>
      <c r="F57" s="2"/>
      <c r="G57" s="2"/>
      <c r="H57" s="2">
        <v>0</v>
      </c>
      <c r="K57" s="3" t="s">
        <v>2939</v>
      </c>
      <c r="L57" s="4">
        <v>0</v>
      </c>
    </row>
    <row r="58" spans="1:13">
      <c r="A58" s="1" t="s">
        <v>369</v>
      </c>
      <c r="B58" s="1" t="s">
        <v>156</v>
      </c>
      <c r="C58" s="1" t="s">
        <v>2940</v>
      </c>
      <c r="D58" s="2"/>
      <c r="E58" s="2"/>
      <c r="F58" s="2"/>
      <c r="G58" s="2"/>
      <c r="H58" s="2">
        <v>0</v>
      </c>
      <c r="K58" s="3" t="s">
        <v>2940</v>
      </c>
      <c r="L58" s="4">
        <v>424528.3</v>
      </c>
      <c r="M58" s="4">
        <v>424528.3</v>
      </c>
    </row>
    <row r="59" spans="1:12">
      <c r="A59" s="1" t="s">
        <v>369</v>
      </c>
      <c r="B59" s="1" t="s">
        <v>157</v>
      </c>
      <c r="C59" s="1" t="s">
        <v>2940</v>
      </c>
      <c r="D59" s="2"/>
      <c r="E59" s="2"/>
      <c r="F59" s="2"/>
      <c r="G59" s="2"/>
      <c r="H59" s="2">
        <v>0</v>
      </c>
      <c r="K59" s="3" t="s">
        <v>2941</v>
      </c>
      <c r="L59" s="4">
        <v>0</v>
      </c>
    </row>
    <row r="60" spans="1:13">
      <c r="A60" s="1" t="s">
        <v>369</v>
      </c>
      <c r="B60" s="1" t="s">
        <v>158</v>
      </c>
      <c r="C60" s="1" t="s">
        <v>2940</v>
      </c>
      <c r="D60" s="2">
        <v>38118.81</v>
      </c>
      <c r="E60" s="2"/>
      <c r="F60" s="2"/>
      <c r="G60" s="2"/>
      <c r="H60" s="2">
        <v>38118.81</v>
      </c>
      <c r="K60" s="3" t="s">
        <v>2942</v>
      </c>
      <c r="L60" s="4">
        <v>2070497.17</v>
      </c>
      <c r="M60" s="4">
        <v>2070497.17</v>
      </c>
    </row>
    <row r="61" spans="1:12">
      <c r="A61" s="1" t="s">
        <v>369</v>
      </c>
      <c r="B61" s="1" t="s">
        <v>159</v>
      </c>
      <c r="C61" s="1" t="s">
        <v>2940</v>
      </c>
      <c r="D61" s="2">
        <v>472776.02</v>
      </c>
      <c r="E61" s="2"/>
      <c r="F61" s="2"/>
      <c r="G61" s="2"/>
      <c r="H61" s="2">
        <v>472776.02</v>
      </c>
      <c r="K61" s="3" t="s">
        <v>2943</v>
      </c>
      <c r="L61" s="4">
        <v>0</v>
      </c>
    </row>
    <row r="62" spans="1:29">
      <c r="A62" s="1" t="s">
        <v>369</v>
      </c>
      <c r="B62" s="1" t="s">
        <v>148</v>
      </c>
      <c r="C62" s="1" t="s">
        <v>2937</v>
      </c>
      <c r="D62" s="2"/>
      <c r="E62" s="2"/>
      <c r="F62" s="2"/>
      <c r="G62" s="2">
        <v>1345.46</v>
      </c>
      <c r="H62" s="2">
        <v>1345.46</v>
      </c>
      <c r="J62" s="3" t="s">
        <v>154</v>
      </c>
      <c r="L62" s="4">
        <v>1021289.52</v>
      </c>
      <c r="M62" s="4">
        <v>1787.14</v>
      </c>
      <c r="O62" s="4">
        <v>966660.08</v>
      </c>
      <c r="P62" s="4">
        <v>52842.3</v>
      </c>
      <c r="R62" s="4"/>
      <c r="S62" s="4" t="s">
        <v>12</v>
      </c>
      <c r="T62" s="4" t="s">
        <v>13</v>
      </c>
      <c r="U62" s="4" t="s">
        <v>14</v>
      </c>
      <c r="V62" s="4" t="s">
        <v>20</v>
      </c>
      <c r="Y62" s="20" t="s">
        <v>304</v>
      </c>
      <c r="Z62" s="20" t="s">
        <v>12</v>
      </c>
      <c r="AA62" s="20" t="s">
        <v>13</v>
      </c>
      <c r="AB62" s="20" t="s">
        <v>14</v>
      </c>
      <c r="AC62" s="20" t="s">
        <v>20</v>
      </c>
    </row>
    <row r="63" spans="1:29">
      <c r="A63" s="1" t="s">
        <v>369</v>
      </c>
      <c r="B63" s="1" t="s">
        <v>149</v>
      </c>
      <c r="C63" s="1" t="s">
        <v>2937</v>
      </c>
      <c r="D63" s="2"/>
      <c r="E63" s="2"/>
      <c r="F63" s="2"/>
      <c r="G63" s="2">
        <v>43012.18</v>
      </c>
      <c r="H63" s="2">
        <v>43012.18</v>
      </c>
      <c r="K63" s="3" t="s">
        <v>2937</v>
      </c>
      <c r="L63" s="4">
        <v>0</v>
      </c>
      <c r="Q63" s="4">
        <f>(L64-L63+L65-L66+L67+L70-L71-L68+L69)*1.06</f>
        <v>57907.2064</v>
      </c>
      <c r="R63" t="s">
        <v>2938</v>
      </c>
      <c r="S63" s="4">
        <f>(M64-M63+M65-M66+M67+M70-M71-M68+M69)*1.06</f>
        <v>1894.3684</v>
      </c>
      <c r="T63" s="4">
        <f>(N64-N63+N65-N66+N67+N70-N71-N68+N69)*1.06</f>
        <v>0</v>
      </c>
      <c r="U63" s="4">
        <f>(O64-O63+O65-O66+O67+O70-O71-O68+O69)*1.06</f>
        <v>0</v>
      </c>
      <c r="V63" s="4">
        <f>(P64-P63+P65-P66+P67+P70-P71-P68+P69)*1.06</f>
        <v>56012.838</v>
      </c>
      <c r="W63" s="4">
        <f>SUM(S63:V63)</f>
        <v>57907.2064</v>
      </c>
      <c r="Y63" s="20" t="s">
        <v>2938</v>
      </c>
      <c r="Z63" s="20">
        <f>S63/10000</f>
        <v>0.18943684</v>
      </c>
      <c r="AA63" s="20">
        <f>T63/10000</f>
        <v>0</v>
      </c>
      <c r="AB63" s="20">
        <f>U63/10000</f>
        <v>0</v>
      </c>
      <c r="AC63" s="20">
        <f>V63/10000</f>
        <v>5.6012838</v>
      </c>
    </row>
    <row r="64" spans="1:17">
      <c r="A64" s="1" t="s">
        <v>369</v>
      </c>
      <c r="B64" s="1" t="s">
        <v>150</v>
      </c>
      <c r="C64" s="1" t="s">
        <v>2937</v>
      </c>
      <c r="D64" s="2"/>
      <c r="E64" s="2"/>
      <c r="F64" s="2"/>
      <c r="G64" s="2"/>
      <c r="H64" s="2">
        <v>0</v>
      </c>
      <c r="K64" s="3" t="s">
        <v>2921</v>
      </c>
      <c r="L64" s="4">
        <v>0</v>
      </c>
      <c r="Q64" s="4">
        <f>Q63-W63</f>
        <v>0</v>
      </c>
    </row>
    <row r="65" spans="1:16">
      <c r="A65" s="1" t="s">
        <v>369</v>
      </c>
      <c r="B65" s="1" t="s">
        <v>151</v>
      </c>
      <c r="C65" s="1" t="s">
        <v>2937</v>
      </c>
      <c r="D65" s="2"/>
      <c r="E65" s="2"/>
      <c r="F65" s="2"/>
      <c r="G65" s="2">
        <v>0.01</v>
      </c>
      <c r="H65" s="2">
        <v>0.01</v>
      </c>
      <c r="K65" s="3" t="s">
        <v>2900</v>
      </c>
      <c r="L65" s="4">
        <v>537959.48</v>
      </c>
      <c r="M65" s="4">
        <v>1787.14</v>
      </c>
      <c r="O65" s="4">
        <v>483330.04</v>
      </c>
      <c r="P65" s="4">
        <v>52842.3</v>
      </c>
    </row>
    <row r="66" spans="1:15">
      <c r="A66" s="1" t="s">
        <v>369</v>
      </c>
      <c r="B66" s="1" t="s">
        <v>152</v>
      </c>
      <c r="C66" s="1" t="s">
        <v>2937</v>
      </c>
      <c r="D66" s="2"/>
      <c r="E66" s="2"/>
      <c r="F66" s="2"/>
      <c r="G66" s="2"/>
      <c r="H66" s="2">
        <v>0</v>
      </c>
      <c r="K66" s="3" t="s">
        <v>2901</v>
      </c>
      <c r="L66" s="4">
        <v>483330.04</v>
      </c>
      <c r="O66" s="4">
        <v>483330.04</v>
      </c>
    </row>
    <row r="67" spans="1:12">
      <c r="A67" s="1" t="s">
        <v>369</v>
      </c>
      <c r="B67" s="1" t="s">
        <v>153</v>
      </c>
      <c r="C67" s="1" t="s">
        <v>2937</v>
      </c>
      <c r="D67" s="2"/>
      <c r="E67" s="2"/>
      <c r="F67" s="2"/>
      <c r="G67" s="2"/>
      <c r="H67" s="2">
        <v>0</v>
      </c>
      <c r="K67" s="3" t="s">
        <v>2939</v>
      </c>
      <c r="L67" s="4">
        <v>0</v>
      </c>
    </row>
    <row r="68" spans="1:12">
      <c r="A68" s="1" t="s">
        <v>369</v>
      </c>
      <c r="B68" s="1" t="s">
        <v>154</v>
      </c>
      <c r="C68" s="1" t="s">
        <v>2937</v>
      </c>
      <c r="D68" s="2"/>
      <c r="E68" s="2"/>
      <c r="F68" s="2"/>
      <c r="G68" s="2"/>
      <c r="H68" s="2">
        <v>0</v>
      </c>
      <c r="K68" s="3" t="s">
        <v>2940</v>
      </c>
      <c r="L68" s="4">
        <v>0</v>
      </c>
    </row>
    <row r="69" spans="1:12">
      <c r="A69" s="1" t="s">
        <v>369</v>
      </c>
      <c r="B69" s="1" t="s">
        <v>155</v>
      </c>
      <c r="C69" s="1" t="s">
        <v>2937</v>
      </c>
      <c r="D69" s="2"/>
      <c r="E69" s="2"/>
      <c r="F69" s="2"/>
      <c r="G69" s="2"/>
      <c r="H69" s="2">
        <v>0</v>
      </c>
      <c r="K69" s="3" t="s">
        <v>2941</v>
      </c>
      <c r="L69" s="4">
        <v>0</v>
      </c>
    </row>
    <row r="70" spans="1:12">
      <c r="A70" s="1" t="s">
        <v>369</v>
      </c>
      <c r="B70" s="1" t="s">
        <v>156</v>
      </c>
      <c r="C70" s="1" t="s">
        <v>2937</v>
      </c>
      <c r="D70" s="2"/>
      <c r="E70" s="2"/>
      <c r="F70" s="2"/>
      <c r="G70" s="2"/>
      <c r="H70" s="2">
        <v>0</v>
      </c>
      <c r="K70" s="3" t="s">
        <v>2942</v>
      </c>
      <c r="L70" s="4">
        <v>0</v>
      </c>
    </row>
    <row r="71" spans="1:12">
      <c r="A71" s="1" t="s">
        <v>369</v>
      </c>
      <c r="B71" s="1" t="s">
        <v>157</v>
      </c>
      <c r="C71" s="1" t="s">
        <v>2937</v>
      </c>
      <c r="D71" s="2"/>
      <c r="E71" s="2"/>
      <c r="F71" s="2"/>
      <c r="G71" s="2"/>
      <c r="H71" s="2">
        <v>0</v>
      </c>
      <c r="K71" s="3" t="s">
        <v>2943</v>
      </c>
      <c r="L71" s="4">
        <v>0</v>
      </c>
    </row>
    <row r="72" spans="1:29">
      <c r="A72" s="1" t="s">
        <v>369</v>
      </c>
      <c r="B72" s="1" t="s">
        <v>158</v>
      </c>
      <c r="C72" s="1" t="s">
        <v>2937</v>
      </c>
      <c r="D72" s="2"/>
      <c r="E72" s="2"/>
      <c r="F72" s="2"/>
      <c r="G72" s="2"/>
      <c r="H72" s="2">
        <v>0</v>
      </c>
      <c r="J72" s="3" t="s">
        <v>155</v>
      </c>
      <c r="L72" s="4">
        <v>1097353.74</v>
      </c>
      <c r="M72" s="4">
        <v>1042.36</v>
      </c>
      <c r="O72" s="4">
        <v>1032342.02</v>
      </c>
      <c r="P72" s="4">
        <v>63969.36</v>
      </c>
      <c r="R72" s="4"/>
      <c r="S72" s="4" t="s">
        <v>12</v>
      </c>
      <c r="T72" s="4" t="s">
        <v>13</v>
      </c>
      <c r="U72" s="4" t="s">
        <v>14</v>
      </c>
      <c r="V72" s="4" t="s">
        <v>20</v>
      </c>
      <c r="Y72" s="20" t="s">
        <v>304</v>
      </c>
      <c r="Z72" s="20" t="s">
        <v>12</v>
      </c>
      <c r="AA72" s="20" t="s">
        <v>13</v>
      </c>
      <c r="AB72" s="20" t="s">
        <v>14</v>
      </c>
      <c r="AC72" s="20" t="s">
        <v>20</v>
      </c>
    </row>
    <row r="73" spans="1:29">
      <c r="A73" s="1" t="s">
        <v>369</v>
      </c>
      <c r="B73" s="1" t="s">
        <v>159</v>
      </c>
      <c r="C73" s="1" t="s">
        <v>2937</v>
      </c>
      <c r="D73" s="2"/>
      <c r="E73" s="2"/>
      <c r="F73" s="2"/>
      <c r="G73" s="2"/>
      <c r="H73" s="2">
        <v>0</v>
      </c>
      <c r="K73" s="3" t="s">
        <v>2937</v>
      </c>
      <c r="L73" s="4">
        <v>0</v>
      </c>
      <c r="Q73" s="4">
        <f>(L74-L73+L75-L76+L77+L80-L81-L78+L79)*1.06</f>
        <v>68912.4232</v>
      </c>
      <c r="R73" t="s">
        <v>2938</v>
      </c>
      <c r="S73" s="4">
        <f>(M74-M73+M75-M76+M77+M80-M81-M78+M79)*1.06</f>
        <v>1104.9016</v>
      </c>
      <c r="T73" s="4">
        <f>(N74-N73+N75-N76+N77+N80-N81-N78+N79)*1.06</f>
        <v>0</v>
      </c>
      <c r="U73" s="4">
        <f>(O74-O73+O75-O76+O77+O80-O81-O78+O79)*1.06</f>
        <v>0</v>
      </c>
      <c r="V73" s="4">
        <f>(P74-P73+P75-P76+P77+P80-P81-P78+P79)*1.06</f>
        <v>67807.5216</v>
      </c>
      <c r="W73" s="4">
        <f>SUM(S73:V73)</f>
        <v>68912.4232</v>
      </c>
      <c r="Y73" s="20" t="s">
        <v>2938</v>
      </c>
      <c r="Z73" s="20">
        <f>S73/10000</f>
        <v>0.11049016</v>
      </c>
      <c r="AA73" s="20">
        <f>T73/10000</f>
        <v>0</v>
      </c>
      <c r="AB73" s="20">
        <f>U73/10000</f>
        <v>0</v>
      </c>
      <c r="AC73" s="20">
        <f>V73/10000</f>
        <v>6.78075216</v>
      </c>
    </row>
    <row r="74" spans="1:17">
      <c r="A74" s="1" t="s">
        <v>2906</v>
      </c>
      <c r="B74" s="1" t="s">
        <v>148</v>
      </c>
      <c r="C74" s="1" t="s">
        <v>2900</v>
      </c>
      <c r="D74" s="2"/>
      <c r="E74" s="2"/>
      <c r="F74" s="2"/>
      <c r="G74" s="2"/>
      <c r="H74" s="2">
        <v>0</v>
      </c>
      <c r="K74" s="3" t="s">
        <v>2921</v>
      </c>
      <c r="L74" s="4">
        <v>0</v>
      </c>
      <c r="Q74" s="4">
        <f>Q73-W73</f>
        <v>0</v>
      </c>
    </row>
    <row r="75" spans="1:16">
      <c r="A75" s="1" t="s">
        <v>2906</v>
      </c>
      <c r="B75" s="1" t="s">
        <v>149</v>
      </c>
      <c r="C75" s="1" t="s">
        <v>2900</v>
      </c>
      <c r="D75" s="2"/>
      <c r="E75" s="2"/>
      <c r="F75" s="2"/>
      <c r="G75" s="2"/>
      <c r="H75" s="2">
        <v>0</v>
      </c>
      <c r="K75" s="3" t="s">
        <v>2900</v>
      </c>
      <c r="L75" s="4">
        <v>581182.73</v>
      </c>
      <c r="M75" s="4">
        <v>1042.36</v>
      </c>
      <c r="O75" s="4">
        <v>516171.01</v>
      </c>
      <c r="P75" s="4">
        <v>63969.36</v>
      </c>
    </row>
    <row r="76" spans="1:15">
      <c r="A76" s="1" t="s">
        <v>2906</v>
      </c>
      <c r="B76" s="1" t="s">
        <v>150</v>
      </c>
      <c r="C76" s="1" t="s">
        <v>2900</v>
      </c>
      <c r="D76" s="2"/>
      <c r="E76" s="2"/>
      <c r="F76" s="2"/>
      <c r="G76" s="2"/>
      <c r="H76" s="2">
        <v>0</v>
      </c>
      <c r="K76" s="3" t="s">
        <v>2901</v>
      </c>
      <c r="L76" s="4">
        <v>516171.01</v>
      </c>
      <c r="O76" s="4">
        <v>516171.01</v>
      </c>
    </row>
    <row r="77" spans="1:12">
      <c r="A77" s="1" t="s">
        <v>2906</v>
      </c>
      <c r="B77" s="1" t="s">
        <v>151</v>
      </c>
      <c r="C77" s="1" t="s">
        <v>2900</v>
      </c>
      <c r="D77" s="2"/>
      <c r="E77" s="2"/>
      <c r="F77" s="2"/>
      <c r="G77" s="2"/>
      <c r="H77" s="2">
        <v>0</v>
      </c>
      <c r="K77" s="3" t="s">
        <v>2939</v>
      </c>
      <c r="L77" s="4">
        <v>0</v>
      </c>
    </row>
    <row r="78" spans="1:12">
      <c r="A78" s="1" t="s">
        <v>2906</v>
      </c>
      <c r="B78" s="1" t="s">
        <v>152</v>
      </c>
      <c r="C78" s="1" t="s">
        <v>2900</v>
      </c>
      <c r="D78" s="2"/>
      <c r="E78" s="2"/>
      <c r="F78" s="2"/>
      <c r="G78" s="2"/>
      <c r="H78" s="2">
        <v>0</v>
      </c>
      <c r="K78" s="3" t="s">
        <v>2940</v>
      </c>
      <c r="L78" s="4">
        <v>0</v>
      </c>
    </row>
    <row r="79" spans="1:12">
      <c r="A79" s="1" t="s">
        <v>2906</v>
      </c>
      <c r="B79" s="1" t="s">
        <v>153</v>
      </c>
      <c r="C79" s="1" t="s">
        <v>2900</v>
      </c>
      <c r="D79" s="2">
        <v>2166.31</v>
      </c>
      <c r="E79" s="2"/>
      <c r="F79" s="2"/>
      <c r="G79" s="2"/>
      <c r="H79" s="2">
        <v>2166.31</v>
      </c>
      <c r="K79" s="3" t="s">
        <v>2941</v>
      </c>
      <c r="L79" s="4">
        <v>0</v>
      </c>
    </row>
    <row r="80" spans="1:12">
      <c r="A80" s="1" t="s">
        <v>2906</v>
      </c>
      <c r="B80" s="1" t="s">
        <v>154</v>
      </c>
      <c r="C80" s="1" t="s">
        <v>2900</v>
      </c>
      <c r="D80" s="2"/>
      <c r="E80" s="2"/>
      <c r="F80" s="2"/>
      <c r="G80" s="2"/>
      <c r="H80" s="2">
        <v>0</v>
      </c>
      <c r="K80" s="3" t="s">
        <v>2942</v>
      </c>
      <c r="L80" s="4">
        <v>0</v>
      </c>
    </row>
    <row r="81" spans="1:12">
      <c r="A81" s="1" t="s">
        <v>2906</v>
      </c>
      <c r="B81" s="1" t="s">
        <v>155</v>
      </c>
      <c r="C81" s="1" t="s">
        <v>2900</v>
      </c>
      <c r="D81" s="2"/>
      <c r="E81" s="2"/>
      <c r="F81" s="2"/>
      <c r="G81" s="2"/>
      <c r="H81" s="2">
        <v>0</v>
      </c>
      <c r="K81" s="3" t="s">
        <v>2943</v>
      </c>
      <c r="L81" s="4">
        <v>0</v>
      </c>
    </row>
    <row r="82" spans="1:29">
      <c r="A82" s="1" t="s">
        <v>2906</v>
      </c>
      <c r="B82" s="1" t="s">
        <v>156</v>
      </c>
      <c r="C82" s="1" t="s">
        <v>2900</v>
      </c>
      <c r="D82" s="2"/>
      <c r="E82" s="2"/>
      <c r="F82" s="2"/>
      <c r="G82" s="2"/>
      <c r="H82" s="2">
        <v>0</v>
      </c>
      <c r="J82" s="3" t="s">
        <v>156</v>
      </c>
      <c r="L82" s="4">
        <v>1379702.14</v>
      </c>
      <c r="M82" s="4">
        <v>57433.89</v>
      </c>
      <c r="O82" s="4">
        <v>1291201.2</v>
      </c>
      <c r="P82" s="4">
        <v>31067.05</v>
      </c>
      <c r="R82" s="4"/>
      <c r="S82" s="4" t="s">
        <v>12</v>
      </c>
      <c r="T82" s="4" t="s">
        <v>13</v>
      </c>
      <c r="U82" s="4" t="s">
        <v>14</v>
      </c>
      <c r="V82" s="4" t="s">
        <v>20</v>
      </c>
      <c r="Y82" s="20" t="s">
        <v>304</v>
      </c>
      <c r="Z82" s="20" t="s">
        <v>12</v>
      </c>
      <c r="AA82" s="20" t="s">
        <v>13</v>
      </c>
      <c r="AB82" s="20" t="s">
        <v>14</v>
      </c>
      <c r="AC82" s="20" t="s">
        <v>20</v>
      </c>
    </row>
    <row r="83" spans="1:29">
      <c r="A83" s="1" t="s">
        <v>2906</v>
      </c>
      <c r="B83" s="1" t="s">
        <v>157</v>
      </c>
      <c r="C83" s="1" t="s">
        <v>2900</v>
      </c>
      <c r="D83" s="2"/>
      <c r="E83" s="2"/>
      <c r="F83" s="2"/>
      <c r="G83" s="2"/>
      <c r="H83" s="2">
        <v>0</v>
      </c>
      <c r="K83" s="3" t="s">
        <v>2937</v>
      </c>
      <c r="L83" s="4">
        <v>0</v>
      </c>
      <c r="Q83" s="4">
        <f>(L84-L83+L85-L86+L87+L90-L91-L88+L89)*1.06</f>
        <v>93810.9964</v>
      </c>
      <c r="R83" t="s">
        <v>2938</v>
      </c>
      <c r="S83" s="4">
        <f>(M84-M83+M85-M86+M87+M90-M91-M88+M89)*1.06</f>
        <v>60879.9234</v>
      </c>
      <c r="T83" s="4">
        <f>(N84-N83+N85-N86+N87+N90-N91-N88+N89)*1.06</f>
        <v>0</v>
      </c>
      <c r="U83" s="4">
        <f>(O84-O83+O85-O86+O87+O90-O91-O88+O89)*1.06</f>
        <v>0</v>
      </c>
      <c r="V83" s="4">
        <f>(P84-P83+P85-P86+P87+P90-P91-P88+P89)*1.06</f>
        <v>32931.073</v>
      </c>
      <c r="W83" s="4">
        <f>SUM(S83:V83)</f>
        <v>93810.9964</v>
      </c>
      <c r="Y83" s="20" t="s">
        <v>2938</v>
      </c>
      <c r="Z83" s="20">
        <f>S83/10000</f>
        <v>6.08799234</v>
      </c>
      <c r="AA83" s="20">
        <f>T83/10000</f>
        <v>0</v>
      </c>
      <c r="AB83" s="20">
        <f>U83/10000</f>
        <v>0</v>
      </c>
      <c r="AC83" s="20">
        <f>V83/10000</f>
        <v>3.2931073</v>
      </c>
    </row>
    <row r="84" spans="1:17">
      <c r="A84" s="1" t="s">
        <v>2906</v>
      </c>
      <c r="B84" s="1" t="s">
        <v>158</v>
      </c>
      <c r="C84" s="1" t="s">
        <v>2900</v>
      </c>
      <c r="D84" s="2"/>
      <c r="E84" s="2"/>
      <c r="F84" s="2"/>
      <c r="G84" s="2"/>
      <c r="H84" s="2">
        <v>0</v>
      </c>
      <c r="K84" s="3" t="s">
        <v>2921</v>
      </c>
      <c r="L84" s="4">
        <v>0</v>
      </c>
      <c r="Q84" s="4">
        <f>Q83-W83</f>
        <v>0</v>
      </c>
    </row>
    <row r="85" spans="1:16">
      <c r="A85" s="1" t="s">
        <v>2906</v>
      </c>
      <c r="B85" s="1" t="s">
        <v>159</v>
      </c>
      <c r="C85" s="1" t="s">
        <v>2900</v>
      </c>
      <c r="D85" s="2"/>
      <c r="E85" s="2"/>
      <c r="F85" s="2"/>
      <c r="G85" s="2"/>
      <c r="H85" s="2">
        <v>0</v>
      </c>
      <c r="K85" s="3" t="s">
        <v>2900</v>
      </c>
      <c r="L85" s="4">
        <v>677497.76</v>
      </c>
      <c r="M85" s="4">
        <v>830.11</v>
      </c>
      <c r="O85" s="4">
        <v>645600.6</v>
      </c>
      <c r="P85" s="4">
        <v>31067.05</v>
      </c>
    </row>
    <row r="86" spans="1:15">
      <c r="A86" s="1" t="s">
        <v>2908</v>
      </c>
      <c r="B86" s="1" t="s">
        <v>148</v>
      </c>
      <c r="C86" s="1" t="s">
        <v>2942</v>
      </c>
      <c r="D86" s="2"/>
      <c r="E86" s="2"/>
      <c r="F86" s="2"/>
      <c r="G86" s="2"/>
      <c r="H86" s="2">
        <v>0</v>
      </c>
      <c r="K86" s="3" t="s">
        <v>2901</v>
      </c>
      <c r="L86" s="4">
        <v>645600.6</v>
      </c>
      <c r="O86" s="4">
        <v>645600.6</v>
      </c>
    </row>
    <row r="87" spans="1:12">
      <c r="A87" s="1" t="s">
        <v>2908</v>
      </c>
      <c r="B87" s="1" t="s">
        <v>149</v>
      </c>
      <c r="C87" s="1" t="s">
        <v>2942</v>
      </c>
      <c r="D87" s="2"/>
      <c r="E87" s="2"/>
      <c r="F87" s="2"/>
      <c r="G87" s="2"/>
      <c r="H87" s="2">
        <v>0</v>
      </c>
      <c r="K87" s="3" t="s">
        <v>2939</v>
      </c>
      <c r="L87" s="4">
        <v>0</v>
      </c>
    </row>
    <row r="88" spans="1:12">
      <c r="A88" s="1" t="s">
        <v>2908</v>
      </c>
      <c r="B88" s="1" t="s">
        <v>150</v>
      </c>
      <c r="C88" s="1" t="s">
        <v>2942</v>
      </c>
      <c r="D88" s="2"/>
      <c r="E88" s="2"/>
      <c r="F88" s="2"/>
      <c r="G88" s="2"/>
      <c r="H88" s="2">
        <v>0</v>
      </c>
      <c r="K88" s="3" t="s">
        <v>2940</v>
      </c>
      <c r="L88" s="4">
        <v>0</v>
      </c>
    </row>
    <row r="89" spans="1:12">
      <c r="A89" s="1" t="s">
        <v>2908</v>
      </c>
      <c r="B89" s="1" t="s">
        <v>151</v>
      </c>
      <c r="C89" s="1" t="s">
        <v>2942</v>
      </c>
      <c r="D89" s="2"/>
      <c r="E89" s="2"/>
      <c r="F89" s="2"/>
      <c r="G89" s="2"/>
      <c r="H89" s="2">
        <v>0</v>
      </c>
      <c r="K89" s="3" t="s">
        <v>2941</v>
      </c>
      <c r="L89" s="4">
        <v>0</v>
      </c>
    </row>
    <row r="90" spans="1:13">
      <c r="A90" s="1" t="s">
        <v>2908</v>
      </c>
      <c r="B90" s="1" t="s">
        <v>152</v>
      </c>
      <c r="C90" s="1" t="s">
        <v>2942</v>
      </c>
      <c r="D90" s="2"/>
      <c r="E90" s="2"/>
      <c r="F90" s="2"/>
      <c r="G90" s="2"/>
      <c r="H90" s="2">
        <v>0</v>
      </c>
      <c r="K90" s="3" t="s">
        <v>2942</v>
      </c>
      <c r="L90" s="4">
        <v>56603.78</v>
      </c>
      <c r="M90" s="4">
        <v>56603.78</v>
      </c>
    </row>
    <row r="91" spans="1:12">
      <c r="A91" s="1" t="s">
        <v>2908</v>
      </c>
      <c r="B91" s="1" t="s">
        <v>153</v>
      </c>
      <c r="C91" s="1" t="s">
        <v>2942</v>
      </c>
      <c r="D91" s="2"/>
      <c r="E91" s="2"/>
      <c r="F91" s="2"/>
      <c r="G91" s="2"/>
      <c r="H91" s="2">
        <v>0</v>
      </c>
      <c r="K91" s="3" t="s">
        <v>2943</v>
      </c>
      <c r="L91" s="4">
        <v>0</v>
      </c>
    </row>
    <row r="92" spans="1:29">
      <c r="A92" s="1" t="s">
        <v>2908</v>
      </c>
      <c r="B92" s="1" t="s">
        <v>154</v>
      </c>
      <c r="C92" s="1" t="s">
        <v>2942</v>
      </c>
      <c r="D92" s="2"/>
      <c r="E92" s="2"/>
      <c r="F92" s="2"/>
      <c r="G92" s="2"/>
      <c r="H92" s="2">
        <v>0</v>
      </c>
      <c r="J92" s="3" t="s">
        <v>157</v>
      </c>
      <c r="L92" s="4">
        <v>792818.95</v>
      </c>
      <c r="M92" s="4">
        <v>142544.07</v>
      </c>
      <c r="O92" s="4">
        <v>597366.08</v>
      </c>
      <c r="P92" s="4">
        <v>52908.8</v>
      </c>
      <c r="R92" s="4"/>
      <c r="S92" s="4" t="s">
        <v>12</v>
      </c>
      <c r="T92" s="4" t="s">
        <v>13</v>
      </c>
      <c r="U92" s="4" t="s">
        <v>14</v>
      </c>
      <c r="V92" s="4" t="s">
        <v>20</v>
      </c>
      <c r="Y92" s="20" t="s">
        <v>304</v>
      </c>
      <c r="Z92" s="20" t="s">
        <v>12</v>
      </c>
      <c r="AA92" s="20" t="s">
        <v>13</v>
      </c>
      <c r="AB92" s="20" t="s">
        <v>14</v>
      </c>
      <c r="AC92" s="20" t="s">
        <v>20</v>
      </c>
    </row>
    <row r="93" spans="1:29">
      <c r="A93" s="1" t="s">
        <v>2908</v>
      </c>
      <c r="B93" s="1" t="s">
        <v>155</v>
      </c>
      <c r="C93" s="1" t="s">
        <v>2942</v>
      </c>
      <c r="D93" s="2"/>
      <c r="E93" s="2"/>
      <c r="F93" s="2"/>
      <c r="G93" s="2"/>
      <c r="H93" s="2">
        <v>0</v>
      </c>
      <c r="K93" s="3" t="s">
        <v>2937</v>
      </c>
      <c r="L93" s="4">
        <v>0</v>
      </c>
      <c r="Q93" s="4">
        <f>(L94-L93+L95-L96+L97+L100-L101-L98+L99)*1.06</f>
        <v>207180.0422</v>
      </c>
      <c r="R93" t="s">
        <v>2938</v>
      </c>
      <c r="S93" s="4">
        <f>(M94-M93+M95-M96+M97+M100-M101-M98+M99)*1.06</f>
        <v>151096.7142</v>
      </c>
      <c r="T93" s="4">
        <f>(N94-N93+N95-N96+N97+N100-N101-N98+N99)*1.06</f>
        <v>0</v>
      </c>
      <c r="U93" s="4">
        <f>(O94-O93+O95-O96+O97+O100-O101-O98+O99)*1.06</f>
        <v>0</v>
      </c>
      <c r="V93" s="4">
        <f>(P94-P93+P95-P96+P97+P100-P101-P98+P99)*1.06</f>
        <v>56083.328</v>
      </c>
      <c r="W93" s="4">
        <f>SUM(S93:V93)</f>
        <v>207180.0422</v>
      </c>
      <c r="Y93" s="20" t="s">
        <v>2938</v>
      </c>
      <c r="Z93" s="20">
        <f>S93/10000</f>
        <v>15.10967142</v>
      </c>
      <c r="AA93" s="20">
        <f>T93/10000</f>
        <v>0</v>
      </c>
      <c r="AB93" s="20">
        <f>U93/10000</f>
        <v>0</v>
      </c>
      <c r="AC93" s="20">
        <f>V93/10000</f>
        <v>5.6083328</v>
      </c>
    </row>
    <row r="94" spans="1:17">
      <c r="A94" s="1" t="s">
        <v>2908</v>
      </c>
      <c r="B94" s="1" t="s">
        <v>156</v>
      </c>
      <c r="C94" s="1" t="s">
        <v>2942</v>
      </c>
      <c r="D94" s="2"/>
      <c r="E94" s="2"/>
      <c r="F94" s="2"/>
      <c r="G94" s="2"/>
      <c r="H94" s="2">
        <v>0</v>
      </c>
      <c r="K94" s="3" t="s">
        <v>2921</v>
      </c>
      <c r="L94" s="4">
        <v>0</v>
      </c>
      <c r="Q94" s="4">
        <f>Q93-W93</f>
        <v>0</v>
      </c>
    </row>
    <row r="95" spans="1:16">
      <c r="A95" s="1" t="s">
        <v>2908</v>
      </c>
      <c r="B95" s="1" t="s">
        <v>157</v>
      </c>
      <c r="C95" s="1" t="s">
        <v>2942</v>
      </c>
      <c r="D95" s="2"/>
      <c r="E95" s="2"/>
      <c r="F95" s="2"/>
      <c r="G95" s="2"/>
      <c r="H95" s="2">
        <v>0</v>
      </c>
      <c r="K95" s="3" t="s">
        <v>2900</v>
      </c>
      <c r="L95" s="4">
        <v>352626.48</v>
      </c>
      <c r="M95" s="4">
        <v>1034.64</v>
      </c>
      <c r="O95" s="4">
        <v>298683.04</v>
      </c>
      <c r="P95" s="4">
        <v>52908.8</v>
      </c>
    </row>
    <row r="96" spans="1:15">
      <c r="A96" s="1" t="s">
        <v>2908</v>
      </c>
      <c r="B96" s="1" t="s">
        <v>158</v>
      </c>
      <c r="C96" s="1" t="s">
        <v>2942</v>
      </c>
      <c r="D96" s="2"/>
      <c r="E96" s="2"/>
      <c r="F96" s="2"/>
      <c r="G96" s="2"/>
      <c r="H96" s="2">
        <v>0</v>
      </c>
      <c r="K96" s="3" t="s">
        <v>2901</v>
      </c>
      <c r="L96" s="4">
        <v>298683.04</v>
      </c>
      <c r="O96" s="4">
        <v>298683.04</v>
      </c>
    </row>
    <row r="97" spans="1:12">
      <c r="A97" s="1" t="s">
        <v>2908</v>
      </c>
      <c r="B97" s="1" t="s">
        <v>159</v>
      </c>
      <c r="C97" s="1" t="s">
        <v>2942</v>
      </c>
      <c r="D97" s="2">
        <v>467924.53</v>
      </c>
      <c r="E97" s="2"/>
      <c r="F97" s="2"/>
      <c r="G97" s="2"/>
      <c r="H97" s="2">
        <v>467924.53</v>
      </c>
      <c r="K97" s="3" t="s">
        <v>2939</v>
      </c>
      <c r="L97" s="4">
        <v>0</v>
      </c>
    </row>
    <row r="98" spans="1:12">
      <c r="A98" s="1" t="s">
        <v>2910</v>
      </c>
      <c r="B98" s="1" t="s">
        <v>148</v>
      </c>
      <c r="C98" s="1" t="s">
        <v>2900</v>
      </c>
      <c r="D98" s="2"/>
      <c r="E98" s="2"/>
      <c r="F98" s="2"/>
      <c r="G98" s="2"/>
      <c r="H98" s="2">
        <v>0</v>
      </c>
      <c r="K98" s="3" t="s">
        <v>2940</v>
      </c>
      <c r="L98" s="4">
        <v>0</v>
      </c>
    </row>
    <row r="99" spans="1:12">
      <c r="A99" s="1" t="s">
        <v>2910</v>
      </c>
      <c r="B99" s="1" t="s">
        <v>149</v>
      </c>
      <c r="C99" s="1" t="s">
        <v>2900</v>
      </c>
      <c r="D99" s="2"/>
      <c r="E99" s="2"/>
      <c r="F99" s="2"/>
      <c r="G99" s="2"/>
      <c r="H99" s="2">
        <v>0</v>
      </c>
      <c r="K99" s="3" t="s">
        <v>2941</v>
      </c>
      <c r="L99" s="4">
        <v>0</v>
      </c>
    </row>
    <row r="100" spans="1:13">
      <c r="A100" s="1" t="s">
        <v>2910</v>
      </c>
      <c r="B100" s="1" t="s">
        <v>150</v>
      </c>
      <c r="C100" s="1" t="s">
        <v>2900</v>
      </c>
      <c r="D100" s="2"/>
      <c r="E100" s="2"/>
      <c r="F100" s="2"/>
      <c r="G100" s="2"/>
      <c r="H100" s="2">
        <v>0</v>
      </c>
      <c r="K100" s="3" t="s">
        <v>2942</v>
      </c>
      <c r="L100" s="4">
        <v>141509.43</v>
      </c>
      <c r="M100" s="4">
        <v>141509.43</v>
      </c>
    </row>
    <row r="101" spans="1:12">
      <c r="A101" s="1" t="s">
        <v>2910</v>
      </c>
      <c r="B101" s="1" t="s">
        <v>151</v>
      </c>
      <c r="C101" s="1" t="s">
        <v>2900</v>
      </c>
      <c r="D101" s="2"/>
      <c r="E101" s="2"/>
      <c r="F101" s="2"/>
      <c r="G101" s="2"/>
      <c r="H101" s="2">
        <v>0</v>
      </c>
      <c r="K101" s="3" t="s">
        <v>2943</v>
      </c>
      <c r="L101" s="4">
        <v>0</v>
      </c>
    </row>
    <row r="102" spans="1:29">
      <c r="A102" s="1" t="s">
        <v>2910</v>
      </c>
      <c r="B102" s="1" t="s">
        <v>152</v>
      </c>
      <c r="C102" s="1" t="s">
        <v>2900</v>
      </c>
      <c r="D102" s="2"/>
      <c r="E102" s="2"/>
      <c r="F102" s="2"/>
      <c r="G102" s="2">
        <v>1320.75</v>
      </c>
      <c r="H102" s="2">
        <v>1320.75</v>
      </c>
      <c r="J102" s="3" t="s">
        <v>158</v>
      </c>
      <c r="L102" s="4">
        <v>1398445.82</v>
      </c>
      <c r="M102" s="4">
        <v>38783.84</v>
      </c>
      <c r="O102" s="4">
        <v>1288993.36</v>
      </c>
      <c r="P102" s="4">
        <v>70668.62</v>
      </c>
      <c r="R102" s="4"/>
      <c r="S102" s="4" t="s">
        <v>12</v>
      </c>
      <c r="T102" s="4" t="s">
        <v>13</v>
      </c>
      <c r="U102" s="4" t="s">
        <v>14</v>
      </c>
      <c r="V102" s="4" t="s">
        <v>20</v>
      </c>
      <c r="Y102" s="20" t="s">
        <v>304</v>
      </c>
      <c r="Z102" s="20" t="s">
        <v>12</v>
      </c>
      <c r="AA102" s="20" t="s">
        <v>13</v>
      </c>
      <c r="AB102" s="20" t="s">
        <v>14</v>
      </c>
      <c r="AC102" s="20" t="s">
        <v>20</v>
      </c>
    </row>
    <row r="103" spans="1:29">
      <c r="A103" s="1" t="s">
        <v>2910</v>
      </c>
      <c r="B103" s="1" t="s">
        <v>153</v>
      </c>
      <c r="C103" s="1" t="s">
        <v>2900</v>
      </c>
      <c r="D103" s="2"/>
      <c r="E103" s="2"/>
      <c r="F103" s="2"/>
      <c r="G103" s="2">
        <v>514.15</v>
      </c>
      <c r="H103" s="2">
        <v>514.15</v>
      </c>
      <c r="K103" s="3" t="s">
        <v>2937</v>
      </c>
      <c r="L103" s="4">
        <v>0</v>
      </c>
      <c r="Q103" s="4">
        <f>(L104-L103+L105-L106+L107+L110-L111-L108+L109)*1.06</f>
        <v>35207.7303999999</v>
      </c>
      <c r="R103" t="s">
        <v>2938</v>
      </c>
      <c r="S103" s="4">
        <f>(M104-M103+M105-M106+M107+M110-M111-M108+M109)*1.06</f>
        <v>-39701.0068</v>
      </c>
      <c r="T103" s="4">
        <f>(N104-N103+N105-N106+N107+N110-N111-N108+N109)*1.06</f>
        <v>0</v>
      </c>
      <c r="U103" s="4">
        <f>(O104-O103+O105-O106+O107+O110-O111-O108+O109)*1.06</f>
        <v>0</v>
      </c>
      <c r="V103" s="4">
        <f>(P104-P103+P105-P106+P107+P110-P111-P108+P109)*1.06</f>
        <v>74908.7372</v>
      </c>
      <c r="W103" s="4">
        <f>SUM(S103:V103)</f>
        <v>35207.7304</v>
      </c>
      <c r="Y103" s="20" t="s">
        <v>2938</v>
      </c>
      <c r="Z103" s="20">
        <f>S103/10000</f>
        <v>-3.97010068</v>
      </c>
      <c r="AA103" s="20">
        <f>T103/10000</f>
        <v>0</v>
      </c>
      <c r="AB103" s="20">
        <f>U103/10000</f>
        <v>0</v>
      </c>
      <c r="AC103" s="20">
        <f>V103/10000</f>
        <v>7.49087372</v>
      </c>
    </row>
    <row r="104" spans="1:17">
      <c r="A104" s="1" t="s">
        <v>2910</v>
      </c>
      <c r="B104" s="1" t="s">
        <v>154</v>
      </c>
      <c r="C104" s="1" t="s">
        <v>2900</v>
      </c>
      <c r="D104" s="2"/>
      <c r="E104" s="2"/>
      <c r="F104" s="2"/>
      <c r="G104" s="2"/>
      <c r="H104" s="2">
        <v>0</v>
      </c>
      <c r="K104" s="3" t="s">
        <v>2921</v>
      </c>
      <c r="L104" s="4">
        <v>0</v>
      </c>
      <c r="Q104" s="4">
        <f>Q103-W103</f>
        <v>-9.45874489843845e-11</v>
      </c>
    </row>
    <row r="105" spans="1:16">
      <c r="A105" s="1" t="s">
        <v>2910</v>
      </c>
      <c r="B105" s="1" t="s">
        <v>155</v>
      </c>
      <c r="C105" s="1" t="s">
        <v>2900</v>
      </c>
      <c r="D105" s="2"/>
      <c r="E105" s="2"/>
      <c r="F105" s="2"/>
      <c r="G105" s="2"/>
      <c r="H105" s="2">
        <v>0</v>
      </c>
      <c r="K105" s="3" t="s">
        <v>2900</v>
      </c>
      <c r="L105" s="4">
        <v>715830.33</v>
      </c>
      <c r="M105" s="4">
        <v>665.03</v>
      </c>
      <c r="O105" s="4">
        <v>644496.68</v>
      </c>
      <c r="P105" s="4">
        <v>70668.62</v>
      </c>
    </row>
    <row r="106" spans="1:15">
      <c r="A106" s="1" t="s">
        <v>2910</v>
      </c>
      <c r="B106" s="1" t="s">
        <v>156</v>
      </c>
      <c r="C106" s="1" t="s">
        <v>2900</v>
      </c>
      <c r="D106" s="2"/>
      <c r="E106" s="2"/>
      <c r="F106" s="2"/>
      <c r="G106" s="2"/>
      <c r="H106" s="2">
        <v>0</v>
      </c>
      <c r="K106" s="3" t="s">
        <v>2901</v>
      </c>
      <c r="L106" s="4">
        <v>644496.68</v>
      </c>
      <c r="O106" s="4">
        <v>644496.68</v>
      </c>
    </row>
    <row r="107" spans="1:12">
      <c r="A107" s="1" t="s">
        <v>2910</v>
      </c>
      <c r="B107" s="1" t="s">
        <v>157</v>
      </c>
      <c r="C107" s="1" t="s">
        <v>2900</v>
      </c>
      <c r="D107" s="2"/>
      <c r="E107" s="2"/>
      <c r="F107" s="2"/>
      <c r="G107" s="2">
        <v>11936.82</v>
      </c>
      <c r="H107" s="2">
        <v>11936.82</v>
      </c>
      <c r="K107" s="3" t="s">
        <v>2939</v>
      </c>
      <c r="L107" s="4">
        <v>0</v>
      </c>
    </row>
    <row r="108" spans="1:13">
      <c r="A108" s="1" t="s">
        <v>2910</v>
      </c>
      <c r="B108" s="1" t="s">
        <v>158</v>
      </c>
      <c r="C108" s="1" t="s">
        <v>2900</v>
      </c>
      <c r="D108" s="2"/>
      <c r="E108" s="2"/>
      <c r="F108" s="2"/>
      <c r="G108" s="2"/>
      <c r="H108" s="2">
        <v>0</v>
      </c>
      <c r="K108" s="3" t="s">
        <v>2940</v>
      </c>
      <c r="L108" s="4">
        <v>38118.81</v>
      </c>
      <c r="M108" s="4">
        <v>38118.81</v>
      </c>
    </row>
    <row r="109" spans="1:12">
      <c r="A109" s="1" t="s">
        <v>2910</v>
      </c>
      <c r="B109" s="1" t="s">
        <v>159</v>
      </c>
      <c r="C109" s="1" t="s">
        <v>2900</v>
      </c>
      <c r="D109" s="2"/>
      <c r="E109" s="2"/>
      <c r="F109" s="2"/>
      <c r="G109" s="2"/>
      <c r="H109" s="2">
        <v>0</v>
      </c>
      <c r="K109" s="3" t="s">
        <v>2941</v>
      </c>
      <c r="L109" s="4">
        <v>0</v>
      </c>
    </row>
    <row r="110" spans="1:12">
      <c r="A110" s="1" t="s">
        <v>2910</v>
      </c>
      <c r="B110" s="1" t="s">
        <v>148</v>
      </c>
      <c r="C110" s="1" t="s">
        <v>2942</v>
      </c>
      <c r="D110" s="2"/>
      <c r="E110" s="2"/>
      <c r="F110" s="2"/>
      <c r="G110" s="2"/>
      <c r="H110" s="2">
        <v>0</v>
      </c>
      <c r="K110" s="3" t="s">
        <v>2942</v>
      </c>
      <c r="L110" s="4">
        <v>0</v>
      </c>
    </row>
    <row r="111" spans="1:12">
      <c r="A111" s="1" t="s">
        <v>2910</v>
      </c>
      <c r="B111" s="1" t="s">
        <v>149</v>
      </c>
      <c r="C111" s="1" t="s">
        <v>2942</v>
      </c>
      <c r="D111" s="2"/>
      <c r="E111" s="2"/>
      <c r="F111" s="2"/>
      <c r="G111" s="2"/>
      <c r="H111" s="2">
        <v>0</v>
      </c>
      <c r="K111" s="3" t="s">
        <v>2943</v>
      </c>
      <c r="L111" s="4">
        <v>0</v>
      </c>
    </row>
    <row r="112" spans="1:29">
      <c r="A112" s="1" t="s">
        <v>2910</v>
      </c>
      <c r="B112" s="1" t="s">
        <v>150</v>
      </c>
      <c r="C112" s="1" t="s">
        <v>2942</v>
      </c>
      <c r="D112" s="2"/>
      <c r="E112" s="2"/>
      <c r="F112" s="2"/>
      <c r="G112" s="2"/>
      <c r="H112" s="2">
        <v>0</v>
      </c>
      <c r="J112" s="3" t="s">
        <v>159</v>
      </c>
      <c r="L112" s="4">
        <v>4236887.75</v>
      </c>
      <c r="M112" s="4">
        <v>2049756.13</v>
      </c>
      <c r="O112" s="4">
        <v>2123034.72</v>
      </c>
      <c r="P112" s="4">
        <v>64096.9</v>
      </c>
      <c r="R112" s="4"/>
      <c r="S112" s="4" t="s">
        <v>12</v>
      </c>
      <c r="T112" s="4" t="s">
        <v>13</v>
      </c>
      <c r="U112" s="4" t="s">
        <v>14</v>
      </c>
      <c r="V112" s="4" t="s">
        <v>20</v>
      </c>
      <c r="Y112" s="20" t="s">
        <v>304</v>
      </c>
      <c r="Z112" s="20" t="s">
        <v>12</v>
      </c>
      <c r="AA112" s="20" t="s">
        <v>13</v>
      </c>
      <c r="AB112" s="20" t="s">
        <v>14</v>
      </c>
      <c r="AC112" s="20" t="s">
        <v>20</v>
      </c>
    </row>
    <row r="113" spans="1:29">
      <c r="A113" s="1" t="s">
        <v>2910</v>
      </c>
      <c r="B113" s="1" t="s">
        <v>151</v>
      </c>
      <c r="C113" s="1" t="s">
        <v>2942</v>
      </c>
      <c r="D113" s="2"/>
      <c r="E113" s="2"/>
      <c r="F113" s="2"/>
      <c r="G113" s="2"/>
      <c r="H113" s="2">
        <v>0</v>
      </c>
      <c r="K113" s="3" t="s">
        <v>2937</v>
      </c>
      <c r="L113" s="4">
        <v>0</v>
      </c>
      <c r="Q113" s="4">
        <f>(L114-L113+L115-L116+L117+L120-L121-L118+L119)*1.06</f>
        <v>246399.0458</v>
      </c>
      <c r="R113" t="s">
        <v>2938</v>
      </c>
      <c r="S113" s="4">
        <f>(M114-M113+M115-M116+M117+M120-M121-M118+M119)*1.06</f>
        <v>178456.3318</v>
      </c>
      <c r="T113" s="4">
        <f>(N114-N113+N115-N116+N117+N120-N121-N118+N119)*1.06</f>
        <v>0</v>
      </c>
      <c r="U113" s="4">
        <f>(O114-O113+O115-O116+O117+O120-O121-O118+O119)*1.06</f>
        <v>0</v>
      </c>
      <c r="V113" s="4">
        <f>(P114-P113+P115-P116+P117+P120-P121-P118+P119)*1.06</f>
        <v>67942.714</v>
      </c>
      <c r="W113" s="4">
        <f>SUM(S113:V113)</f>
        <v>246399.0458</v>
      </c>
      <c r="Y113" s="20" t="s">
        <v>2938</v>
      </c>
      <c r="Z113" s="20">
        <f>S113/10000</f>
        <v>17.84563318</v>
      </c>
      <c r="AA113" s="20">
        <f>T113/10000</f>
        <v>0</v>
      </c>
      <c r="AB113" s="20">
        <f>U113/10000</f>
        <v>0</v>
      </c>
      <c r="AC113" s="20">
        <f>V113/10000</f>
        <v>6.7942714</v>
      </c>
    </row>
    <row r="114" spans="1:17">
      <c r="A114" s="1" t="s">
        <v>2910</v>
      </c>
      <c r="B114" s="1" t="s">
        <v>152</v>
      </c>
      <c r="C114" s="1" t="s">
        <v>2942</v>
      </c>
      <c r="D114" s="2"/>
      <c r="E114" s="2"/>
      <c r="F114" s="2"/>
      <c r="G114" s="2"/>
      <c r="H114" s="2">
        <v>0</v>
      </c>
      <c r="K114" s="3" t="s">
        <v>2921</v>
      </c>
      <c r="L114" s="4">
        <v>0</v>
      </c>
      <c r="Q114" s="4">
        <f>Q113-W113</f>
        <v>0</v>
      </c>
    </row>
    <row r="115" spans="1:16">
      <c r="A115" s="1" t="s">
        <v>2910</v>
      </c>
      <c r="B115" s="1" t="s">
        <v>153</v>
      </c>
      <c r="C115" s="1" t="s">
        <v>2942</v>
      </c>
      <c r="D115" s="2"/>
      <c r="E115" s="2"/>
      <c r="F115" s="2"/>
      <c r="G115" s="2"/>
      <c r="H115" s="2">
        <v>0</v>
      </c>
      <c r="K115" s="3" t="s">
        <v>2900</v>
      </c>
      <c r="L115" s="4">
        <v>1129009.46</v>
      </c>
      <c r="M115" s="4">
        <v>3395.2</v>
      </c>
      <c r="O115" s="4">
        <v>1061517.36</v>
      </c>
      <c r="P115" s="4">
        <v>64096.9</v>
      </c>
    </row>
    <row r="116" spans="1:15">
      <c r="A116" s="1" t="s">
        <v>2910</v>
      </c>
      <c r="B116" s="1" t="s">
        <v>154</v>
      </c>
      <c r="C116" s="1" t="s">
        <v>2942</v>
      </c>
      <c r="D116" s="2"/>
      <c r="E116" s="2"/>
      <c r="F116" s="2"/>
      <c r="G116" s="2"/>
      <c r="H116" s="2">
        <v>0</v>
      </c>
      <c r="K116" s="3" t="s">
        <v>2901</v>
      </c>
      <c r="L116" s="4">
        <v>1061517.36</v>
      </c>
      <c r="O116" s="4">
        <v>1061517.36</v>
      </c>
    </row>
    <row r="117" spans="1:12">
      <c r="A117" s="1" t="s">
        <v>2910</v>
      </c>
      <c r="B117" s="1" t="s">
        <v>155</v>
      </c>
      <c r="C117" s="1" t="s">
        <v>2942</v>
      </c>
      <c r="D117" s="2"/>
      <c r="E117" s="2"/>
      <c r="F117" s="2"/>
      <c r="G117" s="2"/>
      <c r="H117" s="2">
        <v>0</v>
      </c>
      <c r="K117" s="3" t="s">
        <v>2939</v>
      </c>
      <c r="L117" s="4">
        <v>0</v>
      </c>
    </row>
    <row r="118" spans="1:13">
      <c r="A118" s="1" t="s">
        <v>2910</v>
      </c>
      <c r="B118" s="1" t="s">
        <v>156</v>
      </c>
      <c r="C118" s="1" t="s">
        <v>2942</v>
      </c>
      <c r="D118" s="2">
        <v>56603.78</v>
      </c>
      <c r="E118" s="2"/>
      <c r="F118" s="2"/>
      <c r="G118" s="2"/>
      <c r="H118" s="2">
        <v>56603.78</v>
      </c>
      <c r="K118" s="3" t="s">
        <v>2940</v>
      </c>
      <c r="L118" s="4">
        <v>472776.02</v>
      </c>
      <c r="M118" s="4">
        <v>472776.02</v>
      </c>
    </row>
    <row r="119" spans="1:13">
      <c r="A119" s="1" t="s">
        <v>2910</v>
      </c>
      <c r="B119" s="1" t="s">
        <v>157</v>
      </c>
      <c r="C119" s="1" t="s">
        <v>2942</v>
      </c>
      <c r="D119" s="2"/>
      <c r="E119" s="2"/>
      <c r="F119" s="2"/>
      <c r="G119" s="2"/>
      <c r="H119" s="2">
        <v>0</v>
      </c>
      <c r="K119" s="3" t="s">
        <v>2941</v>
      </c>
      <c r="L119" s="4">
        <v>467924.53</v>
      </c>
      <c r="M119" s="4">
        <v>467924.53</v>
      </c>
    </row>
    <row r="120" spans="1:13">
      <c r="A120" s="1" t="s">
        <v>2910</v>
      </c>
      <c r="B120" s="1" t="s">
        <v>158</v>
      </c>
      <c r="C120" s="1" t="s">
        <v>2942</v>
      </c>
      <c r="D120" s="2"/>
      <c r="E120" s="2"/>
      <c r="F120" s="2"/>
      <c r="G120" s="2"/>
      <c r="H120" s="2">
        <v>0</v>
      </c>
      <c r="K120" s="3" t="s">
        <v>2942</v>
      </c>
      <c r="L120" s="4">
        <v>637735.85</v>
      </c>
      <c r="M120" s="4">
        <v>637735.85</v>
      </c>
    </row>
    <row r="121" spans="1:13">
      <c r="A121" s="1" t="s">
        <v>2910</v>
      </c>
      <c r="B121" s="1" t="s">
        <v>159</v>
      </c>
      <c r="C121" s="1" t="s">
        <v>2942</v>
      </c>
      <c r="D121" s="2">
        <v>94339.62</v>
      </c>
      <c r="E121" s="2"/>
      <c r="F121" s="2"/>
      <c r="G121" s="2"/>
      <c r="H121" s="2">
        <v>94339.62</v>
      </c>
      <c r="K121" s="3" t="s">
        <v>2943</v>
      </c>
      <c r="L121" s="4">
        <v>467924.53</v>
      </c>
      <c r="M121" s="4">
        <v>467924.53</v>
      </c>
    </row>
    <row r="122" spans="1:16">
      <c r="A122" s="1" t="s">
        <v>2911</v>
      </c>
      <c r="B122" s="1" t="s">
        <v>148</v>
      </c>
      <c r="C122" s="1" t="s">
        <v>2900</v>
      </c>
      <c r="D122" s="2"/>
      <c r="E122" s="2"/>
      <c r="F122" s="2"/>
      <c r="G122" s="2"/>
      <c r="H122" s="2">
        <v>0</v>
      </c>
      <c r="J122" s="3" t="s">
        <v>319</v>
      </c>
      <c r="L122" s="4">
        <v>23629011.03</v>
      </c>
      <c r="M122" s="4">
        <v>5456355.85</v>
      </c>
      <c r="O122" s="4">
        <v>17674624.58</v>
      </c>
      <c r="P122" s="4">
        <v>498030.6</v>
      </c>
    </row>
    <row r="123" spans="1:8">
      <c r="A123" s="1" t="s">
        <v>2911</v>
      </c>
      <c r="B123" s="1" t="s">
        <v>149</v>
      </c>
      <c r="C123" s="1" t="s">
        <v>2900</v>
      </c>
      <c r="D123" s="2"/>
      <c r="E123" s="2"/>
      <c r="F123" s="2"/>
      <c r="G123" s="2"/>
      <c r="H123" s="2">
        <v>0</v>
      </c>
    </row>
    <row r="124" spans="1:8">
      <c r="A124" s="1" t="s">
        <v>2911</v>
      </c>
      <c r="B124" s="1" t="s">
        <v>150</v>
      </c>
      <c r="C124" s="1" t="s">
        <v>2900</v>
      </c>
      <c r="D124" s="2"/>
      <c r="E124" s="2"/>
      <c r="F124" s="2"/>
      <c r="G124" s="2"/>
      <c r="H124" s="2">
        <v>0</v>
      </c>
    </row>
    <row r="125" spans="1:8">
      <c r="A125" s="1" t="s">
        <v>2911</v>
      </c>
      <c r="B125" s="1" t="s">
        <v>151</v>
      </c>
      <c r="C125" s="1" t="s">
        <v>2900</v>
      </c>
      <c r="D125" s="2"/>
      <c r="E125" s="2"/>
      <c r="F125" s="2"/>
      <c r="G125" s="2"/>
      <c r="H125" s="2">
        <v>0</v>
      </c>
    </row>
    <row r="126" spans="1:8">
      <c r="A126" s="1" t="s">
        <v>2911</v>
      </c>
      <c r="B126" s="1" t="s">
        <v>152</v>
      </c>
      <c r="C126" s="1" t="s">
        <v>2900</v>
      </c>
      <c r="D126" s="2"/>
      <c r="E126" s="2"/>
      <c r="F126" s="2"/>
      <c r="G126" s="2"/>
      <c r="H126" s="2">
        <v>0</v>
      </c>
    </row>
    <row r="127" spans="1:8">
      <c r="A127" s="1" t="s">
        <v>2911</v>
      </c>
      <c r="B127" s="1" t="s">
        <v>153</v>
      </c>
      <c r="C127" s="1" t="s">
        <v>2900</v>
      </c>
      <c r="D127" s="2"/>
      <c r="E127" s="2"/>
      <c r="F127" s="2"/>
      <c r="G127" s="2"/>
      <c r="H127" s="2">
        <v>0</v>
      </c>
    </row>
    <row r="128" spans="1:8">
      <c r="A128" s="1" t="s">
        <v>2911</v>
      </c>
      <c r="B128" s="1" t="s">
        <v>154</v>
      </c>
      <c r="C128" s="1" t="s">
        <v>2900</v>
      </c>
      <c r="D128" s="2"/>
      <c r="E128" s="2"/>
      <c r="F128" s="2"/>
      <c r="G128" s="2"/>
      <c r="H128" s="2">
        <v>0</v>
      </c>
    </row>
    <row r="129" spans="1:8">
      <c r="A129" s="1" t="s">
        <v>2911</v>
      </c>
      <c r="B129" s="1" t="s">
        <v>155</v>
      </c>
      <c r="C129" s="1" t="s">
        <v>2900</v>
      </c>
      <c r="D129" s="2"/>
      <c r="E129" s="2"/>
      <c r="F129" s="2"/>
      <c r="G129" s="2"/>
      <c r="H129" s="2">
        <v>0</v>
      </c>
    </row>
    <row r="130" spans="1:8">
      <c r="A130" s="1" t="s">
        <v>2911</v>
      </c>
      <c r="B130" s="1" t="s">
        <v>156</v>
      </c>
      <c r="C130" s="1" t="s">
        <v>2900</v>
      </c>
      <c r="D130" s="2"/>
      <c r="E130" s="2"/>
      <c r="F130" s="2"/>
      <c r="G130" s="2"/>
      <c r="H130" s="2">
        <v>0</v>
      </c>
    </row>
    <row r="131" spans="1:8">
      <c r="A131" s="1" t="s">
        <v>2911</v>
      </c>
      <c r="B131" s="1" t="s">
        <v>157</v>
      </c>
      <c r="C131" s="1" t="s">
        <v>2900</v>
      </c>
      <c r="D131" s="2"/>
      <c r="E131" s="2"/>
      <c r="F131" s="2"/>
      <c r="G131" s="2"/>
      <c r="H131" s="2">
        <v>0</v>
      </c>
    </row>
    <row r="132" spans="1:8">
      <c r="A132" s="1" t="s">
        <v>2911</v>
      </c>
      <c r="B132" s="1" t="s">
        <v>158</v>
      </c>
      <c r="C132" s="1" t="s">
        <v>2900</v>
      </c>
      <c r="D132" s="2"/>
      <c r="E132" s="2"/>
      <c r="F132" s="2"/>
      <c r="G132" s="2"/>
      <c r="H132" s="2">
        <v>0</v>
      </c>
    </row>
    <row r="133" spans="1:8">
      <c r="A133" s="1" t="s">
        <v>2911</v>
      </c>
      <c r="B133" s="1" t="s">
        <v>159</v>
      </c>
      <c r="C133" s="1" t="s">
        <v>2900</v>
      </c>
      <c r="D133" s="2"/>
      <c r="E133" s="2"/>
      <c r="F133" s="2"/>
      <c r="G133" s="2"/>
      <c r="H133" s="2">
        <v>0</v>
      </c>
    </row>
    <row r="134" spans="1:8">
      <c r="A134" s="1" t="s">
        <v>2912</v>
      </c>
      <c r="B134" s="1" t="s">
        <v>148</v>
      </c>
      <c r="C134" s="1" t="s">
        <v>2900</v>
      </c>
      <c r="D134" s="16"/>
      <c r="E134" s="16"/>
      <c r="F134" s="16"/>
      <c r="G134" s="16"/>
      <c r="H134" s="2">
        <v>0</v>
      </c>
    </row>
    <row r="135" spans="1:8">
      <c r="A135" s="1" t="s">
        <v>2912</v>
      </c>
      <c r="B135" s="1" t="s">
        <v>149</v>
      </c>
      <c r="C135" s="1" t="s">
        <v>2900</v>
      </c>
      <c r="D135" s="16"/>
      <c r="E135" s="16"/>
      <c r="F135" s="16"/>
      <c r="G135" s="16"/>
      <c r="H135" s="2">
        <v>0</v>
      </c>
    </row>
    <row r="136" spans="1:8">
      <c r="A136" s="1" t="s">
        <v>2912</v>
      </c>
      <c r="B136" s="1" t="s">
        <v>150</v>
      </c>
      <c r="C136" s="1" t="s">
        <v>2900</v>
      </c>
      <c r="D136" s="16">
        <v>65.56</v>
      </c>
      <c r="E136" s="16"/>
      <c r="F136" s="16"/>
      <c r="G136" s="16"/>
      <c r="H136" s="2">
        <v>65.56</v>
      </c>
    </row>
    <row r="137" spans="1:8">
      <c r="A137" s="1" t="s">
        <v>2912</v>
      </c>
      <c r="B137" s="1" t="s">
        <v>151</v>
      </c>
      <c r="C137" s="1" t="s">
        <v>2900</v>
      </c>
      <c r="D137" s="16">
        <v>400.86</v>
      </c>
      <c r="E137" s="16"/>
      <c r="F137" s="16"/>
      <c r="G137" s="16"/>
      <c r="H137" s="2">
        <v>400.86</v>
      </c>
    </row>
    <row r="138" spans="1:8">
      <c r="A138" s="1" t="s">
        <v>2912</v>
      </c>
      <c r="B138" s="1" t="s">
        <v>152</v>
      </c>
      <c r="C138" s="1" t="s">
        <v>2900</v>
      </c>
      <c r="D138" s="16">
        <v>565.92</v>
      </c>
      <c r="E138" s="16"/>
      <c r="F138" s="16"/>
      <c r="G138" s="16"/>
      <c r="H138" s="2">
        <v>565.92</v>
      </c>
    </row>
    <row r="139" spans="1:8">
      <c r="A139" s="1" t="s">
        <v>2912</v>
      </c>
      <c r="B139" s="1" t="s">
        <v>153</v>
      </c>
      <c r="C139" s="1" t="s">
        <v>2900</v>
      </c>
      <c r="D139" s="16">
        <v>683.82</v>
      </c>
      <c r="E139" s="16"/>
      <c r="F139" s="16"/>
      <c r="G139" s="16"/>
      <c r="H139" s="2">
        <v>683.82</v>
      </c>
    </row>
    <row r="140" spans="1:8">
      <c r="A140" s="1" t="s">
        <v>2912</v>
      </c>
      <c r="B140" s="1" t="s">
        <v>154</v>
      </c>
      <c r="C140" s="1" t="s">
        <v>2900</v>
      </c>
      <c r="D140" s="16">
        <v>542.34</v>
      </c>
      <c r="E140" s="16"/>
      <c r="F140" s="16"/>
      <c r="G140" s="16"/>
      <c r="H140" s="2">
        <v>542.34</v>
      </c>
    </row>
    <row r="141" spans="1:8">
      <c r="A141" s="1" t="s">
        <v>2912</v>
      </c>
      <c r="B141" s="1" t="s">
        <v>155</v>
      </c>
      <c r="C141" s="1" t="s">
        <v>2900</v>
      </c>
      <c r="D141" s="16">
        <v>471.6</v>
      </c>
      <c r="E141" s="16"/>
      <c r="F141" s="16"/>
      <c r="G141" s="16"/>
      <c r="H141" s="2">
        <v>471.6</v>
      </c>
    </row>
    <row r="142" spans="1:8">
      <c r="A142" s="1" t="s">
        <v>2912</v>
      </c>
      <c r="B142" s="1" t="s">
        <v>156</v>
      </c>
      <c r="C142" s="1" t="s">
        <v>2900</v>
      </c>
      <c r="D142" s="16">
        <v>94.32</v>
      </c>
      <c r="E142" s="16"/>
      <c r="F142" s="16"/>
      <c r="G142" s="16"/>
      <c r="H142" s="2">
        <v>94.32</v>
      </c>
    </row>
    <row r="143" spans="1:8">
      <c r="A143" s="1" t="s">
        <v>2912</v>
      </c>
      <c r="B143" s="1" t="s">
        <v>157</v>
      </c>
      <c r="C143" s="1" t="s">
        <v>2900</v>
      </c>
      <c r="D143" s="2"/>
      <c r="E143" s="2"/>
      <c r="F143" s="2"/>
      <c r="G143" s="2"/>
      <c r="H143" s="2">
        <v>0</v>
      </c>
    </row>
    <row r="144" spans="1:8">
      <c r="A144" s="1" t="s">
        <v>2912</v>
      </c>
      <c r="B144" s="1" t="s">
        <v>158</v>
      </c>
      <c r="C144" s="1" t="s">
        <v>2900</v>
      </c>
      <c r="D144" s="2"/>
      <c r="E144" s="2"/>
      <c r="F144" s="2"/>
      <c r="G144" s="2"/>
      <c r="H144" s="2">
        <v>0</v>
      </c>
    </row>
    <row r="145" spans="1:8">
      <c r="A145" s="1" t="s">
        <v>2912</v>
      </c>
      <c r="B145" s="1" t="s">
        <v>159</v>
      </c>
      <c r="C145" s="1" t="s">
        <v>2900</v>
      </c>
      <c r="D145" s="2"/>
      <c r="E145" s="2"/>
      <c r="F145" s="2"/>
      <c r="G145" s="2"/>
      <c r="H145" s="2">
        <v>0</v>
      </c>
    </row>
    <row r="146" spans="1:8">
      <c r="A146" s="1" t="s">
        <v>2913</v>
      </c>
      <c r="B146" s="1" t="s">
        <v>148</v>
      </c>
      <c r="C146" s="1" t="s">
        <v>2900</v>
      </c>
      <c r="D146" s="2"/>
      <c r="E146" s="2"/>
      <c r="F146" s="2"/>
      <c r="G146" s="2"/>
      <c r="H146" s="2">
        <v>0</v>
      </c>
    </row>
    <row r="147" spans="1:8">
      <c r="A147" s="1" t="s">
        <v>2913</v>
      </c>
      <c r="B147" s="1" t="s">
        <v>149</v>
      </c>
      <c r="C147" s="1" t="s">
        <v>2900</v>
      </c>
      <c r="D147" s="2"/>
      <c r="E147" s="2"/>
      <c r="F147" s="2"/>
      <c r="G147" s="2"/>
      <c r="H147" s="2">
        <v>0</v>
      </c>
    </row>
    <row r="148" spans="1:8">
      <c r="A148" s="1" t="s">
        <v>2913</v>
      </c>
      <c r="B148" s="1" t="s">
        <v>150</v>
      </c>
      <c r="C148" s="1" t="s">
        <v>2900</v>
      </c>
      <c r="D148" s="2"/>
      <c r="E148" s="2"/>
      <c r="F148" s="2"/>
      <c r="G148" s="2"/>
      <c r="H148" s="2">
        <v>0</v>
      </c>
    </row>
    <row r="149" spans="1:8">
      <c r="A149" s="1" t="s">
        <v>2913</v>
      </c>
      <c r="B149" s="1" t="s">
        <v>151</v>
      </c>
      <c r="C149" s="1" t="s">
        <v>2900</v>
      </c>
      <c r="D149" s="2"/>
      <c r="E149" s="2"/>
      <c r="F149" s="2"/>
      <c r="G149" s="2"/>
      <c r="H149" s="2">
        <v>0</v>
      </c>
    </row>
    <row r="150" spans="1:8">
      <c r="A150" s="1" t="s">
        <v>2913</v>
      </c>
      <c r="B150" s="1" t="s">
        <v>152</v>
      </c>
      <c r="C150" s="1" t="s">
        <v>2900</v>
      </c>
      <c r="D150" s="2"/>
      <c r="E150" s="2"/>
      <c r="F150" s="2"/>
      <c r="G150" s="2"/>
      <c r="H150" s="2">
        <v>0</v>
      </c>
    </row>
    <row r="151" spans="1:8">
      <c r="A151" s="1" t="s">
        <v>2913</v>
      </c>
      <c r="B151" s="1" t="s">
        <v>153</v>
      </c>
      <c r="C151" s="1" t="s">
        <v>2900</v>
      </c>
      <c r="D151" s="2"/>
      <c r="E151" s="2"/>
      <c r="F151" s="2"/>
      <c r="G151" s="2"/>
      <c r="H151" s="2">
        <v>0</v>
      </c>
    </row>
    <row r="152" spans="1:8">
      <c r="A152" s="1" t="s">
        <v>2913</v>
      </c>
      <c r="B152" s="1" t="s">
        <v>154</v>
      </c>
      <c r="C152" s="1" t="s">
        <v>2900</v>
      </c>
      <c r="D152" s="2"/>
      <c r="E152" s="2"/>
      <c r="F152" s="2"/>
      <c r="G152" s="2"/>
      <c r="H152" s="2">
        <v>0</v>
      </c>
    </row>
    <row r="153" spans="1:8">
      <c r="A153" s="1" t="s">
        <v>2913</v>
      </c>
      <c r="B153" s="1" t="s">
        <v>155</v>
      </c>
      <c r="C153" s="1" t="s">
        <v>2900</v>
      </c>
      <c r="D153" s="2"/>
      <c r="E153" s="2"/>
      <c r="F153" s="2"/>
      <c r="G153" s="2"/>
      <c r="H153" s="2">
        <v>0</v>
      </c>
    </row>
    <row r="154" spans="1:8">
      <c r="A154" s="1" t="s">
        <v>2913</v>
      </c>
      <c r="B154" s="1" t="s">
        <v>156</v>
      </c>
      <c r="C154" s="1" t="s">
        <v>2900</v>
      </c>
      <c r="D154" s="2"/>
      <c r="E154" s="2"/>
      <c r="F154" s="2"/>
      <c r="G154" s="2"/>
      <c r="H154" s="2">
        <v>0</v>
      </c>
    </row>
    <row r="155" spans="1:8">
      <c r="A155" s="1" t="s">
        <v>2913</v>
      </c>
      <c r="B155" s="1" t="s">
        <v>157</v>
      </c>
      <c r="C155" s="1" t="s">
        <v>2900</v>
      </c>
      <c r="D155" s="2"/>
      <c r="E155" s="2"/>
      <c r="F155" s="2"/>
      <c r="G155" s="2"/>
      <c r="H155" s="2">
        <v>0</v>
      </c>
    </row>
    <row r="156" spans="1:8">
      <c r="A156" s="1" t="s">
        <v>2913</v>
      </c>
      <c r="B156" s="1" t="s">
        <v>158</v>
      </c>
      <c r="C156" s="1" t="s">
        <v>2900</v>
      </c>
      <c r="D156" s="2"/>
      <c r="E156" s="2"/>
      <c r="F156" s="2"/>
      <c r="G156" s="2"/>
      <c r="H156" s="2">
        <v>0</v>
      </c>
    </row>
    <row r="157" spans="1:8">
      <c r="A157" s="1" t="s">
        <v>2913</v>
      </c>
      <c r="B157" s="1" t="s">
        <v>159</v>
      </c>
      <c r="C157" s="1" t="s">
        <v>2900</v>
      </c>
      <c r="D157" s="2"/>
      <c r="E157" s="2"/>
      <c r="F157" s="2"/>
      <c r="G157" s="2"/>
      <c r="H157" s="2">
        <v>0</v>
      </c>
    </row>
    <row r="158" spans="1:8">
      <c r="A158" s="1" t="s">
        <v>2914</v>
      </c>
      <c r="B158" s="1" t="s">
        <v>148</v>
      </c>
      <c r="C158" s="1" t="s">
        <v>2900</v>
      </c>
      <c r="D158" s="2"/>
      <c r="E158" s="2"/>
      <c r="F158" s="2">
        <v>527332</v>
      </c>
      <c r="G158" s="2"/>
      <c r="H158" s="2">
        <v>527332</v>
      </c>
    </row>
    <row r="159" spans="1:8">
      <c r="A159" s="1" t="s">
        <v>2914</v>
      </c>
      <c r="B159" s="1" t="s">
        <v>149</v>
      </c>
      <c r="C159" s="1" t="s">
        <v>2900</v>
      </c>
      <c r="D159" s="2"/>
      <c r="E159" s="2"/>
      <c r="F159" s="2">
        <v>1362897.55</v>
      </c>
      <c r="G159" s="2"/>
      <c r="H159" s="2">
        <v>1362897.55</v>
      </c>
    </row>
    <row r="160" spans="1:8">
      <c r="A160" s="1" t="s">
        <v>2914</v>
      </c>
      <c r="B160" s="1" t="s">
        <v>150</v>
      </c>
      <c r="C160" s="1" t="s">
        <v>2900</v>
      </c>
      <c r="D160" s="2"/>
      <c r="E160" s="2"/>
      <c r="F160" s="2">
        <v>862246.76</v>
      </c>
      <c r="G160" s="2"/>
      <c r="H160" s="2">
        <v>862246.76</v>
      </c>
    </row>
    <row r="161" spans="1:8">
      <c r="A161" s="1" t="s">
        <v>2914</v>
      </c>
      <c r="B161" s="1" t="s">
        <v>151</v>
      </c>
      <c r="C161" s="1" t="s">
        <v>2900</v>
      </c>
      <c r="D161" s="2"/>
      <c r="E161" s="2"/>
      <c r="F161" s="2">
        <v>740687.6</v>
      </c>
      <c r="G161" s="2"/>
      <c r="H161" s="2">
        <v>740687.6</v>
      </c>
    </row>
    <row r="162" spans="1:8">
      <c r="A162" s="1" t="s">
        <v>2914</v>
      </c>
      <c r="B162" s="1" t="s">
        <v>152</v>
      </c>
      <c r="C162" s="1" t="s">
        <v>2900</v>
      </c>
      <c r="D162" s="2"/>
      <c r="E162" s="2"/>
      <c r="F162" s="2">
        <v>728353.77</v>
      </c>
      <c r="G162" s="2"/>
      <c r="H162" s="2">
        <v>728353.77</v>
      </c>
    </row>
    <row r="163" spans="1:8">
      <c r="A163" s="1" t="s">
        <v>2914</v>
      </c>
      <c r="B163" s="1" t="s">
        <v>153</v>
      </c>
      <c r="C163" s="1" t="s">
        <v>2900</v>
      </c>
      <c r="D163" s="2"/>
      <c r="E163" s="2"/>
      <c r="F163" s="2">
        <v>965995.88</v>
      </c>
      <c r="G163" s="2"/>
      <c r="H163" s="2">
        <v>965995.88</v>
      </c>
    </row>
    <row r="164" spans="1:8">
      <c r="A164" s="1" t="s">
        <v>2914</v>
      </c>
      <c r="B164" s="1" t="s">
        <v>154</v>
      </c>
      <c r="C164" s="1" t="s">
        <v>2900</v>
      </c>
      <c r="D164" s="2"/>
      <c r="E164" s="2"/>
      <c r="F164" s="2">
        <v>483330.04</v>
      </c>
      <c r="G164" s="2"/>
      <c r="H164" s="2">
        <v>483330.04</v>
      </c>
    </row>
    <row r="165" spans="1:8">
      <c r="A165" s="1" t="s">
        <v>2914</v>
      </c>
      <c r="B165" s="1" t="s">
        <v>155</v>
      </c>
      <c r="C165" s="1" t="s">
        <v>2900</v>
      </c>
      <c r="D165" s="2"/>
      <c r="E165" s="2"/>
      <c r="F165" s="2">
        <v>516171.01</v>
      </c>
      <c r="G165" s="2"/>
      <c r="H165" s="2">
        <v>516171.01</v>
      </c>
    </row>
    <row r="166" spans="1:8">
      <c r="A166" s="1" t="s">
        <v>2914</v>
      </c>
      <c r="B166" s="1" t="s">
        <v>156</v>
      </c>
      <c r="C166" s="1" t="s">
        <v>2900</v>
      </c>
      <c r="D166" s="2"/>
      <c r="E166" s="2"/>
      <c r="F166" s="2">
        <v>645600.6</v>
      </c>
      <c r="G166" s="2"/>
      <c r="H166" s="2">
        <v>645600.6</v>
      </c>
    </row>
    <row r="167" spans="1:8">
      <c r="A167" s="1" t="s">
        <v>2914</v>
      </c>
      <c r="B167" s="1" t="s">
        <v>157</v>
      </c>
      <c r="C167" s="1" t="s">
        <v>2900</v>
      </c>
      <c r="D167" s="2"/>
      <c r="E167" s="2"/>
      <c r="F167" s="2">
        <v>298683.04</v>
      </c>
      <c r="G167" s="2"/>
      <c r="H167" s="2">
        <v>298683.04</v>
      </c>
    </row>
    <row r="168" spans="1:8">
      <c r="A168" s="1" t="s">
        <v>2914</v>
      </c>
      <c r="B168" s="1" t="s">
        <v>158</v>
      </c>
      <c r="C168" s="1" t="s">
        <v>2900</v>
      </c>
      <c r="D168" s="2">
        <v>0</v>
      </c>
      <c r="E168" s="2"/>
      <c r="F168" s="2">
        <v>644496.68</v>
      </c>
      <c r="G168" s="2">
        <v>0</v>
      </c>
      <c r="H168" s="2">
        <v>644496.68</v>
      </c>
    </row>
    <row r="169" spans="1:8">
      <c r="A169" s="1" t="s">
        <v>2914</v>
      </c>
      <c r="B169" s="1" t="s">
        <v>159</v>
      </c>
      <c r="C169" s="1" t="s">
        <v>2900</v>
      </c>
      <c r="D169" s="2"/>
      <c r="E169" s="2"/>
      <c r="F169" s="2">
        <v>1061517.36</v>
      </c>
      <c r="G169" s="2"/>
      <c r="H169" s="2">
        <v>1061517.36</v>
      </c>
    </row>
    <row r="170" spans="1:8">
      <c r="A170" s="1" t="s">
        <v>2915</v>
      </c>
      <c r="B170" s="1" t="s">
        <v>148</v>
      </c>
      <c r="C170" s="1" t="s">
        <v>2900</v>
      </c>
      <c r="D170" s="2"/>
      <c r="E170" s="2"/>
      <c r="F170" s="2"/>
      <c r="G170" s="2"/>
      <c r="H170" s="2">
        <v>0</v>
      </c>
    </row>
    <row r="171" spans="1:8">
      <c r="A171" s="1" t="s">
        <v>2915</v>
      </c>
      <c r="B171" s="1" t="s">
        <v>149</v>
      </c>
      <c r="C171" s="1" t="s">
        <v>2900</v>
      </c>
      <c r="D171" s="2"/>
      <c r="E171" s="2"/>
      <c r="F171" s="2"/>
      <c r="G171" s="2"/>
      <c r="H171" s="2">
        <v>0</v>
      </c>
    </row>
    <row r="172" spans="1:8">
      <c r="A172" s="1" t="s">
        <v>2915</v>
      </c>
      <c r="B172" s="1" t="s">
        <v>150</v>
      </c>
      <c r="C172" s="1" t="s">
        <v>2900</v>
      </c>
      <c r="D172" s="2"/>
      <c r="E172" s="2"/>
      <c r="F172" s="2"/>
      <c r="G172" s="2"/>
      <c r="H172" s="2">
        <v>0</v>
      </c>
    </row>
    <row r="173" spans="1:8">
      <c r="A173" s="1" t="s">
        <v>2915</v>
      </c>
      <c r="B173" s="1" t="s">
        <v>151</v>
      </c>
      <c r="C173" s="1" t="s">
        <v>2900</v>
      </c>
      <c r="D173" s="2"/>
      <c r="E173" s="2"/>
      <c r="F173" s="2"/>
      <c r="G173" s="2"/>
      <c r="H173" s="2">
        <v>0</v>
      </c>
    </row>
    <row r="174" spans="1:8">
      <c r="A174" s="1" t="s">
        <v>2915</v>
      </c>
      <c r="B174" s="1" t="s">
        <v>152</v>
      </c>
      <c r="C174" s="1" t="s">
        <v>2900</v>
      </c>
      <c r="D174" s="2"/>
      <c r="E174" s="2"/>
      <c r="F174" s="2"/>
      <c r="G174" s="2"/>
      <c r="H174" s="2">
        <v>0</v>
      </c>
    </row>
    <row r="175" spans="1:8">
      <c r="A175" s="1" t="s">
        <v>2915</v>
      </c>
      <c r="B175" s="1" t="s">
        <v>153</v>
      </c>
      <c r="C175" s="1" t="s">
        <v>2900</v>
      </c>
      <c r="D175" s="2"/>
      <c r="E175" s="2"/>
      <c r="F175" s="2"/>
      <c r="G175" s="2"/>
      <c r="H175" s="2">
        <v>0</v>
      </c>
    </row>
    <row r="176" spans="1:8">
      <c r="A176" s="1" t="s">
        <v>2915</v>
      </c>
      <c r="B176" s="1" t="s">
        <v>154</v>
      </c>
      <c r="C176" s="1" t="s">
        <v>2900</v>
      </c>
      <c r="D176" s="2"/>
      <c r="E176" s="2"/>
      <c r="F176" s="2"/>
      <c r="G176" s="2"/>
      <c r="H176" s="2">
        <v>0</v>
      </c>
    </row>
    <row r="177" spans="1:8">
      <c r="A177" s="1" t="s">
        <v>2915</v>
      </c>
      <c r="B177" s="1" t="s">
        <v>155</v>
      </c>
      <c r="C177" s="1" t="s">
        <v>2900</v>
      </c>
      <c r="D177" s="2"/>
      <c r="E177" s="2"/>
      <c r="F177" s="2"/>
      <c r="G177" s="2"/>
      <c r="H177" s="2">
        <v>0</v>
      </c>
    </row>
    <row r="178" spans="1:8">
      <c r="A178" s="1" t="s">
        <v>2915</v>
      </c>
      <c r="B178" s="1" t="s">
        <v>156</v>
      </c>
      <c r="C178" s="1" t="s">
        <v>2900</v>
      </c>
      <c r="D178" s="2"/>
      <c r="E178" s="2"/>
      <c r="F178" s="2"/>
      <c r="G178" s="2"/>
      <c r="H178" s="2">
        <v>0</v>
      </c>
    </row>
    <row r="179" spans="1:8">
      <c r="A179" s="1" t="s">
        <v>2915</v>
      </c>
      <c r="B179" s="1" t="s">
        <v>157</v>
      </c>
      <c r="C179" s="1" t="s">
        <v>2900</v>
      </c>
      <c r="D179" s="2"/>
      <c r="E179" s="2"/>
      <c r="F179" s="2"/>
      <c r="G179" s="2"/>
      <c r="H179" s="2">
        <v>0</v>
      </c>
    </row>
    <row r="180" spans="1:8">
      <c r="A180" s="1" t="s">
        <v>2915</v>
      </c>
      <c r="B180" s="1" t="s">
        <v>158</v>
      </c>
      <c r="C180" s="1" t="s">
        <v>2900</v>
      </c>
      <c r="D180" s="2"/>
      <c r="E180" s="2"/>
      <c r="F180" s="2"/>
      <c r="G180" s="2"/>
      <c r="H180" s="2">
        <v>0</v>
      </c>
    </row>
    <row r="181" spans="1:8">
      <c r="A181" s="1" t="s">
        <v>2915</v>
      </c>
      <c r="B181" s="1" t="s">
        <v>159</v>
      </c>
      <c r="C181" s="1" t="s">
        <v>2900</v>
      </c>
      <c r="D181" s="2"/>
      <c r="E181" s="2"/>
      <c r="F181" s="2"/>
      <c r="G181" s="2"/>
      <c r="H181" s="2">
        <v>0</v>
      </c>
    </row>
    <row r="182" spans="1:8">
      <c r="A182" s="1" t="s">
        <v>2916</v>
      </c>
      <c r="B182" s="1" t="s">
        <v>148</v>
      </c>
      <c r="C182" s="1" t="s">
        <v>2900</v>
      </c>
      <c r="D182" s="2"/>
      <c r="E182" s="2"/>
      <c r="F182" s="2"/>
      <c r="G182" s="2"/>
      <c r="H182" s="2">
        <v>0</v>
      </c>
    </row>
    <row r="183" spans="1:8">
      <c r="A183" s="1" t="s">
        <v>2916</v>
      </c>
      <c r="B183" s="1" t="s">
        <v>149</v>
      </c>
      <c r="C183" s="1" t="s">
        <v>2900</v>
      </c>
      <c r="D183" s="2"/>
      <c r="E183" s="2"/>
      <c r="F183" s="2"/>
      <c r="G183" s="2"/>
      <c r="H183" s="2">
        <v>0</v>
      </c>
    </row>
    <row r="184" spans="1:8">
      <c r="A184" s="1" t="s">
        <v>2916</v>
      </c>
      <c r="B184" s="1" t="s">
        <v>150</v>
      </c>
      <c r="C184" s="1" t="s">
        <v>2900</v>
      </c>
      <c r="D184" s="2"/>
      <c r="E184" s="2"/>
      <c r="F184" s="2"/>
      <c r="G184" s="2"/>
      <c r="H184" s="2">
        <v>0</v>
      </c>
    </row>
    <row r="185" spans="1:8">
      <c r="A185" s="1" t="s">
        <v>2916</v>
      </c>
      <c r="B185" s="1" t="s">
        <v>151</v>
      </c>
      <c r="C185" s="1" t="s">
        <v>2900</v>
      </c>
      <c r="D185" s="2"/>
      <c r="E185" s="2"/>
      <c r="F185" s="2"/>
      <c r="G185" s="2"/>
      <c r="H185" s="2">
        <v>0</v>
      </c>
    </row>
    <row r="186" spans="1:8">
      <c r="A186" s="1" t="s">
        <v>2916</v>
      </c>
      <c r="B186" s="1" t="s">
        <v>152</v>
      </c>
      <c r="C186" s="1" t="s">
        <v>2900</v>
      </c>
      <c r="D186" s="2"/>
      <c r="E186" s="2"/>
      <c r="F186" s="2"/>
      <c r="G186" s="2"/>
      <c r="H186" s="2">
        <v>0</v>
      </c>
    </row>
    <row r="187" spans="1:8">
      <c r="A187" s="1" t="s">
        <v>2916</v>
      </c>
      <c r="B187" s="1" t="s">
        <v>153</v>
      </c>
      <c r="C187" s="1" t="s">
        <v>2900</v>
      </c>
      <c r="D187" s="2"/>
      <c r="E187" s="2"/>
      <c r="F187" s="2"/>
      <c r="G187" s="2"/>
      <c r="H187" s="2">
        <v>0</v>
      </c>
    </row>
    <row r="188" spans="1:8">
      <c r="A188" s="1" t="s">
        <v>2916</v>
      </c>
      <c r="B188" s="1" t="s">
        <v>154</v>
      </c>
      <c r="C188" s="1" t="s">
        <v>2900</v>
      </c>
      <c r="D188" s="2"/>
      <c r="E188" s="2"/>
      <c r="F188" s="2"/>
      <c r="G188" s="2"/>
      <c r="H188" s="2">
        <v>0</v>
      </c>
    </row>
    <row r="189" spans="1:8">
      <c r="A189" s="1" t="s">
        <v>2916</v>
      </c>
      <c r="B189" s="1" t="s">
        <v>155</v>
      </c>
      <c r="C189" s="1" t="s">
        <v>2900</v>
      </c>
      <c r="D189" s="2"/>
      <c r="E189" s="2"/>
      <c r="F189" s="2"/>
      <c r="G189" s="2"/>
      <c r="H189" s="2">
        <v>0</v>
      </c>
    </row>
    <row r="190" spans="1:8">
      <c r="A190" s="1" t="s">
        <v>2916</v>
      </c>
      <c r="B190" s="1" t="s">
        <v>156</v>
      </c>
      <c r="C190" s="1" t="s">
        <v>2900</v>
      </c>
      <c r="D190" s="2"/>
      <c r="E190" s="2"/>
      <c r="F190" s="2"/>
      <c r="G190" s="2"/>
      <c r="H190" s="2">
        <v>0</v>
      </c>
    </row>
    <row r="191" spans="1:8">
      <c r="A191" s="1" t="s">
        <v>2916</v>
      </c>
      <c r="B191" s="1" t="s">
        <v>157</v>
      </c>
      <c r="C191" s="1" t="s">
        <v>2900</v>
      </c>
      <c r="D191" s="2"/>
      <c r="E191" s="2"/>
      <c r="F191" s="2"/>
      <c r="G191" s="2"/>
      <c r="H191" s="2">
        <v>0</v>
      </c>
    </row>
    <row r="192" spans="1:8">
      <c r="A192" s="1" t="s">
        <v>2916</v>
      </c>
      <c r="B192" s="1" t="s">
        <v>158</v>
      </c>
      <c r="C192" s="1" t="s">
        <v>2900</v>
      </c>
      <c r="D192" s="2"/>
      <c r="E192" s="2"/>
      <c r="F192" s="2"/>
      <c r="G192" s="2"/>
      <c r="H192" s="2">
        <v>0</v>
      </c>
    </row>
    <row r="193" spans="1:8">
      <c r="A193" s="1" t="s">
        <v>2916</v>
      </c>
      <c r="B193" s="1" t="s">
        <v>159</v>
      </c>
      <c r="C193" s="1" t="s">
        <v>2900</v>
      </c>
      <c r="D193" s="2"/>
      <c r="E193" s="2"/>
      <c r="F193" s="2"/>
      <c r="G193" s="2"/>
      <c r="H193" s="2">
        <v>0</v>
      </c>
    </row>
    <row r="194" spans="1:8">
      <c r="A194" s="1" t="s">
        <v>2918</v>
      </c>
      <c r="B194" s="1" t="s">
        <v>148</v>
      </c>
      <c r="C194" s="1" t="s">
        <v>2901</v>
      </c>
      <c r="D194" s="2"/>
      <c r="E194" s="2"/>
      <c r="F194" s="2">
        <v>527332</v>
      </c>
      <c r="G194" s="2"/>
      <c r="H194" s="2">
        <v>527332</v>
      </c>
    </row>
    <row r="195" spans="1:8">
      <c r="A195" s="1" t="s">
        <v>2918</v>
      </c>
      <c r="B195" s="1" t="s">
        <v>149</v>
      </c>
      <c r="C195" s="1" t="s">
        <v>2901</v>
      </c>
      <c r="D195" s="2"/>
      <c r="E195" s="2"/>
      <c r="F195" s="2">
        <v>1362897.55</v>
      </c>
      <c r="G195" s="2"/>
      <c r="H195" s="2">
        <v>1362897.55</v>
      </c>
    </row>
    <row r="196" spans="1:8">
      <c r="A196" s="1" t="s">
        <v>2918</v>
      </c>
      <c r="B196" s="1" t="s">
        <v>150</v>
      </c>
      <c r="C196" s="1" t="s">
        <v>2901</v>
      </c>
      <c r="D196" s="2"/>
      <c r="E196" s="2"/>
      <c r="F196" s="2">
        <v>862246.76</v>
      </c>
      <c r="G196" s="2"/>
      <c r="H196" s="2">
        <v>862246.76</v>
      </c>
    </row>
    <row r="197" spans="1:8">
      <c r="A197" s="1" t="s">
        <v>2918</v>
      </c>
      <c r="B197" s="1" t="s">
        <v>151</v>
      </c>
      <c r="C197" s="1" t="s">
        <v>2901</v>
      </c>
      <c r="D197" s="2"/>
      <c r="E197" s="2"/>
      <c r="F197" s="2">
        <v>740687.6</v>
      </c>
      <c r="G197" s="2"/>
      <c r="H197" s="2">
        <v>740687.6</v>
      </c>
    </row>
    <row r="198" spans="1:8">
      <c r="A198" s="1" t="s">
        <v>2918</v>
      </c>
      <c r="B198" s="1" t="s">
        <v>152</v>
      </c>
      <c r="C198" s="1" t="s">
        <v>2901</v>
      </c>
      <c r="D198" s="2"/>
      <c r="E198" s="2"/>
      <c r="F198" s="2">
        <v>728353.77</v>
      </c>
      <c r="G198" s="2"/>
      <c r="H198" s="2">
        <v>728353.77</v>
      </c>
    </row>
    <row r="199" spans="1:8">
      <c r="A199" s="1" t="s">
        <v>2918</v>
      </c>
      <c r="B199" s="1" t="s">
        <v>153</v>
      </c>
      <c r="C199" s="1" t="s">
        <v>2901</v>
      </c>
      <c r="D199" s="2"/>
      <c r="E199" s="2"/>
      <c r="F199" s="2">
        <v>965995.88</v>
      </c>
      <c r="G199" s="2"/>
      <c r="H199" s="2">
        <v>965995.88</v>
      </c>
    </row>
    <row r="200" spans="1:8">
      <c r="A200" s="1" t="s">
        <v>2918</v>
      </c>
      <c r="B200" s="1" t="s">
        <v>154</v>
      </c>
      <c r="C200" s="1" t="s">
        <v>2901</v>
      </c>
      <c r="D200" s="2"/>
      <c r="E200" s="2"/>
      <c r="F200" s="2">
        <v>483330.04</v>
      </c>
      <c r="G200" s="2"/>
      <c r="H200" s="2">
        <v>483330.04</v>
      </c>
    </row>
    <row r="201" spans="1:8">
      <c r="A201" s="1" t="s">
        <v>2918</v>
      </c>
      <c r="B201" s="1" t="s">
        <v>155</v>
      </c>
      <c r="C201" s="1" t="s">
        <v>2901</v>
      </c>
      <c r="D201" s="2"/>
      <c r="E201" s="2"/>
      <c r="F201" s="2">
        <v>516171.01</v>
      </c>
      <c r="G201" s="2"/>
      <c r="H201" s="2">
        <v>516171.01</v>
      </c>
    </row>
    <row r="202" spans="1:8">
      <c r="A202" s="1" t="s">
        <v>2918</v>
      </c>
      <c r="B202" s="1" t="s">
        <v>156</v>
      </c>
      <c r="C202" s="1" t="s">
        <v>2901</v>
      </c>
      <c r="D202" s="2"/>
      <c r="E202" s="2"/>
      <c r="F202" s="2">
        <v>645600.6</v>
      </c>
      <c r="G202" s="2"/>
      <c r="H202" s="2">
        <v>645600.6</v>
      </c>
    </row>
    <row r="203" spans="1:8">
      <c r="A203" s="1" t="s">
        <v>2918</v>
      </c>
      <c r="B203" s="1" t="s">
        <v>157</v>
      </c>
      <c r="C203" s="1" t="s">
        <v>2901</v>
      </c>
      <c r="D203" s="2"/>
      <c r="E203" s="2"/>
      <c r="F203" s="2">
        <v>298683.04</v>
      </c>
      <c r="G203" s="2"/>
      <c r="H203" s="2">
        <v>298683.04</v>
      </c>
    </row>
    <row r="204" spans="1:8">
      <c r="A204" s="1" t="s">
        <v>2918</v>
      </c>
      <c r="B204" s="1" t="s">
        <v>158</v>
      </c>
      <c r="C204" s="1" t="s">
        <v>2901</v>
      </c>
      <c r="D204" s="2"/>
      <c r="E204" s="2"/>
      <c r="F204" s="2">
        <v>644496.68</v>
      </c>
      <c r="G204" s="2"/>
      <c r="H204" s="2">
        <v>644496.68</v>
      </c>
    </row>
    <row r="205" spans="1:8">
      <c r="A205" s="1" t="s">
        <v>2918</v>
      </c>
      <c r="B205" s="1" t="s">
        <v>159</v>
      </c>
      <c r="C205" s="1" t="s">
        <v>2901</v>
      </c>
      <c r="D205" s="2"/>
      <c r="E205" s="2"/>
      <c r="F205" s="2">
        <v>1061517.36</v>
      </c>
      <c r="G205" s="2"/>
      <c r="H205" s="2">
        <v>1061517.36</v>
      </c>
    </row>
    <row r="206" spans="1:8">
      <c r="A206" s="1" t="s">
        <v>2918</v>
      </c>
      <c r="B206" s="1" t="s">
        <v>148</v>
      </c>
      <c r="C206" s="1" t="s">
        <v>2922</v>
      </c>
      <c r="D206" s="2"/>
      <c r="E206" s="2"/>
      <c r="F206" s="2"/>
      <c r="G206" s="2"/>
      <c r="H206" s="2">
        <v>0</v>
      </c>
    </row>
    <row r="207" spans="1:8">
      <c r="A207" s="1" t="s">
        <v>2918</v>
      </c>
      <c r="B207" s="1" t="s">
        <v>149</v>
      </c>
      <c r="C207" s="1" t="s">
        <v>2943</v>
      </c>
      <c r="D207" s="2"/>
      <c r="E207" s="2"/>
      <c r="F207" s="2"/>
      <c r="G207" s="2"/>
      <c r="H207" s="2">
        <v>0</v>
      </c>
    </row>
    <row r="208" spans="1:8">
      <c r="A208" s="1" t="s">
        <v>2918</v>
      </c>
      <c r="B208" s="1" t="s">
        <v>150</v>
      </c>
      <c r="C208" s="1" t="s">
        <v>2943</v>
      </c>
      <c r="D208" s="2"/>
      <c r="E208" s="2"/>
      <c r="F208" s="2"/>
      <c r="G208" s="2"/>
      <c r="H208" s="2">
        <v>0</v>
      </c>
    </row>
    <row r="209" spans="1:8">
      <c r="A209" s="1" t="s">
        <v>2918</v>
      </c>
      <c r="B209" s="1" t="s">
        <v>151</v>
      </c>
      <c r="C209" s="1" t="s">
        <v>2943</v>
      </c>
      <c r="D209" s="2"/>
      <c r="E209" s="2"/>
      <c r="F209" s="2"/>
      <c r="G209" s="2"/>
      <c r="H209" s="2">
        <v>0</v>
      </c>
    </row>
    <row r="210" spans="1:8">
      <c r="A210" s="1" t="s">
        <v>2918</v>
      </c>
      <c r="B210" s="1" t="s">
        <v>152</v>
      </c>
      <c r="C210" s="1" t="s">
        <v>2943</v>
      </c>
      <c r="D210" s="2"/>
      <c r="E210" s="2"/>
      <c r="F210" s="2"/>
      <c r="G210" s="2"/>
      <c r="H210" s="2">
        <v>0</v>
      </c>
    </row>
    <row r="211" spans="1:8">
      <c r="A211" s="1" t="s">
        <v>2918</v>
      </c>
      <c r="B211" s="1" t="s">
        <v>153</v>
      </c>
      <c r="C211" s="1" t="s">
        <v>2943</v>
      </c>
      <c r="D211" s="2"/>
      <c r="E211" s="2"/>
      <c r="F211" s="2"/>
      <c r="G211" s="2"/>
      <c r="H211" s="2">
        <v>0</v>
      </c>
    </row>
    <row r="212" spans="1:8">
      <c r="A212" s="1" t="s">
        <v>2918</v>
      </c>
      <c r="B212" s="1" t="s">
        <v>154</v>
      </c>
      <c r="C212" s="1" t="s">
        <v>2943</v>
      </c>
      <c r="D212" s="2"/>
      <c r="E212" s="2"/>
      <c r="F212" s="2"/>
      <c r="G212" s="2"/>
      <c r="H212" s="2">
        <v>0</v>
      </c>
    </row>
    <row r="213" spans="1:8">
      <c r="A213" s="1" t="s">
        <v>2918</v>
      </c>
      <c r="B213" s="1" t="s">
        <v>155</v>
      </c>
      <c r="C213" s="1" t="s">
        <v>2943</v>
      </c>
      <c r="D213" s="2"/>
      <c r="E213" s="2"/>
      <c r="F213" s="2"/>
      <c r="G213" s="2"/>
      <c r="H213" s="2">
        <v>0</v>
      </c>
    </row>
    <row r="214" spans="1:8">
      <c r="A214" s="1" t="s">
        <v>2918</v>
      </c>
      <c r="B214" s="1" t="s">
        <v>156</v>
      </c>
      <c r="C214" s="1" t="s">
        <v>2943</v>
      </c>
      <c r="D214" s="2"/>
      <c r="E214" s="2"/>
      <c r="F214" s="2"/>
      <c r="G214" s="2"/>
      <c r="H214" s="2">
        <v>0</v>
      </c>
    </row>
    <row r="215" spans="1:8">
      <c r="A215" s="1" t="s">
        <v>2918</v>
      </c>
      <c r="B215" s="1" t="s">
        <v>157</v>
      </c>
      <c r="C215" s="1" t="s">
        <v>2943</v>
      </c>
      <c r="D215" s="2"/>
      <c r="E215" s="2"/>
      <c r="F215" s="2"/>
      <c r="G215" s="2"/>
      <c r="H215" s="2">
        <v>0</v>
      </c>
    </row>
    <row r="216" spans="1:8">
      <c r="A216" s="1" t="s">
        <v>2918</v>
      </c>
      <c r="B216" s="1" t="s">
        <v>158</v>
      </c>
      <c r="C216" s="1" t="s">
        <v>2943</v>
      </c>
      <c r="D216" s="2"/>
      <c r="E216" s="2"/>
      <c r="F216" s="2"/>
      <c r="G216" s="2"/>
      <c r="H216" s="2">
        <v>0</v>
      </c>
    </row>
    <row r="217" spans="1:8">
      <c r="A217" s="1" t="s">
        <v>2918</v>
      </c>
      <c r="B217" s="1" t="s">
        <v>159</v>
      </c>
      <c r="C217" s="1" t="s">
        <v>2943</v>
      </c>
      <c r="D217" s="2">
        <v>467924.53</v>
      </c>
      <c r="E217" s="2"/>
      <c r="F217" s="2"/>
      <c r="G217" s="2"/>
      <c r="H217" s="2">
        <v>467924.53</v>
      </c>
    </row>
    <row r="218" spans="1:8">
      <c r="A218" s="1" t="s">
        <v>2918</v>
      </c>
      <c r="B218" s="1" t="s">
        <v>148</v>
      </c>
      <c r="C218" s="1" t="s">
        <v>2941</v>
      </c>
      <c r="D218" s="2"/>
      <c r="E218" s="2"/>
      <c r="F218" s="2"/>
      <c r="G218" s="2"/>
      <c r="H218" s="2">
        <v>0</v>
      </c>
    </row>
    <row r="219" spans="1:8">
      <c r="A219" s="1" t="s">
        <v>2918</v>
      </c>
      <c r="B219" s="1" t="s">
        <v>149</v>
      </c>
      <c r="C219" s="1" t="s">
        <v>2941</v>
      </c>
      <c r="D219" s="2"/>
      <c r="E219" s="2"/>
      <c r="F219" s="2"/>
      <c r="G219" s="2"/>
      <c r="H219" s="2">
        <v>0</v>
      </c>
    </row>
    <row r="220" spans="1:8">
      <c r="A220" s="1" t="s">
        <v>2918</v>
      </c>
      <c r="B220" s="1" t="s">
        <v>150</v>
      </c>
      <c r="C220" s="1" t="s">
        <v>2941</v>
      </c>
      <c r="D220" s="2"/>
      <c r="E220" s="2"/>
      <c r="F220" s="2"/>
      <c r="G220" s="2"/>
      <c r="H220" s="2">
        <v>0</v>
      </c>
    </row>
    <row r="221" spans="1:8">
      <c r="A221" s="1" t="s">
        <v>2918</v>
      </c>
      <c r="B221" s="1" t="s">
        <v>151</v>
      </c>
      <c r="C221" s="1" t="s">
        <v>2941</v>
      </c>
      <c r="D221" s="2"/>
      <c r="E221" s="2"/>
      <c r="F221" s="2"/>
      <c r="G221" s="2"/>
      <c r="H221" s="2">
        <v>0</v>
      </c>
    </row>
    <row r="222" spans="1:8">
      <c r="A222" s="1" t="s">
        <v>2918</v>
      </c>
      <c r="B222" s="1" t="s">
        <v>152</v>
      </c>
      <c r="C222" s="1" t="s">
        <v>2941</v>
      </c>
      <c r="D222" s="2"/>
      <c r="E222" s="2"/>
      <c r="F222" s="2"/>
      <c r="G222" s="2"/>
      <c r="H222" s="2">
        <v>0</v>
      </c>
    </row>
    <row r="223" spans="1:8">
      <c r="A223" s="1" t="s">
        <v>2918</v>
      </c>
      <c r="B223" s="1" t="s">
        <v>153</v>
      </c>
      <c r="C223" s="1" t="s">
        <v>2941</v>
      </c>
      <c r="D223" s="2"/>
      <c r="E223" s="2"/>
      <c r="F223" s="2"/>
      <c r="G223" s="2"/>
      <c r="H223" s="2">
        <v>0</v>
      </c>
    </row>
    <row r="224" spans="1:8">
      <c r="A224" s="1" t="s">
        <v>2918</v>
      </c>
      <c r="B224" s="1" t="s">
        <v>154</v>
      </c>
      <c r="C224" s="1" t="s">
        <v>2941</v>
      </c>
      <c r="D224" s="2"/>
      <c r="E224" s="2"/>
      <c r="F224" s="2"/>
      <c r="G224" s="2"/>
      <c r="H224" s="2">
        <v>0</v>
      </c>
    </row>
    <row r="225" spans="1:8">
      <c r="A225" s="1" t="s">
        <v>2918</v>
      </c>
      <c r="B225" s="1" t="s">
        <v>155</v>
      </c>
      <c r="C225" s="1" t="s">
        <v>2941</v>
      </c>
      <c r="D225" s="2"/>
      <c r="E225" s="2"/>
      <c r="F225" s="2"/>
      <c r="G225" s="2"/>
      <c r="H225" s="2">
        <v>0</v>
      </c>
    </row>
    <row r="226" spans="1:8">
      <c r="A226" s="1" t="s">
        <v>2918</v>
      </c>
      <c r="B226" s="1" t="s">
        <v>156</v>
      </c>
      <c r="C226" s="1" t="s">
        <v>2941</v>
      </c>
      <c r="D226" s="2"/>
      <c r="E226" s="2"/>
      <c r="F226" s="2"/>
      <c r="G226" s="2"/>
      <c r="H226" s="2">
        <v>0</v>
      </c>
    </row>
    <row r="227" spans="1:8">
      <c r="A227" s="1" t="s">
        <v>2918</v>
      </c>
      <c r="B227" s="1" t="s">
        <v>157</v>
      </c>
      <c r="C227" s="1" t="s">
        <v>2941</v>
      </c>
      <c r="D227" s="2"/>
      <c r="E227" s="2"/>
      <c r="F227" s="2"/>
      <c r="G227" s="2"/>
      <c r="H227" s="2">
        <v>0</v>
      </c>
    </row>
    <row r="228" spans="1:8">
      <c r="A228" s="1" t="s">
        <v>2918</v>
      </c>
      <c r="B228" s="1" t="s">
        <v>158</v>
      </c>
      <c r="C228" s="1" t="s">
        <v>2941</v>
      </c>
      <c r="D228" s="2"/>
      <c r="E228" s="2"/>
      <c r="F228" s="2"/>
      <c r="G228" s="2"/>
      <c r="H228" s="2">
        <v>0</v>
      </c>
    </row>
    <row r="229" spans="1:8">
      <c r="A229" s="1" t="s">
        <v>2918</v>
      </c>
      <c r="B229" s="1" t="s">
        <v>159</v>
      </c>
      <c r="C229" s="1" t="s">
        <v>2941</v>
      </c>
      <c r="D229" s="2">
        <v>467924.53</v>
      </c>
      <c r="E229" s="2"/>
      <c r="F229" s="2"/>
      <c r="G229" s="2"/>
      <c r="H229" s="2">
        <v>467924.53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48"/>
  <sheetViews>
    <sheetView topLeftCell="O1" workbookViewId="0">
      <pane ySplit="1" topLeftCell="A32" activePane="bottomLeft" state="frozen"/>
      <selection/>
      <selection pane="bottomLeft" activeCell="D64" sqref="D64"/>
    </sheetView>
  </sheetViews>
  <sheetFormatPr defaultColWidth="9" defaultRowHeight="13.5"/>
  <cols>
    <col min="1" max="2" width="9" style="1"/>
    <col min="3" max="3" width="15.7583333333333" style="1" customWidth="1"/>
    <col min="4" max="7" width="14.2583333333333" style="2" customWidth="1"/>
    <col min="8" max="8" width="17.4416666666667" style="2" customWidth="1"/>
    <col min="10" max="10" width="7.38333333333333" style="3"/>
    <col min="11" max="11" width="17.8833333333333" style="3" customWidth="1"/>
    <col min="12" max="16" width="17.8833333333333" style="4"/>
    <col min="17" max="17" width="14.1333333333333" customWidth="1"/>
    <col min="18" max="18" width="13.8833333333333" style="5" customWidth="1"/>
    <col min="19" max="22" width="16.1333333333333" style="6" customWidth="1"/>
    <col min="23" max="23" width="14.2583333333333" style="6" customWidth="1"/>
    <col min="24" max="24" width="9" style="3"/>
    <col min="25" max="25" width="11.1333333333333" style="4"/>
    <col min="26" max="26" width="10.1333333333333" style="4"/>
    <col min="27" max="27" width="11.1333333333333" style="4"/>
    <col min="28" max="28" width="12" style="4"/>
    <col min="29" max="32" width="9" style="3"/>
  </cols>
  <sheetData>
    <row r="1" spans="1:24">
      <c r="A1" s="7" t="s">
        <v>2885</v>
      </c>
      <c r="B1" s="7" t="s">
        <v>84</v>
      </c>
      <c r="C1" s="7" t="s">
        <v>2886</v>
      </c>
      <c r="D1" s="8" t="s">
        <v>12</v>
      </c>
      <c r="E1" s="8" t="s">
        <v>13</v>
      </c>
      <c r="F1" s="8" t="s">
        <v>14</v>
      </c>
      <c r="G1" s="8" t="s">
        <v>20</v>
      </c>
      <c r="H1" s="8" t="s">
        <v>15</v>
      </c>
      <c r="J1" s="3" t="s">
        <v>84</v>
      </c>
      <c r="K1" s="3" t="s">
        <v>2886</v>
      </c>
      <c r="L1" s="4" t="s">
        <v>2887</v>
      </c>
      <c r="M1" s="4" t="s">
        <v>2888</v>
      </c>
      <c r="N1" s="4" t="s">
        <v>2889</v>
      </c>
      <c r="O1" s="4" t="s">
        <v>2890</v>
      </c>
      <c r="P1" s="4" t="s">
        <v>2891</v>
      </c>
      <c r="X1" s="3" t="s">
        <v>304</v>
      </c>
    </row>
    <row r="2" spans="1:28">
      <c r="A2" s="1" t="s">
        <v>369</v>
      </c>
      <c r="B2" s="1" t="s">
        <v>148</v>
      </c>
      <c r="C2" s="1" t="s">
        <v>2892</v>
      </c>
      <c r="D2" s="2">
        <v>96469695.97</v>
      </c>
      <c r="E2" s="2">
        <v>403255960.699999</v>
      </c>
      <c r="F2" s="2">
        <v>105632488.06</v>
      </c>
      <c r="G2" s="2">
        <v>34668587.18</v>
      </c>
      <c r="H2" s="2">
        <f t="shared" ref="H2:H65" si="0">SUM(D2:G2)</f>
        <v>640026731.909999</v>
      </c>
      <c r="J2" s="3" t="s">
        <v>148</v>
      </c>
      <c r="L2" s="4">
        <v>2651716921.7376</v>
      </c>
      <c r="M2" s="4">
        <v>480788571.3888</v>
      </c>
      <c r="N2" s="4">
        <v>836055667.986999</v>
      </c>
      <c r="O2" s="4">
        <v>898015821.1732</v>
      </c>
      <c r="P2" s="4">
        <v>436856861.1886</v>
      </c>
      <c r="Q2" s="4">
        <f>(L10-L9)+(L7-L8-L5+L6+L4-L3+L19-L20-L17+L18+L22-L23+L28)*1.06</f>
        <v>24435510.5765999</v>
      </c>
      <c r="R2" s="10"/>
      <c r="S2" s="4" t="s">
        <v>12</v>
      </c>
      <c r="T2" s="4" t="s">
        <v>13</v>
      </c>
      <c r="U2" s="4" t="s">
        <v>14</v>
      </c>
      <c r="V2" s="4" t="s">
        <v>20</v>
      </c>
      <c r="W2" s="4"/>
      <c r="Y2" s="4" t="s">
        <v>12</v>
      </c>
      <c r="Z2" s="4" t="s">
        <v>13</v>
      </c>
      <c r="AA2" s="4" t="s">
        <v>14</v>
      </c>
      <c r="AB2" s="4" t="s">
        <v>20</v>
      </c>
    </row>
    <row r="3" spans="1:28">
      <c r="A3" s="1" t="s">
        <v>369</v>
      </c>
      <c r="B3" s="1" t="s">
        <v>149</v>
      </c>
      <c r="C3" s="1" t="s">
        <v>2892</v>
      </c>
      <c r="D3" s="2">
        <v>96361024.08</v>
      </c>
      <c r="E3" s="2">
        <v>302340786.089998</v>
      </c>
      <c r="F3" s="2">
        <v>75958098.22</v>
      </c>
      <c r="G3" s="2">
        <v>31448739.48</v>
      </c>
      <c r="H3" s="2">
        <f t="shared" si="0"/>
        <v>506108647.869998</v>
      </c>
      <c r="K3" s="3" t="s">
        <v>1901</v>
      </c>
      <c r="L3" s="4">
        <v>456614.39</v>
      </c>
      <c r="M3" s="4">
        <v>448787.65</v>
      </c>
      <c r="O3" s="4">
        <v>7826.74</v>
      </c>
      <c r="P3" s="4">
        <v>0</v>
      </c>
      <c r="Q3" s="4">
        <f>Q2-W5</f>
        <v>9.12696123123169e-7</v>
      </c>
      <c r="R3" s="10" t="s">
        <v>2894</v>
      </c>
      <c r="S3" s="4">
        <f>(M10-M9)+(M7-M8-M5+M6+M22-M23+M28)*1.06</f>
        <v>4157199.3244</v>
      </c>
      <c r="T3" s="4">
        <f>(N10-N9)+(N7-N8-N5+N6+N22-N23+N28)*1.06</f>
        <v>1741611.30959901</v>
      </c>
      <c r="U3" s="4">
        <f>(O10-O9)+(O7-O8-O5+O6+O22-O23+O28)*1.06</f>
        <v>13339531.0034</v>
      </c>
      <c r="V3" s="4">
        <f>(P10-P9)+(P7-P8-P5+P6+P22-P23+P28)*1.06</f>
        <v>3739505.2646</v>
      </c>
      <c r="W3" s="4"/>
      <c r="X3" s="10" t="s">
        <v>2894</v>
      </c>
      <c r="Y3" s="4">
        <f>S3/10000</f>
        <v>415.71993244</v>
      </c>
      <c r="Z3" s="4">
        <f>T3/10000</f>
        <v>174.161130959901</v>
      </c>
      <c r="AA3" s="4">
        <f>U3/10000</f>
        <v>1333.95310034</v>
      </c>
      <c r="AB3" s="4">
        <f>V3/10000</f>
        <v>373.95052646</v>
      </c>
    </row>
    <row r="4" spans="1:28">
      <c r="A4" s="1" t="s">
        <v>369</v>
      </c>
      <c r="B4" s="1" t="s">
        <v>150</v>
      </c>
      <c r="C4" s="1" t="s">
        <v>2892</v>
      </c>
      <c r="D4" s="2">
        <v>82671628.09</v>
      </c>
      <c r="E4" s="2">
        <v>412722846.999999</v>
      </c>
      <c r="F4" s="2">
        <v>103694830.39</v>
      </c>
      <c r="G4" s="2">
        <v>58203382.4699999</v>
      </c>
      <c r="H4" s="2">
        <f t="shared" si="0"/>
        <v>657292687.949999</v>
      </c>
      <c r="K4" s="3" t="s">
        <v>2931</v>
      </c>
      <c r="L4" s="4">
        <v>1982299.41</v>
      </c>
      <c r="M4" s="4">
        <v>-33978.45</v>
      </c>
      <c r="O4" s="4">
        <v>1918614.01</v>
      </c>
      <c r="P4" s="4">
        <v>97663.85</v>
      </c>
      <c r="Q4" s="4"/>
      <c r="R4" s="10" t="s">
        <v>583</v>
      </c>
      <c r="S4" s="4">
        <f>(M4-M3)*1.06</f>
        <v>-511732.066</v>
      </c>
      <c r="T4" s="4">
        <f>(N4-N3)*1.06</f>
        <v>0</v>
      </c>
      <c r="U4" s="4">
        <f>(O4-O3)*1.06</f>
        <v>2025434.5062</v>
      </c>
      <c r="V4" s="4">
        <f>(P4-P3)*1.06</f>
        <v>103523.681</v>
      </c>
      <c r="W4" s="4"/>
      <c r="X4" s="10" t="s">
        <v>583</v>
      </c>
      <c r="Y4" s="4">
        <f>S4/10000</f>
        <v>-51.1732066</v>
      </c>
      <c r="Z4" s="4">
        <f>T4/10000</f>
        <v>0</v>
      </c>
      <c r="AA4" s="4">
        <f>U4/10000</f>
        <v>202.54345062</v>
      </c>
      <c r="AB4" s="4">
        <f>V4/10000</f>
        <v>10.3523681</v>
      </c>
    </row>
    <row r="5" spans="1:28">
      <c r="A5" s="1" t="s">
        <v>369</v>
      </c>
      <c r="B5" s="1" t="s">
        <v>151</v>
      </c>
      <c r="C5" s="1" t="s">
        <v>2892</v>
      </c>
      <c r="H5" s="2">
        <f t="shared" si="0"/>
        <v>0</v>
      </c>
      <c r="K5" s="3" t="s">
        <v>2893</v>
      </c>
      <c r="L5" s="4">
        <v>286856629.16</v>
      </c>
      <c r="M5" s="4">
        <v>9036192.25</v>
      </c>
      <c r="N5" s="4">
        <v>7848616.87</v>
      </c>
      <c r="O5" s="4">
        <v>224371559.69</v>
      </c>
      <c r="P5" s="4">
        <v>45600260.35</v>
      </c>
      <c r="Q5" s="4"/>
      <c r="R5" s="10" t="s">
        <v>2897</v>
      </c>
      <c r="S5" s="4">
        <f>(M19-M20-M17+M18)*1.06</f>
        <v>-16937.5174</v>
      </c>
      <c r="T5" s="4">
        <f>(N19-N20-N17+N18)*1.06</f>
        <v>0</v>
      </c>
      <c r="U5" s="4">
        <f>(O19-O20-O17+O18)*1.06</f>
        <v>0</v>
      </c>
      <c r="V5" s="4">
        <f>(P19-P20-P17+P18)*1.06</f>
        <v>-142624.929200001</v>
      </c>
      <c r="W5" s="4">
        <f>SUM(S3:V5)</f>
        <v>24435510.576599</v>
      </c>
      <c r="X5" s="10" t="s">
        <v>2897</v>
      </c>
      <c r="Y5" s="4">
        <f>S5/10000</f>
        <v>-1.69375174</v>
      </c>
      <c r="Z5" s="4">
        <f>T5/10000</f>
        <v>0</v>
      </c>
      <c r="AA5" s="4">
        <f>U5/10000</f>
        <v>0</v>
      </c>
      <c r="AB5" s="4">
        <f>V5/10000</f>
        <v>-14.2624929200001</v>
      </c>
    </row>
    <row r="6" spans="1:28">
      <c r="A6" s="1" t="s">
        <v>369</v>
      </c>
      <c r="B6" s="1" t="s">
        <v>152</v>
      </c>
      <c r="C6" s="1" t="s">
        <v>2892</v>
      </c>
      <c r="H6" s="2">
        <f t="shared" si="0"/>
        <v>0</v>
      </c>
      <c r="K6" s="3" t="s">
        <v>2895</v>
      </c>
      <c r="L6" s="4">
        <v>12734136.13</v>
      </c>
      <c r="N6" s="4">
        <v>193847.83</v>
      </c>
      <c r="O6" s="4">
        <v>12492009.96</v>
      </c>
      <c r="P6" s="4">
        <v>48278.34</v>
      </c>
      <c r="R6" s="11" t="s">
        <v>2942</v>
      </c>
      <c r="S6" s="4">
        <f>(M12-M11+M15-M16-M13+M14+M21+M26-M27-M24+M25)*1.06</f>
        <v>2589.4634</v>
      </c>
      <c r="T6" s="4">
        <f>(N12-N11+N15-N16-N13+N14+N21+N26-N27-N24+N25)*1.06</f>
        <v>0</v>
      </c>
      <c r="U6" s="4">
        <f>(O12-O11+O15-O16-O13+O14+O21+O26-O27-O24+O25)*1.06</f>
        <v>0</v>
      </c>
      <c r="V6" s="4">
        <f>(P12-P11+P15-P16-P13+P14+P21+P26-P27-P24+P25)*1.06</f>
        <v>86146.6876</v>
      </c>
      <c r="X6" s="11" t="s">
        <v>2942</v>
      </c>
      <c r="Y6" s="4">
        <f>S6/10000</f>
        <v>0.25894634</v>
      </c>
      <c r="Z6" s="4">
        <f>T6/10000</f>
        <v>0</v>
      </c>
      <c r="AA6" s="4">
        <f>U6/10000</f>
        <v>0</v>
      </c>
      <c r="AB6" s="4">
        <f>V6/10000</f>
        <v>8.61466876</v>
      </c>
    </row>
    <row r="7" spans="1:28">
      <c r="A7" s="1" t="s">
        <v>369</v>
      </c>
      <c r="B7" s="1" t="s">
        <v>153</v>
      </c>
      <c r="C7" s="1" t="s">
        <v>2892</v>
      </c>
      <c r="H7" s="2">
        <f t="shared" si="0"/>
        <v>0</v>
      </c>
      <c r="K7" s="3" t="s">
        <v>2896</v>
      </c>
      <c r="L7" s="4">
        <v>285532892</v>
      </c>
      <c r="M7" s="4">
        <v>9701231.71</v>
      </c>
      <c r="N7" s="4">
        <v>7915493.22</v>
      </c>
      <c r="O7" s="4">
        <v>221318651.59</v>
      </c>
      <c r="P7" s="4">
        <v>46597515.48</v>
      </c>
      <c r="Q7" s="3"/>
      <c r="R7" s="12" t="s">
        <v>2932</v>
      </c>
      <c r="S7" s="4">
        <f>(M19-M20)*1.06</f>
        <v>-16937.5174</v>
      </c>
      <c r="T7" s="4">
        <f>(N19-N20)*1.06</f>
        <v>0</v>
      </c>
      <c r="U7" s="4">
        <f>(O19-O20)*1.06</f>
        <v>0</v>
      </c>
      <c r="V7" s="4">
        <f>(P19-P20)*1.06</f>
        <v>17957088.2262</v>
      </c>
      <c r="W7" s="4"/>
      <c r="X7" s="12" t="s">
        <v>2932</v>
      </c>
      <c r="Y7" s="4">
        <f>S7/10000</f>
        <v>-1.69375174</v>
      </c>
      <c r="Z7" s="4">
        <f>T7/10000</f>
        <v>0</v>
      </c>
      <c r="AA7" s="4">
        <f>U7/10000</f>
        <v>0</v>
      </c>
      <c r="AB7" s="4">
        <f>V7/10000</f>
        <v>1795.70882262</v>
      </c>
    </row>
    <row r="8" spans="1:23">
      <c r="A8" s="1" t="s">
        <v>369</v>
      </c>
      <c r="B8" s="1" t="s">
        <v>154</v>
      </c>
      <c r="C8" s="1" t="s">
        <v>2892</v>
      </c>
      <c r="H8" s="2">
        <f t="shared" si="0"/>
        <v>0</v>
      </c>
      <c r="K8" s="3" t="s">
        <v>2898</v>
      </c>
      <c r="L8" s="4">
        <v>12765038.13</v>
      </c>
      <c r="N8" s="4">
        <v>224749.83</v>
      </c>
      <c r="O8" s="4">
        <v>12492009.96</v>
      </c>
      <c r="P8" s="4">
        <v>48278.34</v>
      </c>
      <c r="Q8" s="3"/>
      <c r="R8" s="12"/>
      <c r="S8" s="4"/>
      <c r="T8" s="4"/>
      <c r="U8" s="4"/>
      <c r="V8" s="4"/>
      <c r="W8" s="4"/>
    </row>
    <row r="9" spans="1:23">
      <c r="A9" s="1" t="s">
        <v>369</v>
      </c>
      <c r="B9" s="1" t="s">
        <v>155</v>
      </c>
      <c r="C9" s="1" t="s">
        <v>2892</v>
      </c>
      <c r="H9" s="2">
        <f t="shared" si="0"/>
        <v>0</v>
      </c>
      <c r="K9" s="3" t="s">
        <v>2899</v>
      </c>
      <c r="L9" s="4">
        <v>992530159.3976</v>
      </c>
      <c r="M9" s="4">
        <v>229165239.4688</v>
      </c>
      <c r="N9" s="4">
        <v>409084747.237</v>
      </c>
      <c r="O9" s="4">
        <v>204307013.1132</v>
      </c>
      <c r="P9" s="4">
        <v>149973159.5786</v>
      </c>
      <c r="Q9" s="3"/>
      <c r="R9" s="12"/>
      <c r="S9" s="4"/>
      <c r="T9" s="4"/>
      <c r="U9" s="4"/>
      <c r="V9" s="4"/>
      <c r="W9" s="4"/>
    </row>
    <row r="10" spans="1:23">
      <c r="A10" s="1" t="s">
        <v>369</v>
      </c>
      <c r="B10" s="1" t="s">
        <v>156</v>
      </c>
      <c r="C10" s="1" t="s">
        <v>2892</v>
      </c>
      <c r="H10" s="2">
        <f t="shared" si="0"/>
        <v>0</v>
      </c>
      <c r="K10" s="3" t="s">
        <v>2892</v>
      </c>
      <c r="L10" s="4">
        <v>1009116667.76</v>
      </c>
      <c r="M10" s="4">
        <v>230270262.9</v>
      </c>
      <c r="N10" s="4">
        <v>410788000.739999</v>
      </c>
      <c r="O10" s="4">
        <v>216056546.12</v>
      </c>
      <c r="P10" s="4">
        <v>152001858</v>
      </c>
      <c r="Q10" s="3"/>
      <c r="R10" s="12"/>
      <c r="S10" s="4"/>
      <c r="T10" s="4"/>
      <c r="U10" s="4"/>
      <c r="V10" s="4"/>
      <c r="W10" s="4"/>
    </row>
    <row r="11" spans="1:23">
      <c r="A11" s="1" t="s">
        <v>369</v>
      </c>
      <c r="B11" s="1" t="s">
        <v>157</v>
      </c>
      <c r="C11" s="1" t="s">
        <v>2892</v>
      </c>
      <c r="H11" s="2">
        <f t="shared" si="0"/>
        <v>0</v>
      </c>
      <c r="K11" s="3" t="s">
        <v>2937</v>
      </c>
      <c r="L11" s="4">
        <v>0</v>
      </c>
      <c r="Q11" s="3"/>
      <c r="R11" s="12"/>
      <c r="S11" s="4"/>
      <c r="T11" s="4"/>
      <c r="U11" s="4"/>
      <c r="V11" s="4"/>
      <c r="W11" s="4"/>
    </row>
    <row r="12" spans="1:23">
      <c r="A12" s="1" t="s">
        <v>369</v>
      </c>
      <c r="B12" s="1" t="s">
        <v>158</v>
      </c>
      <c r="C12" s="1" t="s">
        <v>2892</v>
      </c>
      <c r="D12" s="9"/>
      <c r="E12" s="9"/>
      <c r="F12" s="9"/>
      <c r="G12" s="9"/>
      <c r="H12" s="2">
        <f t="shared" si="0"/>
        <v>0</v>
      </c>
      <c r="K12" s="3" t="s">
        <v>2921</v>
      </c>
      <c r="L12" s="4">
        <v>0</v>
      </c>
      <c r="Q12" s="3"/>
      <c r="R12" s="12"/>
      <c r="S12" s="4"/>
      <c r="T12" s="4"/>
      <c r="U12" s="4"/>
      <c r="V12" s="4"/>
      <c r="W12" s="4"/>
    </row>
    <row r="13" spans="1:23">
      <c r="A13" s="1" t="s">
        <v>369</v>
      </c>
      <c r="B13" s="1" t="s">
        <v>159</v>
      </c>
      <c r="C13" s="1" t="s">
        <v>2892</v>
      </c>
      <c r="H13" s="2">
        <f t="shared" si="0"/>
        <v>0</v>
      </c>
      <c r="K13" s="3" t="s">
        <v>347</v>
      </c>
      <c r="L13" s="4">
        <v>0</v>
      </c>
      <c r="Q13" s="3"/>
      <c r="R13" s="12"/>
      <c r="S13" s="4"/>
      <c r="T13" s="4"/>
      <c r="U13" s="4"/>
      <c r="V13" s="4"/>
      <c r="W13" s="4"/>
    </row>
    <row r="14" spans="1:15">
      <c r="A14" s="1" t="s">
        <v>369</v>
      </c>
      <c r="B14" s="1" t="s">
        <v>148</v>
      </c>
      <c r="C14" s="1" t="s">
        <v>2899</v>
      </c>
      <c r="D14" s="2">
        <v>95456786.1398</v>
      </c>
      <c r="E14" s="2">
        <v>401534605.1472</v>
      </c>
      <c r="F14" s="2">
        <v>99263663.087</v>
      </c>
      <c r="G14" s="2">
        <v>33380795.1856</v>
      </c>
      <c r="H14" s="2">
        <f t="shared" si="0"/>
        <v>629635849.5596</v>
      </c>
      <c r="K14" s="3" t="s">
        <v>2944</v>
      </c>
      <c r="L14" s="4">
        <v>249341.89</v>
      </c>
      <c r="O14" s="4">
        <v>249341.89</v>
      </c>
    </row>
    <row r="15" spans="1:16">
      <c r="A15" s="1" t="s">
        <v>369</v>
      </c>
      <c r="B15" s="1" t="s">
        <v>149</v>
      </c>
      <c r="C15" s="1" t="s">
        <v>2899</v>
      </c>
      <c r="D15" s="2">
        <v>95628691.9284</v>
      </c>
      <c r="E15" s="2">
        <v>299594843.668</v>
      </c>
      <c r="F15" s="2">
        <v>72733495.35</v>
      </c>
      <c r="G15" s="2">
        <v>29651253.2628</v>
      </c>
      <c r="H15" s="2">
        <f t="shared" si="0"/>
        <v>497608284.2092</v>
      </c>
      <c r="K15" s="3" t="s">
        <v>2900</v>
      </c>
      <c r="L15" s="4">
        <v>83713.35</v>
      </c>
      <c r="M15" s="4">
        <v>2442.89</v>
      </c>
      <c r="P15" s="4">
        <v>81270.46</v>
      </c>
    </row>
    <row r="16" spans="1:15">
      <c r="A16" s="1" t="s">
        <v>369</v>
      </c>
      <c r="B16" s="1" t="s">
        <v>150</v>
      </c>
      <c r="C16" s="1" t="s">
        <v>2899</v>
      </c>
      <c r="D16" s="2">
        <v>81947520.4532</v>
      </c>
      <c r="E16" s="2">
        <v>410482122.782</v>
      </c>
      <c r="F16" s="2">
        <v>98401609.8318</v>
      </c>
      <c r="G16" s="2">
        <v>57623378.1746</v>
      </c>
      <c r="H16" s="2">
        <f t="shared" si="0"/>
        <v>648454631.2416</v>
      </c>
      <c r="K16" s="3" t="s">
        <v>2901</v>
      </c>
      <c r="L16" s="4">
        <v>249341.89</v>
      </c>
      <c r="O16" s="4">
        <v>249341.89</v>
      </c>
    </row>
    <row r="17" spans="1:16">
      <c r="A17" s="1" t="s">
        <v>369</v>
      </c>
      <c r="B17" s="1" t="s">
        <v>151</v>
      </c>
      <c r="C17" s="1" t="s">
        <v>2899</v>
      </c>
      <c r="H17" s="2">
        <f t="shared" si="0"/>
        <v>0</v>
      </c>
      <c r="K17" s="3" t="s">
        <v>2926</v>
      </c>
      <c r="L17" s="4">
        <v>19019204.3</v>
      </c>
      <c r="M17" s="4">
        <v>0</v>
      </c>
      <c r="P17" s="4">
        <v>19019204.3</v>
      </c>
    </row>
    <row r="18" spans="1:16">
      <c r="A18" s="1" t="s">
        <v>369</v>
      </c>
      <c r="B18" s="1" t="s">
        <v>152</v>
      </c>
      <c r="C18" s="1" t="s">
        <v>2899</v>
      </c>
      <c r="H18" s="2">
        <f t="shared" si="0"/>
        <v>0</v>
      </c>
      <c r="K18" s="3" t="s">
        <v>2933</v>
      </c>
      <c r="L18" s="4">
        <v>1944003.21</v>
      </c>
      <c r="P18" s="4">
        <v>1944003.21</v>
      </c>
    </row>
    <row r="19" spans="1:16">
      <c r="A19" s="1" t="s">
        <v>369</v>
      </c>
      <c r="B19" s="1" t="s">
        <v>153</v>
      </c>
      <c r="C19" s="1" t="s">
        <v>2899</v>
      </c>
      <c r="H19" s="2">
        <f t="shared" si="0"/>
        <v>0</v>
      </c>
      <c r="K19" s="3" t="s">
        <v>2904</v>
      </c>
      <c r="L19" s="4">
        <v>18868673.69</v>
      </c>
      <c r="M19" s="4">
        <v>-15978.79</v>
      </c>
      <c r="P19" s="4">
        <v>18884652.48</v>
      </c>
    </row>
    <row r="20" spans="1:16">
      <c r="A20" s="1" t="s">
        <v>369</v>
      </c>
      <c r="B20" s="1" t="s">
        <v>154</v>
      </c>
      <c r="C20" s="1" t="s">
        <v>2899</v>
      </c>
      <c r="H20" s="2">
        <f t="shared" si="0"/>
        <v>0</v>
      </c>
      <c r="K20" s="3" t="s">
        <v>2907</v>
      </c>
      <c r="L20" s="4">
        <v>1944003.21</v>
      </c>
      <c r="P20" s="4">
        <v>1944003.21</v>
      </c>
    </row>
    <row r="21" spans="1:12">
      <c r="A21" s="1" t="s">
        <v>369</v>
      </c>
      <c r="B21" s="1" t="s">
        <v>155</v>
      </c>
      <c r="C21" s="1" t="s">
        <v>2899</v>
      </c>
      <c r="H21" s="2">
        <f t="shared" si="0"/>
        <v>0</v>
      </c>
      <c r="K21" s="3" t="s">
        <v>2939</v>
      </c>
      <c r="L21" s="4">
        <v>0</v>
      </c>
    </row>
    <row r="22" spans="1:16">
      <c r="A22" s="1" t="s">
        <v>369</v>
      </c>
      <c r="B22" s="1" t="s">
        <v>156</v>
      </c>
      <c r="C22" s="1" t="s">
        <v>2899</v>
      </c>
      <c r="H22" s="2">
        <f t="shared" si="0"/>
        <v>0</v>
      </c>
      <c r="K22" s="3" t="s">
        <v>2902</v>
      </c>
      <c r="L22" s="4">
        <v>7384203.82</v>
      </c>
      <c r="M22" s="4">
        <v>2214371.76</v>
      </c>
      <c r="N22" s="4">
        <v>212.26</v>
      </c>
      <c r="O22" s="4">
        <v>4552906.21</v>
      </c>
      <c r="P22" s="4">
        <v>616713.59</v>
      </c>
    </row>
    <row r="23" spans="1:12">
      <c r="A23" s="1" t="s">
        <v>369</v>
      </c>
      <c r="B23" s="1" t="s">
        <v>157</v>
      </c>
      <c r="C23" s="1" t="s">
        <v>2899</v>
      </c>
      <c r="H23" s="2">
        <f t="shared" si="0"/>
        <v>0</v>
      </c>
      <c r="K23" s="3" t="s">
        <v>2903</v>
      </c>
      <c r="L23" s="4">
        <v>0</v>
      </c>
    </row>
    <row r="24" spans="1:12">
      <c r="A24" s="1" t="s">
        <v>369</v>
      </c>
      <c r="B24" s="1" t="s">
        <v>158</v>
      </c>
      <c r="C24" s="1" t="s">
        <v>2899</v>
      </c>
      <c r="H24" s="2">
        <f t="shared" si="0"/>
        <v>0</v>
      </c>
      <c r="K24" s="3" t="s">
        <v>2940</v>
      </c>
      <c r="L24" s="4">
        <v>0</v>
      </c>
    </row>
    <row r="25" spans="1:12">
      <c r="A25" s="1" t="s">
        <v>369</v>
      </c>
      <c r="B25" s="1" t="s">
        <v>159</v>
      </c>
      <c r="C25" s="1" t="s">
        <v>2899</v>
      </c>
      <c r="H25" s="2">
        <f t="shared" si="0"/>
        <v>0</v>
      </c>
      <c r="K25" s="3" t="s">
        <v>2941</v>
      </c>
      <c r="L25" s="4">
        <v>0</v>
      </c>
    </row>
    <row r="26" spans="1:12">
      <c r="A26" s="1" t="s">
        <v>369</v>
      </c>
      <c r="B26" s="1" t="s">
        <v>148</v>
      </c>
      <c r="C26" s="1" t="s">
        <v>2896</v>
      </c>
      <c r="D26" s="2">
        <v>47276.59</v>
      </c>
      <c r="E26" s="2">
        <v>436085.52</v>
      </c>
      <c r="F26" s="2">
        <v>4742787.54</v>
      </c>
      <c r="G26" s="2">
        <v>617441.64</v>
      </c>
      <c r="H26" s="2">
        <f t="shared" si="0"/>
        <v>5843591.29</v>
      </c>
      <c r="K26" s="3" t="s">
        <v>2942</v>
      </c>
      <c r="L26" s="4">
        <v>0</v>
      </c>
    </row>
    <row r="27" spans="1:12">
      <c r="A27" s="1" t="s">
        <v>369</v>
      </c>
      <c r="B27" s="1" t="s">
        <v>149</v>
      </c>
      <c r="C27" s="1" t="s">
        <v>2896</v>
      </c>
      <c r="D27" s="2">
        <v>41018.75</v>
      </c>
      <c r="E27" s="2">
        <v>1051727.36</v>
      </c>
      <c r="F27" s="2">
        <v>2722030.73</v>
      </c>
      <c r="G27" s="2">
        <v>9348778.49</v>
      </c>
      <c r="H27" s="2">
        <f t="shared" si="0"/>
        <v>13163555.33</v>
      </c>
      <c r="K27" s="3" t="s">
        <v>2922</v>
      </c>
      <c r="L27" s="4">
        <v>0</v>
      </c>
    </row>
    <row r="28" spans="1:12">
      <c r="A28" s="1" t="s">
        <v>369</v>
      </c>
      <c r="B28" s="1" t="s">
        <v>150</v>
      </c>
      <c r="C28" s="1" t="s">
        <v>2896</v>
      </c>
      <c r="D28" s="2">
        <v>51811.55</v>
      </c>
      <c r="E28" s="2">
        <v>1471030.54</v>
      </c>
      <c r="F28" s="2">
        <v>3576418.84</v>
      </c>
      <c r="G28" s="2">
        <v>14930212.37</v>
      </c>
      <c r="H28" s="2">
        <f t="shared" si="0"/>
        <v>20029473.3</v>
      </c>
      <c r="K28" s="3" t="s">
        <v>2905</v>
      </c>
      <c r="L28" s="4">
        <v>0</v>
      </c>
    </row>
    <row r="29" spans="1:28">
      <c r="A29" s="1" t="s">
        <v>369</v>
      </c>
      <c r="B29" s="1" t="s">
        <v>151</v>
      </c>
      <c r="C29" s="1" t="s">
        <v>2896</v>
      </c>
      <c r="H29" s="2">
        <f t="shared" si="0"/>
        <v>0</v>
      </c>
      <c r="J29" s="3" t="s">
        <v>149</v>
      </c>
      <c r="L29" s="4">
        <v>2254815268.6004</v>
      </c>
      <c r="M29" s="4">
        <v>458564338.233</v>
      </c>
      <c r="N29" s="4">
        <v>624350982.851598</v>
      </c>
      <c r="O29" s="4">
        <v>796806597.710401</v>
      </c>
      <c r="P29" s="4">
        <v>375093349.8054</v>
      </c>
      <c r="Q29" s="4">
        <f>(L37-L36)+(L34-L35-L32+L33+L31-L30+L46-L47-L44+L45+L49-L50+L55)*1.06</f>
        <v>22049378.3759979</v>
      </c>
      <c r="R29" s="10"/>
      <c r="S29" s="4" t="s">
        <v>12</v>
      </c>
      <c r="T29" s="4" t="s">
        <v>13</v>
      </c>
      <c r="U29" s="4" t="s">
        <v>14</v>
      </c>
      <c r="V29" s="4" t="s">
        <v>20</v>
      </c>
      <c r="W29" s="4"/>
      <c r="Y29" s="4" t="s">
        <v>12</v>
      </c>
      <c r="Z29" s="4" t="s">
        <v>13</v>
      </c>
      <c r="AA29" s="4" t="s">
        <v>14</v>
      </c>
      <c r="AB29" s="4" t="s">
        <v>20</v>
      </c>
    </row>
    <row r="30" spans="1:28">
      <c r="A30" s="1" t="s">
        <v>369</v>
      </c>
      <c r="B30" s="1" t="s">
        <v>152</v>
      </c>
      <c r="C30" s="1" t="s">
        <v>2896</v>
      </c>
      <c r="H30" s="2">
        <f t="shared" si="0"/>
        <v>0</v>
      </c>
      <c r="K30" s="3" t="s">
        <v>1901</v>
      </c>
      <c r="L30" s="4">
        <v>900584.51</v>
      </c>
      <c r="M30" s="4">
        <v>891859.57</v>
      </c>
      <c r="O30" s="4">
        <v>8724.94</v>
      </c>
      <c r="P30" s="4">
        <v>0</v>
      </c>
      <c r="Q30" s="4">
        <f>Q29-W32</f>
        <v>-1.19209289550781e-7</v>
      </c>
      <c r="R30" s="10" t="s">
        <v>2894</v>
      </c>
      <c r="S30" s="4">
        <f>(M37-M36)+(M34-M35-M32+M33+M49-M50+M55)*1.06</f>
        <v>2210512.68100001</v>
      </c>
      <c r="T30" s="4">
        <f>(N37-N36)+(N34-N35-N32+N33+N49-N50+N55)*1.06</f>
        <v>2788265.43739802</v>
      </c>
      <c r="U30" s="4">
        <f>(O37-O36)+(O34-O35-O32+O33+O49-O50+O55)*1.06</f>
        <v>6475564.94160001</v>
      </c>
      <c r="V30" s="4">
        <f>(P37-P36)+(P34-P35-P32+P33+P49-P50+P55)*1.06</f>
        <v>3411319.26460001</v>
      </c>
      <c r="W30" s="4"/>
      <c r="X30" s="10" t="s">
        <v>2894</v>
      </c>
      <c r="Y30" s="4">
        <f>S30/10000</f>
        <v>221.051268100001</v>
      </c>
      <c r="Z30" s="4">
        <f>T30/10000</f>
        <v>278.826543739802</v>
      </c>
      <c r="AA30" s="4">
        <f>U30/10000</f>
        <v>647.556494160001</v>
      </c>
      <c r="AB30" s="4">
        <f>V30/10000</f>
        <v>341.131926460001</v>
      </c>
    </row>
    <row r="31" spans="1:28">
      <c r="A31" s="1" t="s">
        <v>369</v>
      </c>
      <c r="B31" s="1" t="s">
        <v>153</v>
      </c>
      <c r="C31" s="1" t="s">
        <v>2896</v>
      </c>
      <c r="H31" s="2">
        <f t="shared" si="0"/>
        <v>0</v>
      </c>
      <c r="K31" s="3" t="s">
        <v>2931</v>
      </c>
      <c r="L31" s="4">
        <v>8574538.98</v>
      </c>
      <c r="M31" s="4">
        <v>5630804.24</v>
      </c>
      <c r="O31" s="4">
        <v>2910863.24</v>
      </c>
      <c r="P31" s="4">
        <v>32871.5</v>
      </c>
      <c r="Q31" s="4"/>
      <c r="R31" s="10" t="s">
        <v>583</v>
      </c>
      <c r="S31" s="4">
        <f>(M31-M30)*1.06</f>
        <v>5023281.3502</v>
      </c>
      <c r="T31" s="4">
        <f>(N31-N30)*1.06</f>
        <v>0</v>
      </c>
      <c r="U31" s="4">
        <f>(O31-O30)*1.06</f>
        <v>3076266.598</v>
      </c>
      <c r="V31" s="4">
        <f>(P31-P30)*1.06</f>
        <v>34843.79</v>
      </c>
      <c r="W31" s="4"/>
      <c r="X31" s="10" t="s">
        <v>583</v>
      </c>
      <c r="Y31" s="4">
        <f>S31/10000</f>
        <v>502.32813502</v>
      </c>
      <c r="Z31" s="4">
        <f>T31/10000</f>
        <v>0</v>
      </c>
      <c r="AA31" s="4">
        <f>U31/10000</f>
        <v>307.6266598</v>
      </c>
      <c r="AB31" s="4">
        <f>V31/10000</f>
        <v>3.484379</v>
      </c>
    </row>
    <row r="32" spans="1:28">
      <c r="A32" s="1" t="s">
        <v>369</v>
      </c>
      <c r="B32" s="1" t="s">
        <v>154</v>
      </c>
      <c r="C32" s="1" t="s">
        <v>2896</v>
      </c>
      <c r="H32" s="2">
        <f t="shared" si="0"/>
        <v>0</v>
      </c>
      <c r="K32" s="3" t="s">
        <v>2893</v>
      </c>
      <c r="L32" s="4">
        <v>260795061.58</v>
      </c>
      <c r="M32" s="4">
        <v>7715384.47</v>
      </c>
      <c r="N32" s="4">
        <v>8344402.94</v>
      </c>
      <c r="O32" s="4">
        <v>201627785.06</v>
      </c>
      <c r="P32" s="4">
        <v>43107489.11</v>
      </c>
      <c r="Q32" s="4"/>
      <c r="R32" s="10" t="s">
        <v>2897</v>
      </c>
      <c r="S32" s="4">
        <f>(M46-M47-M44+M45)*1.06</f>
        <v>1071.6918</v>
      </c>
      <c r="T32" s="4">
        <f>(N46-N47-N44+N45)*1.06</f>
        <v>0</v>
      </c>
      <c r="U32" s="4">
        <f>(O46-O47-O44+O45)*1.06</f>
        <v>94499.9964</v>
      </c>
      <c r="V32" s="4">
        <f>(P46-P47-P44+P45)*1.06</f>
        <v>-1066247.375</v>
      </c>
      <c r="W32" s="4">
        <f>SUM(S30:V32)</f>
        <v>22049378.375998</v>
      </c>
      <c r="X32" s="10" t="s">
        <v>2897</v>
      </c>
      <c r="Y32" s="4">
        <f>S32/10000</f>
        <v>0.10716918</v>
      </c>
      <c r="Z32" s="4">
        <f>T32/10000</f>
        <v>0</v>
      </c>
      <c r="AA32" s="4">
        <f>U32/10000</f>
        <v>9.44999964</v>
      </c>
      <c r="AB32" s="4">
        <f>V32/10000</f>
        <v>-106.6247375</v>
      </c>
    </row>
    <row r="33" spans="1:28">
      <c r="A33" s="1" t="s">
        <v>369</v>
      </c>
      <c r="B33" s="1" t="s">
        <v>155</v>
      </c>
      <c r="C33" s="1" t="s">
        <v>2896</v>
      </c>
      <c r="H33" s="2">
        <f t="shared" si="0"/>
        <v>0</v>
      </c>
      <c r="K33" s="3" t="s">
        <v>2895</v>
      </c>
      <c r="L33" s="4">
        <v>43761138.62</v>
      </c>
      <c r="N33" s="4">
        <v>410702.75</v>
      </c>
      <c r="O33" s="4">
        <v>35319872.01</v>
      </c>
      <c r="P33" s="4">
        <v>8030563.86</v>
      </c>
      <c r="R33" s="11" t="s">
        <v>2942</v>
      </c>
      <c r="S33" s="4">
        <f>(M39-M38+M42-M43-M40+M41+M48+M53-M54-M51+M52)*1.06</f>
        <v>8574.0538</v>
      </c>
      <c r="T33" s="4">
        <f>(N39-N38+N42-N43-N40+N41+N48+N53-N54-N51+N52)*1.06</f>
        <v>0</v>
      </c>
      <c r="U33" s="4">
        <f>(O39-O38+O42-O43-O40+O41+O48+O53-O54-O51+O52)*1.06</f>
        <v>-264302.4034</v>
      </c>
      <c r="V33" s="4">
        <f>(P39-P38+P42-P43-P40+P41+P48+P53-P54-P51+P52)*1.06</f>
        <v>94712.9822</v>
      </c>
      <c r="X33" s="11" t="s">
        <v>2942</v>
      </c>
      <c r="Y33" s="4">
        <f>S33/10000</f>
        <v>0.85740538</v>
      </c>
      <c r="Z33" s="4">
        <f>T33/10000</f>
        <v>0</v>
      </c>
      <c r="AA33" s="4">
        <f>U33/10000</f>
        <v>-26.43024034</v>
      </c>
      <c r="AB33" s="4">
        <f>V33/10000</f>
        <v>9.47129822</v>
      </c>
    </row>
    <row r="34" spans="1:28">
      <c r="A34" s="1" t="s">
        <v>369</v>
      </c>
      <c r="B34" s="1" t="s">
        <v>156</v>
      </c>
      <c r="C34" s="1" t="s">
        <v>2896</v>
      </c>
      <c r="H34" s="2">
        <f t="shared" si="0"/>
        <v>0</v>
      </c>
      <c r="K34" s="3" t="s">
        <v>2896</v>
      </c>
      <c r="L34" s="4">
        <v>258797593.5</v>
      </c>
      <c r="M34" s="4">
        <v>8460799.02</v>
      </c>
      <c r="N34" s="4">
        <v>8414530.95</v>
      </c>
      <c r="O34" s="4">
        <v>197734695.93</v>
      </c>
      <c r="P34" s="4">
        <v>44187567.6</v>
      </c>
      <c r="Q34" s="3"/>
      <c r="R34" s="12" t="s">
        <v>2932</v>
      </c>
      <c r="S34" s="4">
        <f>(M46-M47)*1.06</f>
        <v>1071.6918</v>
      </c>
      <c r="T34" s="4">
        <f>(N46-N47)*1.06</f>
        <v>0</v>
      </c>
      <c r="U34" s="4">
        <f>(O46-O47)*1.06</f>
        <v>94499.9964</v>
      </c>
      <c r="V34" s="4">
        <f>(P46-P47)*1.06</f>
        <v>6020271.5688</v>
      </c>
      <c r="W34" s="4"/>
      <c r="X34" s="12" t="s">
        <v>2932</v>
      </c>
      <c r="Y34" s="4">
        <f>S34/10000</f>
        <v>0.10716918</v>
      </c>
      <c r="Z34" s="4">
        <f>T34/10000</f>
        <v>0</v>
      </c>
      <c r="AA34" s="4">
        <f>U34/10000</f>
        <v>9.44999964</v>
      </c>
      <c r="AB34" s="4">
        <f>V34/10000</f>
        <v>602.02715688</v>
      </c>
    </row>
    <row r="35" spans="1:16">
      <c r="A35" s="1" t="s">
        <v>369</v>
      </c>
      <c r="B35" s="1" t="s">
        <v>157</v>
      </c>
      <c r="C35" s="1" t="s">
        <v>2896</v>
      </c>
      <c r="H35" s="2">
        <f t="shared" si="0"/>
        <v>0</v>
      </c>
      <c r="K35" s="3" t="s">
        <v>2898</v>
      </c>
      <c r="L35" s="4">
        <v>43788358.95</v>
      </c>
      <c r="N35" s="4">
        <v>437923.08</v>
      </c>
      <c r="O35" s="4">
        <v>35319872.01</v>
      </c>
      <c r="P35" s="4">
        <v>8030563.86</v>
      </c>
    </row>
    <row r="36" spans="1:16">
      <c r="A36" s="1" t="s">
        <v>369</v>
      </c>
      <c r="B36" s="1" t="s">
        <v>158</v>
      </c>
      <c r="C36" s="1" t="s">
        <v>2896</v>
      </c>
      <c r="H36" s="2">
        <f t="shared" si="0"/>
        <v>0</v>
      </c>
      <c r="K36" s="3" t="s">
        <v>2899</v>
      </c>
      <c r="L36" s="4">
        <v>802911664.9004</v>
      </c>
      <c r="M36" s="4">
        <v>217234191.133</v>
      </c>
      <c r="N36" s="4">
        <v>302000322.1816</v>
      </c>
      <c r="O36" s="4">
        <v>156202831.8104</v>
      </c>
      <c r="P36" s="4">
        <v>127474319.7754</v>
      </c>
    </row>
    <row r="37" spans="1:16">
      <c r="A37" s="1" t="s">
        <v>369</v>
      </c>
      <c r="B37" s="1" t="s">
        <v>159</v>
      </c>
      <c r="C37" s="1" t="s">
        <v>2896</v>
      </c>
      <c r="H37" s="2">
        <f t="shared" si="0"/>
        <v>0</v>
      </c>
      <c r="K37" s="3" t="s">
        <v>2892</v>
      </c>
      <c r="L37" s="4">
        <v>813475065.129998</v>
      </c>
      <c r="M37" s="4">
        <v>218082794.19</v>
      </c>
      <c r="N37" s="4">
        <v>304743025.479998</v>
      </c>
      <c r="O37" s="4">
        <v>161219009.21</v>
      </c>
      <c r="P37" s="4">
        <v>129430236.25</v>
      </c>
    </row>
    <row r="38" spans="1:12">
      <c r="A38" s="1" t="s">
        <v>369</v>
      </c>
      <c r="B38" s="1" t="s">
        <v>148</v>
      </c>
      <c r="C38" s="1" t="s">
        <v>2893</v>
      </c>
      <c r="D38" s="2">
        <v>38158.62</v>
      </c>
      <c r="E38" s="2">
        <v>432770.78</v>
      </c>
      <c r="F38" s="2">
        <v>4104918.99</v>
      </c>
      <c r="G38" s="2">
        <v>601819.03</v>
      </c>
      <c r="H38" s="2">
        <f t="shared" si="0"/>
        <v>5177667.42</v>
      </c>
      <c r="K38" s="3" t="s">
        <v>2937</v>
      </c>
      <c r="L38" s="4">
        <v>0</v>
      </c>
    </row>
    <row r="39" spans="1:12">
      <c r="A39" s="1" t="s">
        <v>369</v>
      </c>
      <c r="B39" s="1" t="s">
        <v>149</v>
      </c>
      <c r="C39" s="1" t="s">
        <v>2893</v>
      </c>
      <c r="D39" s="2">
        <v>31021.72</v>
      </c>
      <c r="E39" s="2">
        <v>1045672.96</v>
      </c>
      <c r="F39" s="2">
        <v>2783078.05</v>
      </c>
      <c r="G39" s="2">
        <v>8900328.48</v>
      </c>
      <c r="H39" s="2">
        <f t="shared" si="0"/>
        <v>12760101.21</v>
      </c>
      <c r="K39" s="3" t="s">
        <v>2921</v>
      </c>
      <c r="L39" s="4">
        <v>0</v>
      </c>
    </row>
    <row r="40" spans="1:16">
      <c r="A40" s="1" t="s">
        <v>369</v>
      </c>
      <c r="B40" s="1" t="s">
        <v>150</v>
      </c>
      <c r="C40" s="1" t="s">
        <v>2893</v>
      </c>
      <c r="D40" s="2">
        <v>34296.84</v>
      </c>
      <c r="E40" s="2">
        <v>1464310.68</v>
      </c>
      <c r="F40" s="2">
        <v>3224468.5</v>
      </c>
      <c r="G40" s="2">
        <v>14119297.25</v>
      </c>
      <c r="H40" s="2">
        <f t="shared" si="0"/>
        <v>18842373.27</v>
      </c>
      <c r="K40" s="3" t="s">
        <v>347</v>
      </c>
      <c r="L40" s="4">
        <v>462987.1</v>
      </c>
      <c r="M40" s="4">
        <v>0</v>
      </c>
      <c r="O40" s="4">
        <v>462987.1</v>
      </c>
      <c r="P40" s="4">
        <v>0</v>
      </c>
    </row>
    <row r="41" spans="1:15">
      <c r="A41" s="1" t="s">
        <v>369</v>
      </c>
      <c r="B41" s="1" t="s">
        <v>151</v>
      </c>
      <c r="C41" s="1" t="s">
        <v>2893</v>
      </c>
      <c r="H41" s="2">
        <f t="shared" si="0"/>
        <v>0</v>
      </c>
      <c r="K41" s="3" t="s">
        <v>2944</v>
      </c>
      <c r="L41" s="4">
        <v>213645.21</v>
      </c>
      <c r="O41" s="4">
        <v>213645.21</v>
      </c>
    </row>
    <row r="42" spans="1:16">
      <c r="A42" s="1" t="s">
        <v>369</v>
      </c>
      <c r="B42" s="1" t="s">
        <v>152</v>
      </c>
      <c r="C42" s="1" t="s">
        <v>2893</v>
      </c>
      <c r="H42" s="2">
        <f t="shared" si="0"/>
        <v>0</v>
      </c>
      <c r="K42" s="3" t="s">
        <v>2900</v>
      </c>
      <c r="L42" s="4">
        <v>311085.81</v>
      </c>
      <c r="M42" s="4">
        <v>8088.73</v>
      </c>
      <c r="O42" s="4">
        <v>213645.21</v>
      </c>
      <c r="P42" s="4">
        <v>89351.87</v>
      </c>
    </row>
    <row r="43" spans="1:15">
      <c r="A43" s="1" t="s">
        <v>369</v>
      </c>
      <c r="B43" s="1" t="s">
        <v>153</v>
      </c>
      <c r="C43" s="1" t="s">
        <v>2893</v>
      </c>
      <c r="H43" s="2">
        <f t="shared" si="0"/>
        <v>0</v>
      </c>
      <c r="K43" s="3" t="s">
        <v>2901</v>
      </c>
      <c r="L43" s="4">
        <v>213645.21</v>
      </c>
      <c r="O43" s="4">
        <v>213645.21</v>
      </c>
    </row>
    <row r="44" spans="1:16">
      <c r="A44" s="1" t="s">
        <v>369</v>
      </c>
      <c r="B44" s="1" t="s">
        <v>154</v>
      </c>
      <c r="C44" s="1" t="s">
        <v>2893</v>
      </c>
      <c r="H44" s="2">
        <f t="shared" si="0"/>
        <v>0</v>
      </c>
      <c r="K44" s="3" t="s">
        <v>2926</v>
      </c>
      <c r="L44" s="4">
        <v>7198534.38</v>
      </c>
      <c r="M44" s="4">
        <v>0</v>
      </c>
      <c r="P44" s="4">
        <v>7198534.38</v>
      </c>
    </row>
    <row r="45" spans="1:16">
      <c r="A45" s="1" t="s">
        <v>369</v>
      </c>
      <c r="B45" s="1" t="s">
        <v>155</v>
      </c>
      <c r="C45" s="1" t="s">
        <v>2893</v>
      </c>
      <c r="H45" s="2">
        <f t="shared" si="0"/>
        <v>0</v>
      </c>
      <c r="K45" s="3" t="s">
        <v>2933</v>
      </c>
      <c r="L45" s="4">
        <v>513139.15</v>
      </c>
      <c r="P45" s="4">
        <v>513139.15</v>
      </c>
    </row>
    <row r="46" spans="1:16">
      <c r="A46" s="1" t="s">
        <v>369</v>
      </c>
      <c r="B46" s="1" t="s">
        <v>156</v>
      </c>
      <c r="C46" s="1" t="s">
        <v>2893</v>
      </c>
      <c r="H46" s="2">
        <f t="shared" si="0"/>
        <v>0</v>
      </c>
      <c r="K46" s="3" t="s">
        <v>2904</v>
      </c>
      <c r="L46" s="4">
        <v>6282797.43</v>
      </c>
      <c r="M46" s="4">
        <v>1011.03</v>
      </c>
      <c r="O46" s="4">
        <v>89150.94</v>
      </c>
      <c r="P46" s="4">
        <v>6192635.46</v>
      </c>
    </row>
    <row r="47" spans="1:16">
      <c r="A47" s="1" t="s">
        <v>369</v>
      </c>
      <c r="B47" s="1" t="s">
        <v>157</v>
      </c>
      <c r="C47" s="1" t="s">
        <v>2893</v>
      </c>
      <c r="H47" s="2">
        <f t="shared" si="0"/>
        <v>0</v>
      </c>
      <c r="K47" s="3" t="s">
        <v>2907</v>
      </c>
      <c r="L47" s="4">
        <v>513133.98</v>
      </c>
      <c r="P47" s="4">
        <v>513133.98</v>
      </c>
    </row>
    <row r="48" spans="1:12">
      <c r="A48" s="1" t="s">
        <v>369</v>
      </c>
      <c r="B48" s="1" t="s">
        <v>158</v>
      </c>
      <c r="C48" s="1" t="s">
        <v>2893</v>
      </c>
      <c r="H48" s="2">
        <f t="shared" si="0"/>
        <v>0</v>
      </c>
      <c r="K48" s="3" t="s">
        <v>2939</v>
      </c>
      <c r="L48" s="4">
        <v>0</v>
      </c>
    </row>
    <row r="49" spans="1:16">
      <c r="A49" s="1" t="s">
        <v>369</v>
      </c>
      <c r="B49" s="1" t="s">
        <v>159</v>
      </c>
      <c r="C49" s="1" t="s">
        <v>2893</v>
      </c>
      <c r="H49" s="2">
        <f t="shared" si="0"/>
        <v>0</v>
      </c>
      <c r="K49" s="3" t="s">
        <v>2902</v>
      </c>
      <c r="L49" s="4">
        <v>6102294.16</v>
      </c>
      <c r="M49" s="4">
        <v>539405.85</v>
      </c>
      <c r="N49" s="4">
        <v>75.47</v>
      </c>
      <c r="O49" s="4">
        <v>5269869.83</v>
      </c>
      <c r="P49" s="4">
        <v>292943.01</v>
      </c>
    </row>
    <row r="50" spans="1:12">
      <c r="A50" s="1" t="s">
        <v>369</v>
      </c>
      <c r="B50" s="1" t="s">
        <v>148</v>
      </c>
      <c r="C50" s="1" t="s">
        <v>2902</v>
      </c>
      <c r="D50" s="2">
        <v>157194.11</v>
      </c>
      <c r="E50" s="2">
        <v>212.26</v>
      </c>
      <c r="F50" s="2">
        <v>-125925.93</v>
      </c>
      <c r="G50" s="2">
        <v>168194.81</v>
      </c>
      <c r="H50" s="2">
        <f t="shared" si="0"/>
        <v>199675.25</v>
      </c>
      <c r="K50" s="3" t="s">
        <v>2903</v>
      </c>
      <c r="L50" s="4">
        <v>0</v>
      </c>
    </row>
    <row r="51" spans="1:12">
      <c r="A51" s="1" t="s">
        <v>369</v>
      </c>
      <c r="B51" s="1" t="s">
        <v>149</v>
      </c>
      <c r="C51" s="1" t="s">
        <v>2902</v>
      </c>
      <c r="D51" s="2">
        <v>515163.56</v>
      </c>
      <c r="E51" s="2">
        <v>75.47</v>
      </c>
      <c r="F51" s="2">
        <v>140435.84</v>
      </c>
      <c r="G51" s="2">
        <v>64369.62</v>
      </c>
      <c r="H51" s="2">
        <f t="shared" si="0"/>
        <v>720044.49</v>
      </c>
      <c r="K51" s="3" t="s">
        <v>2940</v>
      </c>
      <c r="L51" s="4">
        <v>0</v>
      </c>
    </row>
    <row r="52" spans="1:12">
      <c r="A52" s="1" t="s">
        <v>369</v>
      </c>
      <c r="B52" s="1" t="s">
        <v>150</v>
      </c>
      <c r="C52" s="1" t="s">
        <v>2902</v>
      </c>
      <c r="D52" s="2">
        <v>401755.39</v>
      </c>
      <c r="F52" s="2">
        <v>88059.25</v>
      </c>
      <c r="G52" s="2">
        <v>492177.89</v>
      </c>
      <c r="H52" s="2">
        <f t="shared" si="0"/>
        <v>981992.53</v>
      </c>
      <c r="K52" s="3" t="s">
        <v>2941</v>
      </c>
      <c r="L52" s="4">
        <v>0</v>
      </c>
    </row>
    <row r="53" spans="1:12">
      <c r="A53" s="1" t="s">
        <v>369</v>
      </c>
      <c r="B53" s="1" t="s">
        <v>151</v>
      </c>
      <c r="C53" s="1" t="s">
        <v>2902</v>
      </c>
      <c r="H53" s="2">
        <f t="shared" si="0"/>
        <v>0</v>
      </c>
      <c r="K53" s="3" t="s">
        <v>2942</v>
      </c>
      <c r="L53" s="4">
        <v>0</v>
      </c>
    </row>
    <row r="54" spans="1:12">
      <c r="A54" s="1" t="s">
        <v>369</v>
      </c>
      <c r="B54" s="1" t="s">
        <v>152</v>
      </c>
      <c r="C54" s="1" t="s">
        <v>2902</v>
      </c>
      <c r="H54" s="2">
        <f t="shared" si="0"/>
        <v>0</v>
      </c>
      <c r="K54" s="3" t="s">
        <v>2943</v>
      </c>
      <c r="L54" s="4">
        <v>0</v>
      </c>
    </row>
    <row r="55" spans="1:12">
      <c r="A55" s="1" t="s">
        <v>369</v>
      </c>
      <c r="B55" s="1" t="s">
        <v>153</v>
      </c>
      <c r="C55" s="1" t="s">
        <v>2902</v>
      </c>
      <c r="H55" s="2">
        <f t="shared" si="0"/>
        <v>0</v>
      </c>
      <c r="K55" s="3" t="s">
        <v>2905</v>
      </c>
      <c r="L55" s="4">
        <v>0</v>
      </c>
    </row>
    <row r="56" spans="1:28">
      <c r="A56" s="1" t="s">
        <v>369</v>
      </c>
      <c r="B56" s="1" t="s">
        <v>154</v>
      </c>
      <c r="C56" s="1" t="s">
        <v>2902</v>
      </c>
      <c r="H56" s="2">
        <f t="shared" si="0"/>
        <v>0</v>
      </c>
      <c r="J56" s="3" t="s">
        <v>150</v>
      </c>
      <c r="L56" s="4">
        <v>3571087717.5722</v>
      </c>
      <c r="M56" s="4">
        <v>385832642.4776</v>
      </c>
      <c r="N56" s="4">
        <v>861203747.088599</v>
      </c>
      <c r="O56" s="4">
        <v>1533914763.7836</v>
      </c>
      <c r="P56" s="4">
        <v>790136564.2224</v>
      </c>
      <c r="Q56" s="4">
        <f>(L64-L63)+(L61-L62-L59+L60+L58-L57+L73-L74-L71+L72+L76-L77+L82)*1.06</f>
        <v>32272138.5476</v>
      </c>
      <c r="R56" s="10"/>
      <c r="S56" s="4" t="s">
        <v>12</v>
      </c>
      <c r="T56" s="4" t="s">
        <v>13</v>
      </c>
      <c r="U56" s="4" t="s">
        <v>14</v>
      </c>
      <c r="V56" s="4" t="s">
        <v>20</v>
      </c>
      <c r="W56" s="4"/>
      <c r="Y56" s="4" t="s">
        <v>12</v>
      </c>
      <c r="Z56" s="4" t="s">
        <v>13</v>
      </c>
      <c r="AA56" s="4" t="s">
        <v>14</v>
      </c>
      <c r="AB56" s="4" t="s">
        <v>20</v>
      </c>
    </row>
    <row r="57" spans="1:28">
      <c r="A57" s="1" t="s">
        <v>369</v>
      </c>
      <c r="B57" s="1" t="s">
        <v>155</v>
      </c>
      <c r="C57" s="1" t="s">
        <v>2902</v>
      </c>
      <c r="H57" s="2">
        <f t="shared" si="0"/>
        <v>0</v>
      </c>
      <c r="K57" s="3" t="s">
        <v>1901</v>
      </c>
      <c r="L57" s="4">
        <v>407963.58</v>
      </c>
      <c r="M57" s="4">
        <v>264605.46</v>
      </c>
      <c r="O57" s="4">
        <v>143358.12</v>
      </c>
      <c r="P57" s="4">
        <v>0</v>
      </c>
      <c r="Q57" s="4">
        <f>Q56-W59</f>
        <v>1.06543302536011e-6</v>
      </c>
      <c r="R57" s="10" t="s">
        <v>2894</v>
      </c>
      <c r="S57" s="4">
        <f>(M64-M63)+(M61-M62-M59+M60+M76-M77+M82)*1.06</f>
        <v>4620802.77379998</v>
      </c>
      <c r="T57" s="4">
        <f>(N64-N63)+(N61-N62-N59+N60+N76-N77+N82)*1.06</f>
        <v>2274828.72479896</v>
      </c>
      <c r="U57" s="4">
        <f>(O64-O63)+(O61-O62-O59+O60+O76-O77+O82)*1.06</f>
        <v>17497701.9368</v>
      </c>
      <c r="V57" s="4">
        <f>(P64-P63)+(P61-P62-P59+P60+P76-P77+P82)*1.06</f>
        <v>4540489.13019999</v>
      </c>
      <c r="W57" s="4"/>
      <c r="X57" s="10" t="s">
        <v>2894</v>
      </c>
      <c r="Y57" s="4">
        <f>S57/10000</f>
        <v>462.080277379998</v>
      </c>
      <c r="Z57" s="4">
        <f>T57/10000</f>
        <v>227.482872479896</v>
      </c>
      <c r="AA57" s="4">
        <f>U57/10000</f>
        <v>1749.77019368</v>
      </c>
      <c r="AB57" s="4">
        <f>V57/10000</f>
        <v>454.048913019999</v>
      </c>
    </row>
    <row r="58" spans="1:28">
      <c r="A58" s="1" t="s">
        <v>369</v>
      </c>
      <c r="B58" s="1" t="s">
        <v>156</v>
      </c>
      <c r="C58" s="1" t="s">
        <v>2902</v>
      </c>
      <c r="H58" s="2">
        <f t="shared" si="0"/>
        <v>0</v>
      </c>
      <c r="K58" s="3" t="s">
        <v>2931</v>
      </c>
      <c r="L58" s="4">
        <v>3827882.09</v>
      </c>
      <c r="M58" s="4">
        <v>488277.18</v>
      </c>
      <c r="O58" s="4">
        <v>3236144.48</v>
      </c>
      <c r="P58" s="4">
        <v>103460.43</v>
      </c>
      <c r="Q58" s="4"/>
      <c r="R58" s="10" t="s">
        <v>583</v>
      </c>
      <c r="S58" s="4">
        <f>(M58-M57)*1.06</f>
        <v>237092.0232</v>
      </c>
      <c r="T58" s="4">
        <f>(N58-N57)*1.06</f>
        <v>0</v>
      </c>
      <c r="U58" s="4">
        <f>(O58-O57)*1.06</f>
        <v>3278353.5416</v>
      </c>
      <c r="V58" s="4">
        <f>(P58-P57)*1.06</f>
        <v>109668.0558</v>
      </c>
      <c r="W58" s="4"/>
      <c r="X58" s="10" t="s">
        <v>583</v>
      </c>
      <c r="Y58" s="4">
        <f>S58/10000</f>
        <v>23.70920232</v>
      </c>
      <c r="Z58" s="4">
        <f>T58/10000</f>
        <v>0</v>
      </c>
      <c r="AA58" s="4">
        <f>U58/10000</f>
        <v>327.83535416</v>
      </c>
      <c r="AB58" s="4">
        <f>V58/10000</f>
        <v>10.96680558</v>
      </c>
    </row>
    <row r="59" spans="1:28">
      <c r="A59" s="1" t="s">
        <v>369</v>
      </c>
      <c r="B59" s="1" t="s">
        <v>157</v>
      </c>
      <c r="C59" s="1" t="s">
        <v>2902</v>
      </c>
      <c r="H59" s="2">
        <f t="shared" si="0"/>
        <v>0</v>
      </c>
      <c r="K59" s="3" t="s">
        <v>2893</v>
      </c>
      <c r="L59" s="4">
        <v>520847976.12</v>
      </c>
      <c r="M59" s="4">
        <v>7064663.86</v>
      </c>
      <c r="N59" s="4">
        <v>14707826.61</v>
      </c>
      <c r="O59" s="4">
        <v>429006636.72</v>
      </c>
      <c r="P59" s="4">
        <v>70068848.93</v>
      </c>
      <c r="Q59" s="4"/>
      <c r="R59" s="10" t="s">
        <v>2897</v>
      </c>
      <c r="S59" s="4">
        <f>(M73-M74-M71+M72)*1.06</f>
        <v>649.7588</v>
      </c>
      <c r="T59" s="4">
        <f>(N73-N74-N71+N72)*1.06</f>
        <v>0</v>
      </c>
      <c r="U59" s="4">
        <f>(O73-O74-O71+O72)*1.06</f>
        <v>114258.5978</v>
      </c>
      <c r="V59" s="4">
        <f>(P73-P74-P71+P72)*1.06</f>
        <v>-401705.995200001</v>
      </c>
      <c r="W59" s="4">
        <f>SUM(S57:V59)</f>
        <v>32272138.547599</v>
      </c>
      <c r="X59" s="10" t="s">
        <v>2897</v>
      </c>
      <c r="Y59" s="4">
        <f>S59/10000</f>
        <v>0.06497588</v>
      </c>
      <c r="Z59" s="4">
        <f>T59/10000</f>
        <v>0</v>
      </c>
      <c r="AA59" s="4">
        <f>U59/10000</f>
        <v>11.42585978</v>
      </c>
      <c r="AB59" s="4">
        <f>V59/10000</f>
        <v>-40.1705995200001</v>
      </c>
    </row>
    <row r="60" spans="1:28">
      <c r="A60" s="1" t="s">
        <v>369</v>
      </c>
      <c r="B60" s="1" t="s">
        <v>158</v>
      </c>
      <c r="C60" s="1" t="s">
        <v>2902</v>
      </c>
      <c r="H60" s="2">
        <f t="shared" si="0"/>
        <v>0</v>
      </c>
      <c r="K60" s="3" t="s">
        <v>2895</v>
      </c>
      <c r="L60" s="4">
        <v>129370475.35</v>
      </c>
      <c r="N60" s="4">
        <v>703314.13</v>
      </c>
      <c r="O60" s="4">
        <v>115237803.02</v>
      </c>
      <c r="P60" s="4">
        <v>13429358.2</v>
      </c>
      <c r="R60" s="11" t="s">
        <v>2942</v>
      </c>
      <c r="S60" s="4">
        <f>(M66-M65+M69-M70-M67+M68+M75+M80-M81-M78+M79)*1.06</f>
        <v>222900.0012</v>
      </c>
      <c r="T60" s="4">
        <f>(N66-N65+N69-N70-N67+N68+N75+N80-N81-N78+N79)*1.06</f>
        <v>0</v>
      </c>
      <c r="U60" s="4">
        <f>(O66-O65+O69-O70-O67+O68+O75+O80-O81-O78+O79)*1.06</f>
        <v>-11999.995</v>
      </c>
      <c r="V60" s="4">
        <f>(P66-P65+P69-P70-P67+P68+P75+P80-P81-P78+P79)*1.06</f>
        <v>158348.842</v>
      </c>
      <c r="X60" s="11" t="s">
        <v>2942</v>
      </c>
      <c r="Y60" s="4">
        <f>S60/10000</f>
        <v>22.29000012</v>
      </c>
      <c r="Z60" s="4">
        <f>T60/10000</f>
        <v>0</v>
      </c>
      <c r="AA60" s="4">
        <f>U60/10000</f>
        <v>-1.1999995</v>
      </c>
      <c r="AB60" s="4">
        <f>V60/10000</f>
        <v>15.8348842</v>
      </c>
    </row>
    <row r="61" spans="1:28">
      <c r="A61" s="1" t="s">
        <v>369</v>
      </c>
      <c r="B61" s="1" t="s">
        <v>159</v>
      </c>
      <c r="C61" s="1" t="s">
        <v>2902</v>
      </c>
      <c r="H61" s="2">
        <f t="shared" si="0"/>
        <v>0</v>
      </c>
      <c r="K61" s="3" t="s">
        <v>2896</v>
      </c>
      <c r="L61" s="4">
        <v>526217523.66</v>
      </c>
      <c r="M61" s="4">
        <v>8785314.89</v>
      </c>
      <c r="N61" s="4">
        <v>14860078.67</v>
      </c>
      <c r="O61" s="4">
        <v>430794240.24</v>
      </c>
      <c r="P61" s="4">
        <v>71777889.86</v>
      </c>
      <c r="Q61" s="3"/>
      <c r="R61" s="12" t="s">
        <v>2932</v>
      </c>
      <c r="S61" s="4">
        <f>(M73-M74)*1.06</f>
        <v>649.7588</v>
      </c>
      <c r="T61" s="4">
        <f>(N73-N74)*1.06</f>
        <v>0</v>
      </c>
      <c r="U61" s="4">
        <f>(O73-O74)*1.06</f>
        <v>114258.5978</v>
      </c>
      <c r="V61" s="4">
        <f>(P73-P74)*1.06</f>
        <v>9625496.9712</v>
      </c>
      <c r="W61" s="4"/>
      <c r="X61" s="12" t="s">
        <v>2932</v>
      </c>
      <c r="Y61" s="4">
        <f>S61/10000</f>
        <v>0.06497588</v>
      </c>
      <c r="Z61" s="4">
        <f>T61/10000</f>
        <v>0</v>
      </c>
      <c r="AA61" s="4">
        <f>U61/10000</f>
        <v>11.42585978</v>
      </c>
      <c r="AB61" s="4">
        <f>V61/10000</f>
        <v>962.54969712</v>
      </c>
    </row>
    <row r="62" spans="1:16">
      <c r="A62" s="1" t="s">
        <v>369</v>
      </c>
      <c r="B62" s="1" t="s">
        <v>148</v>
      </c>
      <c r="C62" s="1" t="s">
        <v>2900</v>
      </c>
      <c r="D62" s="2">
        <v>2442.89</v>
      </c>
      <c r="G62" s="2">
        <v>81270.46</v>
      </c>
      <c r="H62" s="2">
        <f t="shared" si="0"/>
        <v>83713.35</v>
      </c>
      <c r="K62" s="3" t="s">
        <v>2898</v>
      </c>
      <c r="L62" s="4">
        <v>129340655.52</v>
      </c>
      <c r="N62" s="4">
        <v>673494.3</v>
      </c>
      <c r="O62" s="4">
        <v>115237803.02</v>
      </c>
      <c r="P62" s="4">
        <v>13429358.2</v>
      </c>
    </row>
    <row r="63" spans="1:16">
      <c r="A63" s="1" t="s">
        <v>369</v>
      </c>
      <c r="B63" s="1" t="s">
        <v>149</v>
      </c>
      <c r="C63" s="1" t="s">
        <v>2900</v>
      </c>
      <c r="D63" s="2">
        <v>8088.73</v>
      </c>
      <c r="G63" s="2">
        <v>89351.87</v>
      </c>
      <c r="H63" s="2">
        <f t="shared" si="0"/>
        <v>97440.6</v>
      </c>
      <c r="K63" s="3" t="s">
        <v>2899</v>
      </c>
      <c r="L63" s="4">
        <v>1104480949.4222</v>
      </c>
      <c r="M63" s="4">
        <v>183165383.9476</v>
      </c>
      <c r="N63" s="4">
        <v>414088600.4286</v>
      </c>
      <c r="O63" s="4">
        <v>210360875.7336</v>
      </c>
      <c r="P63" s="4">
        <v>296866089.3124</v>
      </c>
    </row>
    <row r="64" spans="1:16">
      <c r="A64" s="1" t="s">
        <v>369</v>
      </c>
      <c r="B64" s="1" t="s">
        <v>150</v>
      </c>
      <c r="C64" s="1" t="s">
        <v>2900</v>
      </c>
      <c r="D64" s="2">
        <v>9475.47</v>
      </c>
      <c r="G64" s="2">
        <v>149385.7</v>
      </c>
      <c r="H64" s="2">
        <f t="shared" si="0"/>
        <v>158861.17</v>
      </c>
      <c r="K64" s="3" t="s">
        <v>2892</v>
      </c>
      <c r="L64" s="4">
        <v>1116305752.81</v>
      </c>
      <c r="M64" s="4">
        <v>184040242.98</v>
      </c>
      <c r="N64" s="4">
        <v>416170432.949999</v>
      </c>
      <c r="O64" s="4">
        <v>217076024.11</v>
      </c>
      <c r="P64" s="4">
        <v>299019052.77</v>
      </c>
    </row>
    <row r="65" spans="1:12">
      <c r="A65" s="1" t="s">
        <v>369</v>
      </c>
      <c r="B65" s="1" t="s">
        <v>151</v>
      </c>
      <c r="C65" s="1" t="s">
        <v>2900</v>
      </c>
      <c r="H65" s="2">
        <f t="shared" si="0"/>
        <v>0</v>
      </c>
      <c r="K65" s="3" t="s">
        <v>2937</v>
      </c>
      <c r="L65" s="4">
        <v>0</v>
      </c>
    </row>
    <row r="66" spans="1:12">
      <c r="A66" s="1" t="s">
        <v>369</v>
      </c>
      <c r="B66" s="1" t="s">
        <v>152</v>
      </c>
      <c r="C66" s="1" t="s">
        <v>2900</v>
      </c>
      <c r="H66" s="2">
        <f t="shared" ref="H66:H121" si="1">SUM(D66:G66)</f>
        <v>0</v>
      </c>
      <c r="K66" s="3" t="s">
        <v>2921</v>
      </c>
      <c r="L66" s="4">
        <v>0</v>
      </c>
    </row>
    <row r="67" spans="1:16">
      <c r="A67" s="1" t="s">
        <v>369</v>
      </c>
      <c r="B67" s="1" t="s">
        <v>153</v>
      </c>
      <c r="C67" s="1" t="s">
        <v>2900</v>
      </c>
      <c r="H67" s="2">
        <f t="shared" si="1"/>
        <v>0</v>
      </c>
      <c r="K67" s="3" t="s">
        <v>347</v>
      </c>
      <c r="L67" s="4">
        <v>1090858.16</v>
      </c>
      <c r="M67" s="4">
        <v>0</v>
      </c>
      <c r="O67" s="4">
        <v>1090858.16</v>
      </c>
      <c r="P67" s="4">
        <v>0</v>
      </c>
    </row>
    <row r="68" spans="1:15">
      <c r="A68" s="1" t="s">
        <v>369</v>
      </c>
      <c r="B68" s="1" t="s">
        <v>154</v>
      </c>
      <c r="C68" s="1" t="s">
        <v>2900</v>
      </c>
      <c r="H68" s="2">
        <f t="shared" si="1"/>
        <v>0</v>
      </c>
      <c r="K68" s="3" t="s">
        <v>2944</v>
      </c>
      <c r="L68" s="4">
        <v>1079537.41</v>
      </c>
      <c r="O68" s="4">
        <v>1079537.41</v>
      </c>
    </row>
    <row r="69" spans="1:16">
      <c r="A69" s="1" t="s">
        <v>369</v>
      </c>
      <c r="B69" s="1" t="s">
        <v>155</v>
      </c>
      <c r="C69" s="1" t="s">
        <v>2900</v>
      </c>
      <c r="H69" s="2">
        <f t="shared" si="1"/>
        <v>0</v>
      </c>
      <c r="K69" s="3" t="s">
        <v>2900</v>
      </c>
      <c r="L69" s="4">
        <v>1238398.58</v>
      </c>
      <c r="M69" s="4">
        <v>9475.47</v>
      </c>
      <c r="O69" s="4">
        <v>1079537.41</v>
      </c>
      <c r="P69" s="4">
        <v>149385.7</v>
      </c>
    </row>
    <row r="70" spans="1:15">
      <c r="A70" s="1" t="s">
        <v>369</v>
      </c>
      <c r="B70" s="1" t="s">
        <v>156</v>
      </c>
      <c r="C70" s="1" t="s">
        <v>2900</v>
      </c>
      <c r="H70" s="2">
        <f t="shared" si="1"/>
        <v>0</v>
      </c>
      <c r="K70" s="3" t="s">
        <v>2901</v>
      </c>
      <c r="L70" s="4">
        <v>1079537.41</v>
      </c>
      <c r="O70" s="4">
        <v>1079537.41</v>
      </c>
    </row>
    <row r="71" spans="1:16">
      <c r="A71" s="1" t="s">
        <v>369</v>
      </c>
      <c r="B71" s="1" t="s">
        <v>157</v>
      </c>
      <c r="C71" s="1" t="s">
        <v>2900</v>
      </c>
      <c r="H71" s="2">
        <f t="shared" si="1"/>
        <v>0</v>
      </c>
      <c r="K71" s="3" t="s">
        <v>2926</v>
      </c>
      <c r="L71" s="4">
        <v>11011999.46</v>
      </c>
      <c r="M71" s="4">
        <v>0</v>
      </c>
      <c r="P71" s="4">
        <v>11011999.46</v>
      </c>
    </row>
    <row r="72" spans="1:16">
      <c r="A72" s="1" t="s">
        <v>369</v>
      </c>
      <c r="B72" s="1" t="s">
        <v>158</v>
      </c>
      <c r="C72" s="1" t="s">
        <v>2900</v>
      </c>
      <c r="H72" s="2">
        <f t="shared" si="1"/>
        <v>0</v>
      </c>
      <c r="K72" s="3" t="s">
        <v>2933</v>
      </c>
      <c r="L72" s="4">
        <v>1552374.02</v>
      </c>
      <c r="P72" s="4">
        <v>1552374.02</v>
      </c>
    </row>
    <row r="73" spans="1:16">
      <c r="A73" s="1" t="s">
        <v>369</v>
      </c>
      <c r="B73" s="1" t="s">
        <v>159</v>
      </c>
      <c r="C73" s="1" t="s">
        <v>2900</v>
      </c>
      <c r="H73" s="2">
        <f t="shared" si="1"/>
        <v>0</v>
      </c>
      <c r="K73" s="3" t="s">
        <v>2904</v>
      </c>
      <c r="L73" s="4">
        <v>10741435.65</v>
      </c>
      <c r="M73" s="4">
        <v>612.98</v>
      </c>
      <c r="O73" s="4">
        <v>107791.13</v>
      </c>
      <c r="P73" s="4">
        <v>10633031.54</v>
      </c>
    </row>
    <row r="74" spans="1:16">
      <c r="A74" s="1" t="s">
        <v>369</v>
      </c>
      <c r="B74" s="1" t="s">
        <v>148</v>
      </c>
      <c r="C74" s="1" t="s">
        <v>2942</v>
      </c>
      <c r="H74" s="2">
        <f t="shared" si="1"/>
        <v>0</v>
      </c>
      <c r="K74" s="3" t="s">
        <v>2907</v>
      </c>
      <c r="L74" s="4">
        <v>1552374.02</v>
      </c>
      <c r="P74" s="4">
        <v>1552374.02</v>
      </c>
    </row>
    <row r="75" spans="1:12">
      <c r="A75" s="1" t="s">
        <v>369</v>
      </c>
      <c r="B75" s="1" t="s">
        <v>149</v>
      </c>
      <c r="C75" s="1" t="s">
        <v>2942</v>
      </c>
      <c r="H75" s="2">
        <f t="shared" si="1"/>
        <v>0</v>
      </c>
      <c r="K75" s="3" t="s">
        <v>2939</v>
      </c>
      <c r="L75" s="4">
        <v>0</v>
      </c>
    </row>
    <row r="76" spans="1:16">
      <c r="A76" s="1" t="s">
        <v>369</v>
      </c>
      <c r="B76" s="1" t="s">
        <v>150</v>
      </c>
      <c r="C76" s="1" t="s">
        <v>2942</v>
      </c>
      <c r="D76" s="2">
        <v>169811.32</v>
      </c>
      <c r="H76" s="2">
        <f t="shared" si="1"/>
        <v>169811.32</v>
      </c>
      <c r="K76" s="3" t="s">
        <v>2902</v>
      </c>
      <c r="L76" s="4">
        <v>10741216.76</v>
      </c>
      <c r="M76" s="4">
        <v>1813258.16</v>
      </c>
      <c r="O76" s="4">
        <v>8384616.82</v>
      </c>
      <c r="P76" s="4">
        <v>543341.78</v>
      </c>
    </row>
    <row r="77" spans="1:12">
      <c r="A77" s="1" t="s">
        <v>369</v>
      </c>
      <c r="B77" s="1" t="s">
        <v>151</v>
      </c>
      <c r="C77" s="1" t="s">
        <v>2942</v>
      </c>
      <c r="H77" s="2">
        <f t="shared" si="1"/>
        <v>0</v>
      </c>
      <c r="K77" s="3" t="s">
        <v>2903</v>
      </c>
      <c r="L77" s="4">
        <v>0</v>
      </c>
    </row>
    <row r="78" spans="1:12">
      <c r="A78" s="1" t="s">
        <v>369</v>
      </c>
      <c r="B78" s="1" t="s">
        <v>152</v>
      </c>
      <c r="C78" s="1" t="s">
        <v>2942</v>
      </c>
      <c r="H78" s="2">
        <f t="shared" si="1"/>
        <v>0</v>
      </c>
      <c r="K78" s="3" t="s">
        <v>2940</v>
      </c>
      <c r="L78" s="4">
        <v>0</v>
      </c>
    </row>
    <row r="79" spans="1:12">
      <c r="A79" s="1" t="s">
        <v>369</v>
      </c>
      <c r="B79" s="1" t="s">
        <v>153</v>
      </c>
      <c r="C79" s="1" t="s">
        <v>2942</v>
      </c>
      <c r="D79" s="13"/>
      <c r="H79" s="2">
        <f t="shared" si="1"/>
        <v>0</v>
      </c>
      <c r="K79" s="3" t="s">
        <v>2941</v>
      </c>
      <c r="L79" s="4">
        <v>0</v>
      </c>
    </row>
    <row r="80" spans="1:13">
      <c r="A80" s="1" t="s">
        <v>369</v>
      </c>
      <c r="B80" s="1" t="s">
        <v>154</v>
      </c>
      <c r="C80" s="1" t="s">
        <v>2942</v>
      </c>
      <c r="H80" s="2">
        <f t="shared" si="1"/>
        <v>0</v>
      </c>
      <c r="K80" s="3" t="s">
        <v>2942</v>
      </c>
      <c r="L80" s="4">
        <v>200807.55</v>
      </c>
      <c r="M80" s="4">
        <v>200807.55</v>
      </c>
    </row>
    <row r="81" spans="1:12">
      <c r="A81" s="1" t="s">
        <v>369</v>
      </c>
      <c r="B81" s="1" t="s">
        <v>155</v>
      </c>
      <c r="C81" s="1" t="s">
        <v>2942</v>
      </c>
      <c r="H81" s="2">
        <f t="shared" si="1"/>
        <v>0</v>
      </c>
      <c r="K81" s="3" t="s">
        <v>2943</v>
      </c>
      <c r="L81" s="4">
        <v>0</v>
      </c>
    </row>
    <row r="82" spans="1:12">
      <c r="A82" s="1" t="s">
        <v>369</v>
      </c>
      <c r="B82" s="1" t="s">
        <v>156</v>
      </c>
      <c r="C82" s="1" t="s">
        <v>2942</v>
      </c>
      <c r="H82" s="2">
        <f t="shared" si="1"/>
        <v>0</v>
      </c>
      <c r="K82" s="3" t="s">
        <v>2905</v>
      </c>
      <c r="L82" s="4">
        <v>0</v>
      </c>
    </row>
    <row r="83" spans="1:8">
      <c r="A83" s="1" t="s">
        <v>369</v>
      </c>
      <c r="B83" s="1" t="s">
        <v>157</v>
      </c>
      <c r="C83" s="1" t="s">
        <v>2942</v>
      </c>
      <c r="H83" s="2">
        <f t="shared" si="1"/>
        <v>0</v>
      </c>
    </row>
    <row r="84" spans="1:8">
      <c r="A84" s="1" t="s">
        <v>369</v>
      </c>
      <c r="B84" s="1" t="s">
        <v>158</v>
      </c>
      <c r="C84" s="1" t="s">
        <v>2942</v>
      </c>
      <c r="H84" s="2">
        <f t="shared" si="1"/>
        <v>0</v>
      </c>
    </row>
    <row r="85" spans="1:8">
      <c r="A85" s="1" t="s">
        <v>369</v>
      </c>
      <c r="B85" s="1" t="s">
        <v>159</v>
      </c>
      <c r="C85" s="1" t="s">
        <v>2942</v>
      </c>
      <c r="H85" s="2">
        <f t="shared" si="1"/>
        <v>0</v>
      </c>
    </row>
    <row r="86" spans="1:8">
      <c r="A86" s="1" t="s">
        <v>369</v>
      </c>
      <c r="B86" s="1" t="s">
        <v>148</v>
      </c>
      <c r="C86" s="1" t="s">
        <v>2931</v>
      </c>
      <c r="D86" s="2">
        <v>0</v>
      </c>
      <c r="F86" s="2">
        <v>1217709.89</v>
      </c>
      <c r="G86" s="2">
        <v>4267.62</v>
      </c>
      <c r="H86" s="2">
        <f t="shared" si="1"/>
        <v>1221977.51</v>
      </c>
    </row>
    <row r="87" spans="1:8">
      <c r="A87" s="1" t="s">
        <v>369</v>
      </c>
      <c r="B87" s="1" t="s">
        <v>149</v>
      </c>
      <c r="C87" s="1" t="s">
        <v>2931</v>
      </c>
      <c r="D87" s="2">
        <v>0</v>
      </c>
      <c r="F87" s="2">
        <v>566966.85</v>
      </c>
      <c r="G87" s="2">
        <v>4467.37</v>
      </c>
      <c r="H87" s="2">
        <f t="shared" si="1"/>
        <v>571434.22</v>
      </c>
    </row>
    <row r="88" spans="1:8">
      <c r="A88" s="1" t="s">
        <v>369</v>
      </c>
      <c r="B88" s="1" t="s">
        <v>150</v>
      </c>
      <c r="C88" s="1" t="s">
        <v>2931</v>
      </c>
      <c r="D88" s="2">
        <v>0</v>
      </c>
      <c r="F88" s="2">
        <v>1741045.69</v>
      </c>
      <c r="G88" s="2">
        <v>10064.2</v>
      </c>
      <c r="H88" s="2">
        <f t="shared" si="1"/>
        <v>1751109.89</v>
      </c>
    </row>
    <row r="89" spans="1:8">
      <c r="A89" s="1" t="s">
        <v>369</v>
      </c>
      <c r="B89" s="1" t="s">
        <v>151</v>
      </c>
      <c r="C89" s="1" t="s">
        <v>2931</v>
      </c>
      <c r="H89" s="2">
        <f t="shared" si="1"/>
        <v>0</v>
      </c>
    </row>
    <row r="90" spans="1:8">
      <c r="A90" s="1" t="s">
        <v>369</v>
      </c>
      <c r="B90" s="1" t="s">
        <v>152</v>
      </c>
      <c r="C90" s="1" t="s">
        <v>2931</v>
      </c>
      <c r="H90" s="2">
        <f t="shared" si="1"/>
        <v>0</v>
      </c>
    </row>
    <row r="91" spans="1:8">
      <c r="A91" s="1" t="s">
        <v>369</v>
      </c>
      <c r="B91" s="1" t="s">
        <v>153</v>
      </c>
      <c r="C91" s="1" t="s">
        <v>2931</v>
      </c>
      <c r="H91" s="2">
        <f t="shared" si="1"/>
        <v>0</v>
      </c>
    </row>
    <row r="92" spans="1:8">
      <c r="A92" s="1" t="s">
        <v>369</v>
      </c>
      <c r="B92" s="1" t="s">
        <v>154</v>
      </c>
      <c r="C92" s="1" t="s">
        <v>2931</v>
      </c>
      <c r="H92" s="2">
        <f t="shared" si="1"/>
        <v>0</v>
      </c>
    </row>
    <row r="93" spans="1:8">
      <c r="A93" s="1" t="s">
        <v>369</v>
      </c>
      <c r="B93" s="1" t="s">
        <v>155</v>
      </c>
      <c r="C93" s="1" t="s">
        <v>2931</v>
      </c>
      <c r="H93" s="2">
        <f t="shared" si="1"/>
        <v>0</v>
      </c>
    </row>
    <row r="94" spans="1:8">
      <c r="A94" s="1" t="s">
        <v>369</v>
      </c>
      <c r="B94" s="1" t="s">
        <v>156</v>
      </c>
      <c r="C94" s="1" t="s">
        <v>2931</v>
      </c>
      <c r="H94" s="2">
        <f t="shared" si="1"/>
        <v>0</v>
      </c>
    </row>
    <row r="95" spans="1:8">
      <c r="A95" s="1" t="s">
        <v>369</v>
      </c>
      <c r="B95" s="1" t="s">
        <v>157</v>
      </c>
      <c r="C95" s="1" t="s">
        <v>2931</v>
      </c>
      <c r="H95" s="2">
        <f t="shared" si="1"/>
        <v>0</v>
      </c>
    </row>
    <row r="96" spans="1:8">
      <c r="A96" s="1" t="s">
        <v>369</v>
      </c>
      <c r="B96" s="1" t="s">
        <v>158</v>
      </c>
      <c r="C96" s="1" t="s">
        <v>2931</v>
      </c>
      <c r="H96" s="2">
        <f t="shared" si="1"/>
        <v>0</v>
      </c>
    </row>
    <row r="97" spans="1:8">
      <c r="A97" s="1" t="s">
        <v>369</v>
      </c>
      <c r="B97" s="1" t="s">
        <v>159</v>
      </c>
      <c r="C97" s="1" t="s">
        <v>2931</v>
      </c>
      <c r="H97" s="2">
        <f t="shared" si="1"/>
        <v>0</v>
      </c>
    </row>
    <row r="98" spans="1:8">
      <c r="A98" s="1" t="s">
        <v>369</v>
      </c>
      <c r="B98" s="1" t="s">
        <v>148</v>
      </c>
      <c r="C98" s="1" t="s">
        <v>2904</v>
      </c>
      <c r="D98" s="2">
        <v>0</v>
      </c>
      <c r="G98" s="2">
        <v>361580.01</v>
      </c>
      <c r="H98" s="2">
        <f t="shared" si="1"/>
        <v>361580.01</v>
      </c>
    </row>
    <row r="99" spans="1:8">
      <c r="A99" s="1" t="s">
        <v>369</v>
      </c>
      <c r="B99" s="1" t="s">
        <v>149</v>
      </c>
      <c r="C99" s="1" t="s">
        <v>2904</v>
      </c>
      <c r="D99" s="2">
        <v>-585.85</v>
      </c>
      <c r="G99" s="2">
        <v>961630.02</v>
      </c>
      <c r="H99" s="2">
        <f t="shared" si="1"/>
        <v>961044.17</v>
      </c>
    </row>
    <row r="100" spans="1:8">
      <c r="A100" s="1" t="s">
        <v>369</v>
      </c>
      <c r="B100" s="1" t="s">
        <v>150</v>
      </c>
      <c r="C100" s="1" t="s">
        <v>2904</v>
      </c>
      <c r="D100" s="2">
        <v>0</v>
      </c>
      <c r="G100" s="2">
        <v>1506095.96</v>
      </c>
      <c r="H100" s="2">
        <f t="shared" si="1"/>
        <v>1506095.96</v>
      </c>
    </row>
    <row r="101" spans="1:8">
      <c r="A101" s="1" t="s">
        <v>369</v>
      </c>
      <c r="B101" s="1" t="s">
        <v>151</v>
      </c>
      <c r="C101" s="1" t="s">
        <v>2904</v>
      </c>
      <c r="H101" s="2">
        <f t="shared" si="1"/>
        <v>0</v>
      </c>
    </row>
    <row r="102" spans="1:8">
      <c r="A102" s="1" t="s">
        <v>369</v>
      </c>
      <c r="B102" s="1" t="s">
        <v>152</v>
      </c>
      <c r="C102" s="1" t="s">
        <v>2904</v>
      </c>
      <c r="H102" s="2">
        <f t="shared" si="1"/>
        <v>0</v>
      </c>
    </row>
    <row r="103" spans="1:8">
      <c r="A103" s="1" t="s">
        <v>369</v>
      </c>
      <c r="B103" s="1" t="s">
        <v>153</v>
      </c>
      <c r="C103" s="1" t="s">
        <v>2904</v>
      </c>
      <c r="H103" s="2">
        <f t="shared" si="1"/>
        <v>0</v>
      </c>
    </row>
    <row r="104" spans="1:8">
      <c r="A104" s="1" t="s">
        <v>369</v>
      </c>
      <c r="B104" s="1" t="s">
        <v>154</v>
      </c>
      <c r="C104" s="1" t="s">
        <v>2904</v>
      </c>
      <c r="H104" s="2">
        <f t="shared" si="1"/>
        <v>0</v>
      </c>
    </row>
    <row r="105" spans="1:8">
      <c r="A105" s="1" t="s">
        <v>369</v>
      </c>
      <c r="B105" s="1" t="s">
        <v>155</v>
      </c>
      <c r="C105" s="1" t="s">
        <v>2904</v>
      </c>
      <c r="H105" s="2">
        <f t="shared" si="1"/>
        <v>0</v>
      </c>
    </row>
    <row r="106" spans="1:8">
      <c r="A106" s="1" t="s">
        <v>369</v>
      </c>
      <c r="B106" s="1" t="s">
        <v>156</v>
      </c>
      <c r="C106" s="1" t="s">
        <v>2904</v>
      </c>
      <c r="H106" s="2">
        <f t="shared" si="1"/>
        <v>0</v>
      </c>
    </row>
    <row r="107" spans="1:8">
      <c r="A107" s="1" t="s">
        <v>369</v>
      </c>
      <c r="B107" s="1" t="s">
        <v>157</v>
      </c>
      <c r="C107" s="1" t="s">
        <v>2904</v>
      </c>
      <c r="H107" s="2">
        <f t="shared" si="1"/>
        <v>0</v>
      </c>
    </row>
    <row r="108" spans="1:8">
      <c r="A108" s="1" t="s">
        <v>369</v>
      </c>
      <c r="B108" s="1" t="s">
        <v>158</v>
      </c>
      <c r="C108" s="1" t="s">
        <v>2904</v>
      </c>
      <c r="H108" s="2">
        <f t="shared" si="1"/>
        <v>0</v>
      </c>
    </row>
    <row r="109" spans="1:8">
      <c r="A109" s="1" t="s">
        <v>369</v>
      </c>
      <c r="B109" s="1" t="s">
        <v>159</v>
      </c>
      <c r="C109" s="1" t="s">
        <v>2904</v>
      </c>
      <c r="H109" s="2">
        <f t="shared" si="1"/>
        <v>0</v>
      </c>
    </row>
    <row r="110" spans="1:8">
      <c r="A110" s="1" t="s">
        <v>369</v>
      </c>
      <c r="B110" s="1" t="s">
        <v>148</v>
      </c>
      <c r="C110" s="1" t="s">
        <v>2939</v>
      </c>
      <c r="H110" s="2">
        <f t="shared" si="1"/>
        <v>0</v>
      </c>
    </row>
    <row r="111" spans="1:8">
      <c r="A111" s="1" t="s">
        <v>369</v>
      </c>
      <c r="B111" s="1" t="s">
        <v>149</v>
      </c>
      <c r="C111" s="1" t="s">
        <v>2939</v>
      </c>
      <c r="H111" s="2">
        <f t="shared" si="1"/>
        <v>0</v>
      </c>
    </row>
    <row r="112" spans="1:8">
      <c r="A112" s="1" t="s">
        <v>369</v>
      </c>
      <c r="B112" s="1" t="s">
        <v>150</v>
      </c>
      <c r="C112" s="1" t="s">
        <v>2939</v>
      </c>
      <c r="H112" s="2">
        <f t="shared" si="1"/>
        <v>0</v>
      </c>
    </row>
    <row r="113" spans="1:8">
      <c r="A113" s="1" t="s">
        <v>369</v>
      </c>
      <c r="B113" s="1" t="s">
        <v>151</v>
      </c>
      <c r="C113" s="1" t="s">
        <v>2939</v>
      </c>
      <c r="H113" s="2">
        <f t="shared" si="1"/>
        <v>0</v>
      </c>
    </row>
    <row r="114" spans="1:8">
      <c r="A114" s="1" t="s">
        <v>369</v>
      </c>
      <c r="B114" s="1" t="s">
        <v>152</v>
      </c>
      <c r="C114" s="1" t="s">
        <v>2939</v>
      </c>
      <c r="H114" s="2">
        <f t="shared" si="1"/>
        <v>0</v>
      </c>
    </row>
    <row r="115" spans="1:8">
      <c r="A115" s="1" t="s">
        <v>369</v>
      </c>
      <c r="B115" s="1" t="s">
        <v>153</v>
      </c>
      <c r="C115" s="1" t="s">
        <v>2939</v>
      </c>
      <c r="H115" s="2">
        <f t="shared" si="1"/>
        <v>0</v>
      </c>
    </row>
    <row r="116" spans="1:8">
      <c r="A116" s="1" t="s">
        <v>369</v>
      </c>
      <c r="B116" s="1" t="s">
        <v>154</v>
      </c>
      <c r="C116" s="1" t="s">
        <v>2939</v>
      </c>
      <c r="H116" s="2">
        <f t="shared" si="1"/>
        <v>0</v>
      </c>
    </row>
    <row r="117" spans="1:8">
      <c r="A117" s="1" t="s">
        <v>369</v>
      </c>
      <c r="B117" s="1" t="s">
        <v>155</v>
      </c>
      <c r="C117" s="1" t="s">
        <v>2939</v>
      </c>
      <c r="H117" s="2">
        <f t="shared" si="1"/>
        <v>0</v>
      </c>
    </row>
    <row r="118" spans="1:8">
      <c r="A118" s="1" t="s">
        <v>369</v>
      </c>
      <c r="B118" s="1" t="s">
        <v>156</v>
      </c>
      <c r="C118" s="1" t="s">
        <v>2939</v>
      </c>
      <c r="H118" s="2">
        <f t="shared" si="1"/>
        <v>0</v>
      </c>
    </row>
    <row r="119" spans="1:8">
      <c r="A119" s="1" t="s">
        <v>369</v>
      </c>
      <c r="B119" s="1" t="s">
        <v>157</v>
      </c>
      <c r="C119" s="1" t="s">
        <v>2939</v>
      </c>
      <c r="H119" s="2">
        <f t="shared" si="1"/>
        <v>0</v>
      </c>
    </row>
    <row r="120" spans="1:8">
      <c r="A120" s="1" t="s">
        <v>369</v>
      </c>
      <c r="B120" s="1" t="s">
        <v>158</v>
      </c>
      <c r="C120" s="1" t="s">
        <v>2939</v>
      </c>
      <c r="H120" s="2">
        <f t="shared" si="1"/>
        <v>0</v>
      </c>
    </row>
    <row r="121" spans="1:8">
      <c r="A121" s="1" t="s">
        <v>369</v>
      </c>
      <c r="B121" s="1" t="s">
        <v>159</v>
      </c>
      <c r="C121" s="1" t="s">
        <v>2939</v>
      </c>
      <c r="H121" s="2">
        <f t="shared" si="1"/>
        <v>0</v>
      </c>
    </row>
    <row r="122" spans="1:8">
      <c r="A122" s="1" t="s">
        <v>369</v>
      </c>
      <c r="B122" s="1" t="s">
        <v>148</v>
      </c>
      <c r="C122" s="1" t="s">
        <v>2921</v>
      </c>
      <c r="H122" s="2">
        <f>SUM(E122:G122)</f>
        <v>0</v>
      </c>
    </row>
    <row r="123" spans="1:8">
      <c r="A123" s="1" t="s">
        <v>369</v>
      </c>
      <c r="B123" s="1" t="s">
        <v>149</v>
      </c>
      <c r="C123" s="1" t="s">
        <v>2921</v>
      </c>
      <c r="H123" s="2">
        <f>SUM(E123:G123)</f>
        <v>0</v>
      </c>
    </row>
    <row r="124" spans="1:8">
      <c r="A124" s="1" t="s">
        <v>369</v>
      </c>
      <c r="B124" s="1" t="s">
        <v>150</v>
      </c>
      <c r="C124" s="1" t="s">
        <v>2921</v>
      </c>
      <c r="H124" s="2">
        <f t="shared" ref="H124:H187" si="2">SUM(D124:G124)</f>
        <v>0</v>
      </c>
    </row>
    <row r="125" spans="1:8">
      <c r="A125" s="1" t="s">
        <v>369</v>
      </c>
      <c r="B125" s="1" t="s">
        <v>151</v>
      </c>
      <c r="C125" s="1" t="s">
        <v>2921</v>
      </c>
      <c r="H125" s="2">
        <f t="shared" si="2"/>
        <v>0</v>
      </c>
    </row>
    <row r="126" spans="1:8">
      <c r="A126" s="1" t="s">
        <v>369</v>
      </c>
      <c r="B126" s="1" t="s">
        <v>152</v>
      </c>
      <c r="C126" s="1" t="s">
        <v>2921</v>
      </c>
      <c r="H126" s="2">
        <f t="shared" si="2"/>
        <v>0</v>
      </c>
    </row>
    <row r="127" spans="1:8">
      <c r="A127" s="1" t="s">
        <v>369</v>
      </c>
      <c r="B127" s="1" t="s">
        <v>153</v>
      </c>
      <c r="C127" s="1" t="s">
        <v>2921</v>
      </c>
      <c r="H127" s="2">
        <f t="shared" si="2"/>
        <v>0</v>
      </c>
    </row>
    <row r="128" spans="1:8">
      <c r="A128" s="1" t="s">
        <v>369</v>
      </c>
      <c r="B128" s="1" t="s">
        <v>154</v>
      </c>
      <c r="C128" s="1" t="s">
        <v>2921</v>
      </c>
      <c r="H128" s="2">
        <f t="shared" si="2"/>
        <v>0</v>
      </c>
    </row>
    <row r="129" spans="1:8">
      <c r="A129" s="1" t="s">
        <v>369</v>
      </c>
      <c r="B129" s="1" t="s">
        <v>155</v>
      </c>
      <c r="C129" s="1" t="s">
        <v>2921</v>
      </c>
      <c r="H129" s="2">
        <f t="shared" si="2"/>
        <v>0</v>
      </c>
    </row>
    <row r="130" spans="1:8">
      <c r="A130" s="1" t="s">
        <v>369</v>
      </c>
      <c r="B130" s="1" t="s">
        <v>156</v>
      </c>
      <c r="C130" s="1" t="s">
        <v>2921</v>
      </c>
      <c r="H130" s="2">
        <f t="shared" si="2"/>
        <v>0</v>
      </c>
    </row>
    <row r="131" spans="1:8">
      <c r="A131" s="1" t="s">
        <v>369</v>
      </c>
      <c r="B131" s="1" t="s">
        <v>157</v>
      </c>
      <c r="C131" s="1" t="s">
        <v>2921</v>
      </c>
      <c r="H131" s="2">
        <f t="shared" si="2"/>
        <v>0</v>
      </c>
    </row>
    <row r="132" spans="1:8">
      <c r="A132" s="1" t="s">
        <v>369</v>
      </c>
      <c r="B132" s="1" t="s">
        <v>158</v>
      </c>
      <c r="C132" s="1" t="s">
        <v>2921</v>
      </c>
      <c r="H132" s="2">
        <f t="shared" si="2"/>
        <v>0</v>
      </c>
    </row>
    <row r="133" spans="1:8">
      <c r="A133" s="1" t="s">
        <v>369</v>
      </c>
      <c r="B133" s="1" t="s">
        <v>159</v>
      </c>
      <c r="C133" s="1" t="s">
        <v>2921</v>
      </c>
      <c r="H133" s="2">
        <f t="shared" si="2"/>
        <v>0</v>
      </c>
    </row>
    <row r="134" spans="1:8">
      <c r="A134" s="1" t="s">
        <v>369</v>
      </c>
      <c r="B134" s="1" t="s">
        <v>148</v>
      </c>
      <c r="C134" s="1" t="s">
        <v>2905</v>
      </c>
      <c r="H134" s="2">
        <f t="shared" si="2"/>
        <v>0</v>
      </c>
    </row>
    <row r="135" spans="1:8">
      <c r="A135" s="1" t="s">
        <v>369</v>
      </c>
      <c r="B135" s="1" t="s">
        <v>149</v>
      </c>
      <c r="C135" s="1" t="s">
        <v>2905</v>
      </c>
      <c r="H135" s="2">
        <f t="shared" si="2"/>
        <v>0</v>
      </c>
    </row>
    <row r="136" spans="1:8">
      <c r="A136" s="1" t="s">
        <v>369</v>
      </c>
      <c r="B136" s="1" t="s">
        <v>150</v>
      </c>
      <c r="C136" s="1" t="s">
        <v>2905</v>
      </c>
      <c r="H136" s="2">
        <f t="shared" si="2"/>
        <v>0</v>
      </c>
    </row>
    <row r="137" spans="1:8">
      <c r="A137" s="1" t="s">
        <v>369</v>
      </c>
      <c r="B137" s="1" t="s">
        <v>151</v>
      </c>
      <c r="C137" s="1" t="s">
        <v>2905</v>
      </c>
      <c r="H137" s="2">
        <f t="shared" si="2"/>
        <v>0</v>
      </c>
    </row>
    <row r="138" spans="1:8">
      <c r="A138" s="1" t="s">
        <v>369</v>
      </c>
      <c r="B138" s="1" t="s">
        <v>152</v>
      </c>
      <c r="C138" s="1" t="s">
        <v>2905</v>
      </c>
      <c r="H138" s="2">
        <f t="shared" si="2"/>
        <v>0</v>
      </c>
    </row>
    <row r="139" spans="1:8">
      <c r="A139" s="1" t="s">
        <v>369</v>
      </c>
      <c r="B139" s="1" t="s">
        <v>153</v>
      </c>
      <c r="C139" s="1" t="s">
        <v>2905</v>
      </c>
      <c r="H139" s="2">
        <f t="shared" si="2"/>
        <v>0</v>
      </c>
    </row>
    <row r="140" spans="1:8">
      <c r="A140" s="1" t="s">
        <v>369</v>
      </c>
      <c r="B140" s="1" t="s">
        <v>154</v>
      </c>
      <c r="C140" s="1" t="s">
        <v>2905</v>
      </c>
      <c r="H140" s="2">
        <f t="shared" si="2"/>
        <v>0</v>
      </c>
    </row>
    <row r="141" spans="1:8">
      <c r="A141" s="1" t="s">
        <v>369</v>
      </c>
      <c r="B141" s="1" t="s">
        <v>155</v>
      </c>
      <c r="C141" s="1" t="s">
        <v>2905</v>
      </c>
      <c r="H141" s="2">
        <f t="shared" si="2"/>
        <v>0</v>
      </c>
    </row>
    <row r="142" spans="1:8">
      <c r="A142" s="1" t="s">
        <v>369</v>
      </c>
      <c r="B142" s="1" t="s">
        <v>156</v>
      </c>
      <c r="C142" s="1" t="s">
        <v>2905</v>
      </c>
      <c r="H142" s="2">
        <f t="shared" si="2"/>
        <v>0</v>
      </c>
    </row>
    <row r="143" spans="1:8">
      <c r="A143" s="1" t="s">
        <v>369</v>
      </c>
      <c r="B143" s="1" t="s">
        <v>157</v>
      </c>
      <c r="C143" s="1" t="s">
        <v>2905</v>
      </c>
      <c r="H143" s="2">
        <f t="shared" si="2"/>
        <v>0</v>
      </c>
    </row>
    <row r="144" spans="1:8">
      <c r="A144" s="1" t="s">
        <v>369</v>
      </c>
      <c r="B144" s="1" t="s">
        <v>158</v>
      </c>
      <c r="C144" s="1" t="s">
        <v>2905</v>
      </c>
      <c r="H144" s="2">
        <f t="shared" si="2"/>
        <v>0</v>
      </c>
    </row>
    <row r="145" spans="1:8">
      <c r="A145" s="1" t="s">
        <v>369</v>
      </c>
      <c r="B145" s="1" t="s">
        <v>159</v>
      </c>
      <c r="C145" s="1" t="s">
        <v>2905</v>
      </c>
      <c r="H145" s="2">
        <f t="shared" si="2"/>
        <v>0</v>
      </c>
    </row>
    <row r="146" spans="1:8">
      <c r="A146" s="1" t="s">
        <v>369</v>
      </c>
      <c r="B146" s="1" t="s">
        <v>148</v>
      </c>
      <c r="C146" s="1" t="s">
        <v>2940</v>
      </c>
      <c r="H146" s="2">
        <f t="shared" si="2"/>
        <v>0</v>
      </c>
    </row>
    <row r="147" spans="1:8">
      <c r="A147" s="1" t="s">
        <v>369</v>
      </c>
      <c r="B147" s="1" t="s">
        <v>149</v>
      </c>
      <c r="C147" s="1" t="s">
        <v>2940</v>
      </c>
      <c r="H147" s="2">
        <f t="shared" si="2"/>
        <v>0</v>
      </c>
    </row>
    <row r="148" spans="1:8">
      <c r="A148" s="1" t="s">
        <v>369</v>
      </c>
      <c r="B148" s="1" t="s">
        <v>150</v>
      </c>
      <c r="C148" s="1" t="s">
        <v>2940</v>
      </c>
      <c r="H148" s="2">
        <f t="shared" si="2"/>
        <v>0</v>
      </c>
    </row>
    <row r="149" spans="1:8">
      <c r="A149" s="1" t="s">
        <v>369</v>
      </c>
      <c r="B149" s="1" t="s">
        <v>151</v>
      </c>
      <c r="C149" s="1" t="s">
        <v>2940</v>
      </c>
      <c r="H149" s="2">
        <f t="shared" si="2"/>
        <v>0</v>
      </c>
    </row>
    <row r="150" spans="1:8">
      <c r="A150" s="1" t="s">
        <v>369</v>
      </c>
      <c r="B150" s="1" t="s">
        <v>152</v>
      </c>
      <c r="C150" s="1" t="s">
        <v>2940</v>
      </c>
      <c r="H150" s="2">
        <f t="shared" si="2"/>
        <v>0</v>
      </c>
    </row>
    <row r="151" spans="1:8">
      <c r="A151" s="1" t="s">
        <v>369</v>
      </c>
      <c r="B151" s="1" t="s">
        <v>153</v>
      </c>
      <c r="C151" s="1" t="s">
        <v>2940</v>
      </c>
      <c r="H151" s="2">
        <f t="shared" si="2"/>
        <v>0</v>
      </c>
    </row>
    <row r="152" spans="1:8">
      <c r="A152" s="1" t="s">
        <v>369</v>
      </c>
      <c r="B152" s="1" t="s">
        <v>154</v>
      </c>
      <c r="C152" s="1" t="s">
        <v>2940</v>
      </c>
      <c r="H152" s="2">
        <f t="shared" si="2"/>
        <v>0</v>
      </c>
    </row>
    <row r="153" spans="1:8">
      <c r="A153" s="1" t="s">
        <v>369</v>
      </c>
      <c r="B153" s="1" t="s">
        <v>155</v>
      </c>
      <c r="C153" s="1" t="s">
        <v>2940</v>
      </c>
      <c r="H153" s="2">
        <f t="shared" si="2"/>
        <v>0</v>
      </c>
    </row>
    <row r="154" spans="1:8">
      <c r="A154" s="1" t="s">
        <v>369</v>
      </c>
      <c r="B154" s="1" t="s">
        <v>156</v>
      </c>
      <c r="C154" s="1" t="s">
        <v>2940</v>
      </c>
      <c r="H154" s="2">
        <f t="shared" si="2"/>
        <v>0</v>
      </c>
    </row>
    <row r="155" spans="1:8">
      <c r="A155" s="1" t="s">
        <v>369</v>
      </c>
      <c r="B155" s="1" t="s">
        <v>157</v>
      </c>
      <c r="C155" s="1" t="s">
        <v>2940</v>
      </c>
      <c r="H155" s="2">
        <f t="shared" si="2"/>
        <v>0</v>
      </c>
    </row>
    <row r="156" spans="1:8">
      <c r="A156" s="1" t="s">
        <v>369</v>
      </c>
      <c r="B156" s="1" t="s">
        <v>158</v>
      </c>
      <c r="C156" s="1" t="s">
        <v>2940</v>
      </c>
      <c r="H156" s="2">
        <f t="shared" si="2"/>
        <v>0</v>
      </c>
    </row>
    <row r="157" spans="1:8">
      <c r="A157" s="1" t="s">
        <v>369</v>
      </c>
      <c r="B157" s="1" t="s">
        <v>159</v>
      </c>
      <c r="C157" s="1" t="s">
        <v>2940</v>
      </c>
      <c r="H157" s="2">
        <f t="shared" si="2"/>
        <v>0</v>
      </c>
    </row>
    <row r="158" spans="1:8">
      <c r="A158" s="1" t="s">
        <v>369</v>
      </c>
      <c r="B158" s="1" t="s">
        <v>148</v>
      </c>
      <c r="C158" s="1" t="s">
        <v>1901</v>
      </c>
      <c r="H158" s="2">
        <f t="shared" si="2"/>
        <v>0</v>
      </c>
    </row>
    <row r="159" spans="1:8">
      <c r="A159" s="1" t="s">
        <v>369</v>
      </c>
      <c r="B159" s="1" t="s">
        <v>149</v>
      </c>
      <c r="C159" s="1" t="s">
        <v>1901</v>
      </c>
      <c r="H159" s="2">
        <f t="shared" si="2"/>
        <v>0</v>
      </c>
    </row>
    <row r="160" spans="1:8">
      <c r="A160" s="1" t="s">
        <v>369</v>
      </c>
      <c r="B160" s="1" t="s">
        <v>150</v>
      </c>
      <c r="C160" s="1" t="s">
        <v>1901</v>
      </c>
      <c r="D160" s="2">
        <v>0</v>
      </c>
      <c r="F160" s="2">
        <v>36160.77</v>
      </c>
      <c r="G160" s="2">
        <v>0</v>
      </c>
      <c r="H160" s="2">
        <f t="shared" si="2"/>
        <v>36160.77</v>
      </c>
    </row>
    <row r="161" spans="1:8">
      <c r="A161" s="1" t="s">
        <v>369</v>
      </c>
      <c r="B161" s="1" t="s">
        <v>151</v>
      </c>
      <c r="C161" s="1" t="s">
        <v>1901</v>
      </c>
      <c r="H161" s="2">
        <f t="shared" si="2"/>
        <v>0</v>
      </c>
    </row>
    <row r="162" spans="1:8">
      <c r="A162" s="1" t="s">
        <v>369</v>
      </c>
      <c r="B162" s="1" t="s">
        <v>152</v>
      </c>
      <c r="C162" s="1" t="s">
        <v>1901</v>
      </c>
      <c r="H162" s="2">
        <f t="shared" si="2"/>
        <v>0</v>
      </c>
    </row>
    <row r="163" spans="1:8">
      <c r="A163" s="1" t="s">
        <v>369</v>
      </c>
      <c r="B163" s="1" t="s">
        <v>153</v>
      </c>
      <c r="C163" s="1" t="s">
        <v>1901</v>
      </c>
      <c r="H163" s="2">
        <f t="shared" si="2"/>
        <v>0</v>
      </c>
    </row>
    <row r="164" spans="1:8">
      <c r="A164" s="1" t="s">
        <v>369</v>
      </c>
      <c r="B164" s="1" t="s">
        <v>154</v>
      </c>
      <c r="C164" s="1" t="s">
        <v>1901</v>
      </c>
      <c r="H164" s="2">
        <f t="shared" si="2"/>
        <v>0</v>
      </c>
    </row>
    <row r="165" spans="1:8">
      <c r="A165" s="1" t="s">
        <v>369</v>
      </c>
      <c r="B165" s="1" t="s">
        <v>155</v>
      </c>
      <c r="C165" s="1" t="s">
        <v>1901</v>
      </c>
      <c r="H165" s="2">
        <f t="shared" si="2"/>
        <v>0</v>
      </c>
    </row>
    <row r="166" spans="1:8">
      <c r="A166" s="1" t="s">
        <v>369</v>
      </c>
      <c r="B166" s="1" t="s">
        <v>156</v>
      </c>
      <c r="C166" s="1" t="s">
        <v>1901</v>
      </c>
      <c r="H166" s="2">
        <f t="shared" si="2"/>
        <v>0</v>
      </c>
    </row>
    <row r="167" spans="1:8">
      <c r="A167" s="1" t="s">
        <v>369</v>
      </c>
      <c r="B167" s="1" t="s">
        <v>157</v>
      </c>
      <c r="C167" s="1" t="s">
        <v>1901</v>
      </c>
      <c r="H167" s="2">
        <f t="shared" si="2"/>
        <v>0</v>
      </c>
    </row>
    <row r="168" spans="1:8">
      <c r="A168" s="1" t="s">
        <v>369</v>
      </c>
      <c r="B168" s="1" t="s">
        <v>158</v>
      </c>
      <c r="C168" s="1" t="s">
        <v>1901</v>
      </c>
      <c r="H168" s="2">
        <f t="shared" si="2"/>
        <v>0</v>
      </c>
    </row>
    <row r="169" spans="1:8">
      <c r="A169" s="1" t="s">
        <v>369</v>
      </c>
      <c r="B169" s="1" t="s">
        <v>159</v>
      </c>
      <c r="C169" s="1" t="s">
        <v>1901</v>
      </c>
      <c r="H169" s="2">
        <f t="shared" si="2"/>
        <v>0</v>
      </c>
    </row>
    <row r="170" spans="1:8">
      <c r="A170" s="1" t="s">
        <v>369</v>
      </c>
      <c r="B170" s="1" t="s">
        <v>148</v>
      </c>
      <c r="C170" s="1" t="s">
        <v>2926</v>
      </c>
      <c r="D170" s="2">
        <v>0</v>
      </c>
      <c r="G170" s="2">
        <v>447004.93</v>
      </c>
      <c r="H170" s="2">
        <f t="shared" si="2"/>
        <v>447004.93</v>
      </c>
    </row>
    <row r="171" spans="1:8">
      <c r="A171" s="1" t="s">
        <v>369</v>
      </c>
      <c r="B171" s="1" t="s">
        <v>149</v>
      </c>
      <c r="C171" s="1" t="s">
        <v>2926</v>
      </c>
      <c r="D171" s="2">
        <v>0</v>
      </c>
      <c r="G171" s="2">
        <v>989294.45</v>
      </c>
      <c r="H171" s="2">
        <f t="shared" si="2"/>
        <v>989294.45</v>
      </c>
    </row>
    <row r="172" spans="1:8">
      <c r="A172" s="1" t="s">
        <v>369</v>
      </c>
      <c r="B172" s="1" t="s">
        <v>150</v>
      </c>
      <c r="C172" s="1" t="s">
        <v>2926</v>
      </c>
      <c r="D172" s="2">
        <v>0</v>
      </c>
      <c r="G172" s="2">
        <v>1526889.28</v>
      </c>
      <c r="H172" s="2">
        <f t="shared" si="2"/>
        <v>1526889.28</v>
      </c>
    </row>
    <row r="173" spans="1:8">
      <c r="A173" s="1" t="s">
        <v>369</v>
      </c>
      <c r="B173" s="1" t="s">
        <v>151</v>
      </c>
      <c r="C173" s="1" t="s">
        <v>2926</v>
      </c>
      <c r="H173" s="2">
        <f t="shared" si="2"/>
        <v>0</v>
      </c>
    </row>
    <row r="174" spans="1:8">
      <c r="A174" s="1" t="s">
        <v>369</v>
      </c>
      <c r="B174" s="1" t="s">
        <v>152</v>
      </c>
      <c r="C174" s="1" t="s">
        <v>2926</v>
      </c>
      <c r="H174" s="2">
        <f t="shared" si="2"/>
        <v>0</v>
      </c>
    </row>
    <row r="175" spans="1:8">
      <c r="A175" s="1" t="s">
        <v>369</v>
      </c>
      <c r="B175" s="1" t="s">
        <v>153</v>
      </c>
      <c r="C175" s="1" t="s">
        <v>2926</v>
      </c>
      <c r="H175" s="2">
        <f t="shared" si="2"/>
        <v>0</v>
      </c>
    </row>
    <row r="176" spans="1:8">
      <c r="A176" s="1" t="s">
        <v>369</v>
      </c>
      <c r="B176" s="1" t="s">
        <v>154</v>
      </c>
      <c r="C176" s="1" t="s">
        <v>2926</v>
      </c>
      <c r="H176" s="2">
        <f t="shared" si="2"/>
        <v>0</v>
      </c>
    </row>
    <row r="177" spans="1:8">
      <c r="A177" s="1" t="s">
        <v>369</v>
      </c>
      <c r="B177" s="1" t="s">
        <v>155</v>
      </c>
      <c r="C177" s="1" t="s">
        <v>2926</v>
      </c>
      <c r="H177" s="2">
        <f t="shared" si="2"/>
        <v>0</v>
      </c>
    </row>
    <row r="178" spans="1:8">
      <c r="A178" s="1" t="s">
        <v>369</v>
      </c>
      <c r="B178" s="1" t="s">
        <v>156</v>
      </c>
      <c r="C178" s="1" t="s">
        <v>2926</v>
      </c>
      <c r="H178" s="2">
        <f t="shared" si="2"/>
        <v>0</v>
      </c>
    </row>
    <row r="179" spans="1:8">
      <c r="A179" s="1" t="s">
        <v>369</v>
      </c>
      <c r="B179" s="1" t="s">
        <v>157</v>
      </c>
      <c r="C179" s="1" t="s">
        <v>2926</v>
      </c>
      <c r="H179" s="2">
        <f t="shared" si="2"/>
        <v>0</v>
      </c>
    </row>
    <row r="180" spans="1:8">
      <c r="A180" s="1" t="s">
        <v>369</v>
      </c>
      <c r="B180" s="1" t="s">
        <v>158</v>
      </c>
      <c r="C180" s="1" t="s">
        <v>2926</v>
      </c>
      <c r="H180" s="2">
        <f t="shared" si="2"/>
        <v>0</v>
      </c>
    </row>
    <row r="181" spans="1:8">
      <c r="A181" s="1" t="s">
        <v>369</v>
      </c>
      <c r="B181" s="1" t="s">
        <v>159</v>
      </c>
      <c r="C181" s="1" t="s">
        <v>2926</v>
      </c>
      <c r="H181" s="2">
        <f t="shared" si="2"/>
        <v>0</v>
      </c>
    </row>
    <row r="182" spans="1:8">
      <c r="A182" s="1" t="s">
        <v>369</v>
      </c>
      <c r="B182" s="1" t="s">
        <v>148</v>
      </c>
      <c r="C182" s="1" t="s">
        <v>2937</v>
      </c>
      <c r="H182" s="2">
        <f t="shared" si="2"/>
        <v>0</v>
      </c>
    </row>
    <row r="183" spans="1:8">
      <c r="A183" s="1" t="s">
        <v>369</v>
      </c>
      <c r="B183" s="1" t="s">
        <v>149</v>
      </c>
      <c r="C183" s="1" t="s">
        <v>2937</v>
      </c>
      <c r="H183" s="2">
        <f t="shared" si="2"/>
        <v>0</v>
      </c>
    </row>
    <row r="184" spans="1:8">
      <c r="A184" s="1" t="s">
        <v>369</v>
      </c>
      <c r="B184" s="1" t="s">
        <v>150</v>
      </c>
      <c r="C184" s="1" t="s">
        <v>2937</v>
      </c>
      <c r="H184" s="2">
        <f t="shared" si="2"/>
        <v>0</v>
      </c>
    </row>
    <row r="185" spans="1:8">
      <c r="A185" s="1" t="s">
        <v>369</v>
      </c>
      <c r="B185" s="1" t="s">
        <v>151</v>
      </c>
      <c r="C185" s="1" t="s">
        <v>2937</v>
      </c>
      <c r="H185" s="2">
        <f t="shared" si="2"/>
        <v>0</v>
      </c>
    </row>
    <row r="186" spans="1:8">
      <c r="A186" s="1" t="s">
        <v>369</v>
      </c>
      <c r="B186" s="1" t="s">
        <v>152</v>
      </c>
      <c r="C186" s="1" t="s">
        <v>2937</v>
      </c>
      <c r="H186" s="2">
        <f t="shared" si="2"/>
        <v>0</v>
      </c>
    </row>
    <row r="187" spans="1:8">
      <c r="A187" s="1" t="s">
        <v>369</v>
      </c>
      <c r="B187" s="1" t="s">
        <v>153</v>
      </c>
      <c r="C187" s="1" t="s">
        <v>2937</v>
      </c>
      <c r="H187" s="2">
        <f t="shared" si="2"/>
        <v>0</v>
      </c>
    </row>
    <row r="188" spans="1:8">
      <c r="A188" s="1" t="s">
        <v>369</v>
      </c>
      <c r="B188" s="1" t="s">
        <v>154</v>
      </c>
      <c r="C188" s="1" t="s">
        <v>2937</v>
      </c>
      <c r="H188" s="2">
        <f t="shared" ref="H188:H251" si="3">SUM(D188:G188)</f>
        <v>0</v>
      </c>
    </row>
    <row r="189" spans="1:8">
      <c r="A189" s="1" t="s">
        <v>369</v>
      </c>
      <c r="B189" s="1" t="s">
        <v>155</v>
      </c>
      <c r="C189" s="1" t="s">
        <v>2937</v>
      </c>
      <c r="H189" s="2">
        <f t="shared" si="3"/>
        <v>0</v>
      </c>
    </row>
    <row r="190" spans="1:8">
      <c r="A190" s="1" t="s">
        <v>369</v>
      </c>
      <c r="B190" s="1" t="s">
        <v>156</v>
      </c>
      <c r="C190" s="1" t="s">
        <v>2937</v>
      </c>
      <c r="H190" s="2">
        <f t="shared" si="3"/>
        <v>0</v>
      </c>
    </row>
    <row r="191" spans="1:8">
      <c r="A191" s="1" t="s">
        <v>369</v>
      </c>
      <c r="B191" s="1" t="s">
        <v>157</v>
      </c>
      <c r="C191" s="1" t="s">
        <v>2937</v>
      </c>
      <c r="H191" s="2">
        <f t="shared" si="3"/>
        <v>0</v>
      </c>
    </row>
    <row r="192" spans="1:8">
      <c r="A192" s="1" t="s">
        <v>369</v>
      </c>
      <c r="B192" s="1" t="s">
        <v>158</v>
      </c>
      <c r="C192" s="1" t="s">
        <v>2937</v>
      </c>
      <c r="H192" s="2">
        <f t="shared" si="3"/>
        <v>0</v>
      </c>
    </row>
    <row r="193" spans="1:8">
      <c r="A193" s="1" t="s">
        <v>369</v>
      </c>
      <c r="B193" s="1" t="s">
        <v>159</v>
      </c>
      <c r="C193" s="1" t="s">
        <v>2937</v>
      </c>
      <c r="H193" s="2">
        <f t="shared" si="3"/>
        <v>0</v>
      </c>
    </row>
    <row r="194" spans="1:8">
      <c r="A194" s="1" t="s">
        <v>2906</v>
      </c>
      <c r="B194" s="1" t="s">
        <v>148</v>
      </c>
      <c r="C194" s="1" t="s">
        <v>2892</v>
      </c>
      <c r="D194" s="2">
        <v>5435455.72</v>
      </c>
      <c r="F194" s="2">
        <v>6565406.16</v>
      </c>
      <c r="G194" s="2">
        <v>21663.5</v>
      </c>
      <c r="H194" s="2">
        <f t="shared" si="3"/>
        <v>12022525.38</v>
      </c>
    </row>
    <row r="195" spans="1:8">
      <c r="A195" s="1" t="s">
        <v>2906</v>
      </c>
      <c r="B195" s="1" t="s">
        <v>149</v>
      </c>
      <c r="C195" s="1" t="s">
        <v>2892</v>
      </c>
      <c r="D195" s="2">
        <v>8194987.7</v>
      </c>
      <c r="F195" s="2">
        <v>3877943.7</v>
      </c>
      <c r="G195" s="2">
        <v>238.92</v>
      </c>
      <c r="H195" s="2">
        <f t="shared" si="3"/>
        <v>12073170.32</v>
      </c>
    </row>
    <row r="196" spans="1:8">
      <c r="A196" s="1" t="s">
        <v>2906</v>
      </c>
      <c r="B196" s="1" t="s">
        <v>150</v>
      </c>
      <c r="C196" s="1" t="s">
        <v>2892</v>
      </c>
      <c r="D196" s="2">
        <v>5892442</v>
      </c>
      <c r="F196" s="2">
        <v>13883412.95</v>
      </c>
      <c r="H196" s="2">
        <f t="shared" si="3"/>
        <v>19775854.95</v>
      </c>
    </row>
    <row r="197" spans="1:8">
      <c r="A197" s="1" t="s">
        <v>2906</v>
      </c>
      <c r="B197" s="1" t="s">
        <v>151</v>
      </c>
      <c r="C197" s="1" t="s">
        <v>2892</v>
      </c>
      <c r="H197" s="2">
        <f t="shared" si="3"/>
        <v>0</v>
      </c>
    </row>
    <row r="198" spans="1:8">
      <c r="A198" s="1" t="s">
        <v>2906</v>
      </c>
      <c r="B198" s="1" t="s">
        <v>152</v>
      </c>
      <c r="C198" s="1" t="s">
        <v>2892</v>
      </c>
      <c r="H198" s="2">
        <f t="shared" si="3"/>
        <v>0</v>
      </c>
    </row>
    <row r="199" spans="1:8">
      <c r="A199" s="1" t="s">
        <v>2906</v>
      </c>
      <c r="B199" s="1" t="s">
        <v>153</v>
      </c>
      <c r="C199" s="1" t="s">
        <v>2892</v>
      </c>
      <c r="H199" s="2">
        <f t="shared" si="3"/>
        <v>0</v>
      </c>
    </row>
    <row r="200" spans="1:8">
      <c r="A200" s="1" t="s">
        <v>2906</v>
      </c>
      <c r="B200" s="1" t="s">
        <v>154</v>
      </c>
      <c r="C200" s="1" t="s">
        <v>2892</v>
      </c>
      <c r="H200" s="2">
        <f t="shared" si="3"/>
        <v>0</v>
      </c>
    </row>
    <row r="201" spans="1:8">
      <c r="A201" s="1" t="s">
        <v>2906</v>
      </c>
      <c r="B201" s="1" t="s">
        <v>155</v>
      </c>
      <c r="C201" s="1" t="s">
        <v>2892</v>
      </c>
      <c r="H201" s="2">
        <f t="shared" si="3"/>
        <v>0</v>
      </c>
    </row>
    <row r="202" spans="1:8">
      <c r="A202" s="1" t="s">
        <v>2906</v>
      </c>
      <c r="B202" s="1" t="s">
        <v>156</v>
      </c>
      <c r="C202" s="1" t="s">
        <v>2892</v>
      </c>
      <c r="H202" s="2">
        <f t="shared" si="3"/>
        <v>0</v>
      </c>
    </row>
    <row r="203" spans="1:8">
      <c r="A203" s="1" t="s">
        <v>2906</v>
      </c>
      <c r="B203" s="1" t="s">
        <v>157</v>
      </c>
      <c r="C203" s="1" t="s">
        <v>2892</v>
      </c>
      <c r="H203" s="2">
        <f t="shared" si="3"/>
        <v>0</v>
      </c>
    </row>
    <row r="204" spans="1:8">
      <c r="A204" s="1" t="s">
        <v>2906</v>
      </c>
      <c r="B204" s="1" t="s">
        <v>158</v>
      </c>
      <c r="C204" s="1" t="s">
        <v>2892</v>
      </c>
      <c r="H204" s="2">
        <f t="shared" si="3"/>
        <v>0</v>
      </c>
    </row>
    <row r="205" spans="1:8">
      <c r="A205" s="1" t="s">
        <v>2906</v>
      </c>
      <c r="B205" s="1" t="s">
        <v>159</v>
      </c>
      <c r="C205" s="1" t="s">
        <v>2892</v>
      </c>
      <c r="H205" s="2">
        <f t="shared" si="3"/>
        <v>0</v>
      </c>
    </row>
    <row r="206" spans="1:8">
      <c r="A206" s="1" t="s">
        <v>2906</v>
      </c>
      <c r="B206" s="1" t="s">
        <v>148</v>
      </c>
      <c r="C206" s="1" t="s">
        <v>2899</v>
      </c>
      <c r="D206" s="2">
        <v>5151881.44</v>
      </c>
      <c r="F206" s="2">
        <v>6393191.373</v>
      </c>
      <c r="G206" s="2">
        <v>21656.5</v>
      </c>
      <c r="H206" s="2">
        <f t="shared" si="3"/>
        <v>11566729.313</v>
      </c>
    </row>
    <row r="207" spans="1:8">
      <c r="A207" s="1" t="s">
        <v>2906</v>
      </c>
      <c r="B207" s="1" t="s">
        <v>149</v>
      </c>
      <c r="C207" s="1" t="s">
        <v>2899</v>
      </c>
      <c r="D207" s="2">
        <v>7987061.15</v>
      </c>
      <c r="F207" s="2">
        <v>3776174.97</v>
      </c>
      <c r="G207" s="2">
        <v>201</v>
      </c>
      <c r="H207" s="2">
        <f t="shared" si="3"/>
        <v>11763437.12</v>
      </c>
    </row>
    <row r="208" spans="1:8">
      <c r="A208" s="1" t="s">
        <v>2906</v>
      </c>
      <c r="B208" s="1" t="s">
        <v>150</v>
      </c>
      <c r="C208" s="1" t="s">
        <v>2899</v>
      </c>
      <c r="D208" s="2">
        <v>5656517.9422</v>
      </c>
      <c r="F208" s="2">
        <v>13749207.5836</v>
      </c>
      <c r="H208" s="2">
        <f t="shared" si="3"/>
        <v>19405725.5258</v>
      </c>
    </row>
    <row r="209" spans="1:8">
      <c r="A209" s="1" t="s">
        <v>2906</v>
      </c>
      <c r="B209" s="1" t="s">
        <v>151</v>
      </c>
      <c r="C209" s="1" t="s">
        <v>2899</v>
      </c>
      <c r="H209" s="2">
        <f t="shared" si="3"/>
        <v>0</v>
      </c>
    </row>
    <row r="210" spans="1:8">
      <c r="A210" s="1" t="s">
        <v>2906</v>
      </c>
      <c r="B210" s="1" t="s">
        <v>152</v>
      </c>
      <c r="C210" s="1" t="s">
        <v>2899</v>
      </c>
      <c r="H210" s="2">
        <f t="shared" si="3"/>
        <v>0</v>
      </c>
    </row>
    <row r="211" spans="1:8">
      <c r="A211" s="1" t="s">
        <v>2906</v>
      </c>
      <c r="B211" s="1" t="s">
        <v>153</v>
      </c>
      <c r="C211" s="1" t="s">
        <v>2899</v>
      </c>
      <c r="H211" s="2">
        <f t="shared" si="3"/>
        <v>0</v>
      </c>
    </row>
    <row r="212" spans="1:8">
      <c r="A212" s="1" t="s">
        <v>2906</v>
      </c>
      <c r="B212" s="1" t="s">
        <v>154</v>
      </c>
      <c r="C212" s="1" t="s">
        <v>2899</v>
      </c>
      <c r="H212" s="2">
        <f t="shared" si="3"/>
        <v>0</v>
      </c>
    </row>
    <row r="213" spans="1:8">
      <c r="A213" s="1" t="s">
        <v>2906</v>
      </c>
      <c r="B213" s="1" t="s">
        <v>155</v>
      </c>
      <c r="C213" s="1" t="s">
        <v>2899</v>
      </c>
      <c r="H213" s="2">
        <f t="shared" si="3"/>
        <v>0</v>
      </c>
    </row>
    <row r="214" spans="1:8">
      <c r="A214" s="1" t="s">
        <v>2906</v>
      </c>
      <c r="B214" s="1" t="s">
        <v>156</v>
      </c>
      <c r="C214" s="1" t="s">
        <v>2899</v>
      </c>
      <c r="H214" s="2">
        <f t="shared" si="3"/>
        <v>0</v>
      </c>
    </row>
    <row r="215" spans="1:8">
      <c r="A215" s="1" t="s">
        <v>2906</v>
      </c>
      <c r="B215" s="1" t="s">
        <v>157</v>
      </c>
      <c r="C215" s="1" t="s">
        <v>2899</v>
      </c>
      <c r="H215" s="2">
        <f t="shared" si="3"/>
        <v>0</v>
      </c>
    </row>
    <row r="216" spans="1:8">
      <c r="A216" s="1" t="s">
        <v>2906</v>
      </c>
      <c r="B216" s="1" t="s">
        <v>158</v>
      </c>
      <c r="C216" s="1" t="s">
        <v>2899</v>
      </c>
      <c r="H216" s="2">
        <f t="shared" si="3"/>
        <v>0</v>
      </c>
    </row>
    <row r="217" spans="1:8">
      <c r="A217" s="1" t="s">
        <v>2906</v>
      </c>
      <c r="B217" s="1" t="s">
        <v>159</v>
      </c>
      <c r="C217" s="1" t="s">
        <v>2899</v>
      </c>
      <c r="H217" s="2">
        <f t="shared" si="3"/>
        <v>0</v>
      </c>
    </row>
    <row r="218" spans="1:8">
      <c r="A218" s="1" t="s">
        <v>2906</v>
      </c>
      <c r="B218" s="1" t="s">
        <v>148</v>
      </c>
      <c r="C218" s="1" t="s">
        <v>2896</v>
      </c>
      <c r="D218" s="2">
        <v>396060.36</v>
      </c>
      <c r="F218" s="2">
        <v>976.41</v>
      </c>
      <c r="G218" s="2">
        <v>0</v>
      </c>
      <c r="H218" s="2">
        <f t="shared" si="3"/>
        <v>397036.77</v>
      </c>
    </row>
    <row r="219" spans="1:8">
      <c r="A219" s="1" t="s">
        <v>2906</v>
      </c>
      <c r="B219" s="1" t="s">
        <v>149</v>
      </c>
      <c r="C219" s="1" t="s">
        <v>2896</v>
      </c>
      <c r="D219" s="2">
        <v>0</v>
      </c>
      <c r="F219" s="2">
        <v>89.63</v>
      </c>
      <c r="G219" s="2">
        <v>0</v>
      </c>
      <c r="H219" s="2">
        <f t="shared" si="3"/>
        <v>89.63</v>
      </c>
    </row>
    <row r="220" spans="1:8">
      <c r="A220" s="1" t="s">
        <v>2906</v>
      </c>
      <c r="B220" s="1" t="s">
        <v>150</v>
      </c>
      <c r="C220" s="1" t="s">
        <v>2896</v>
      </c>
      <c r="D220" s="2">
        <v>0</v>
      </c>
      <c r="F220" s="2">
        <v>87481.08</v>
      </c>
      <c r="G220" s="2">
        <v>0</v>
      </c>
      <c r="H220" s="2">
        <f t="shared" si="3"/>
        <v>87481.08</v>
      </c>
    </row>
    <row r="221" spans="1:8">
      <c r="A221" s="1" t="s">
        <v>2906</v>
      </c>
      <c r="B221" s="1" t="s">
        <v>151</v>
      </c>
      <c r="C221" s="1" t="s">
        <v>2896</v>
      </c>
      <c r="H221" s="2">
        <f t="shared" si="3"/>
        <v>0</v>
      </c>
    </row>
    <row r="222" spans="1:8">
      <c r="A222" s="1" t="s">
        <v>2906</v>
      </c>
      <c r="B222" s="1" t="s">
        <v>152</v>
      </c>
      <c r="C222" s="1" t="s">
        <v>2896</v>
      </c>
      <c r="H222" s="2">
        <f t="shared" si="3"/>
        <v>0</v>
      </c>
    </row>
    <row r="223" spans="1:8">
      <c r="A223" s="1" t="s">
        <v>2906</v>
      </c>
      <c r="B223" s="1" t="s">
        <v>153</v>
      </c>
      <c r="C223" s="1" t="s">
        <v>2896</v>
      </c>
      <c r="H223" s="2">
        <f t="shared" si="3"/>
        <v>0</v>
      </c>
    </row>
    <row r="224" spans="1:8">
      <c r="A224" s="1" t="s">
        <v>2906</v>
      </c>
      <c r="B224" s="1" t="s">
        <v>154</v>
      </c>
      <c r="C224" s="1" t="s">
        <v>2896</v>
      </c>
      <c r="H224" s="2">
        <f t="shared" si="3"/>
        <v>0</v>
      </c>
    </row>
    <row r="225" spans="1:8">
      <c r="A225" s="1" t="s">
        <v>2906</v>
      </c>
      <c r="B225" s="1" t="s">
        <v>155</v>
      </c>
      <c r="C225" s="1" t="s">
        <v>2896</v>
      </c>
      <c r="H225" s="2">
        <f t="shared" si="3"/>
        <v>0</v>
      </c>
    </row>
    <row r="226" spans="1:8">
      <c r="A226" s="1" t="s">
        <v>2906</v>
      </c>
      <c r="B226" s="1" t="s">
        <v>156</v>
      </c>
      <c r="C226" s="1" t="s">
        <v>2896</v>
      </c>
      <c r="H226" s="2">
        <f t="shared" si="3"/>
        <v>0</v>
      </c>
    </row>
    <row r="227" spans="1:8">
      <c r="A227" s="1" t="s">
        <v>2906</v>
      </c>
      <c r="B227" s="1" t="s">
        <v>157</v>
      </c>
      <c r="C227" s="1" t="s">
        <v>2896</v>
      </c>
      <c r="H227" s="2">
        <f t="shared" si="3"/>
        <v>0</v>
      </c>
    </row>
    <row r="228" spans="1:8">
      <c r="A228" s="1" t="s">
        <v>2906</v>
      </c>
      <c r="B228" s="1" t="s">
        <v>158</v>
      </c>
      <c r="C228" s="1" t="s">
        <v>2896</v>
      </c>
      <c r="H228" s="2">
        <f t="shared" si="3"/>
        <v>0</v>
      </c>
    </row>
    <row r="229" spans="1:8">
      <c r="A229" s="1" t="s">
        <v>2906</v>
      </c>
      <c r="B229" s="1" t="s">
        <v>159</v>
      </c>
      <c r="C229" s="1" t="s">
        <v>2896</v>
      </c>
      <c r="H229" s="2">
        <f t="shared" si="3"/>
        <v>0</v>
      </c>
    </row>
    <row r="230" spans="1:8">
      <c r="A230" s="1" t="s">
        <v>2906</v>
      </c>
      <c r="B230" s="1" t="s">
        <v>148</v>
      </c>
      <c r="C230" s="1" t="s">
        <v>2893</v>
      </c>
      <c r="D230" s="2">
        <v>384178.57</v>
      </c>
      <c r="F230" s="2">
        <v>976.41</v>
      </c>
      <c r="G230" s="2">
        <v>0</v>
      </c>
      <c r="H230" s="2">
        <f t="shared" si="3"/>
        <v>385154.98</v>
      </c>
    </row>
    <row r="231" spans="1:8">
      <c r="A231" s="1" t="s">
        <v>2906</v>
      </c>
      <c r="B231" s="1" t="s">
        <v>149</v>
      </c>
      <c r="C231" s="1" t="s">
        <v>2893</v>
      </c>
      <c r="D231" s="2">
        <v>0</v>
      </c>
      <c r="F231" s="2">
        <v>89.63</v>
      </c>
      <c r="G231" s="2">
        <v>0</v>
      </c>
      <c r="H231" s="2">
        <f t="shared" si="3"/>
        <v>89.63</v>
      </c>
    </row>
    <row r="232" spans="1:8">
      <c r="A232" s="1" t="s">
        <v>2906</v>
      </c>
      <c r="B232" s="1" t="s">
        <v>150</v>
      </c>
      <c r="C232" s="1" t="s">
        <v>2893</v>
      </c>
      <c r="D232" s="2">
        <v>0</v>
      </c>
      <c r="F232" s="2">
        <v>87481.08</v>
      </c>
      <c r="G232" s="2">
        <v>0</v>
      </c>
      <c r="H232" s="2">
        <f t="shared" si="3"/>
        <v>87481.08</v>
      </c>
    </row>
    <row r="233" spans="1:8">
      <c r="A233" s="1" t="s">
        <v>2906</v>
      </c>
      <c r="B233" s="1" t="s">
        <v>151</v>
      </c>
      <c r="C233" s="1" t="s">
        <v>2893</v>
      </c>
      <c r="H233" s="2">
        <f t="shared" si="3"/>
        <v>0</v>
      </c>
    </row>
    <row r="234" spans="1:8">
      <c r="A234" s="1" t="s">
        <v>2906</v>
      </c>
      <c r="B234" s="1" t="s">
        <v>152</v>
      </c>
      <c r="C234" s="1" t="s">
        <v>2893</v>
      </c>
      <c r="H234" s="2">
        <f t="shared" si="3"/>
        <v>0</v>
      </c>
    </row>
    <row r="235" spans="1:8">
      <c r="A235" s="1" t="s">
        <v>2906</v>
      </c>
      <c r="B235" s="1" t="s">
        <v>153</v>
      </c>
      <c r="C235" s="1" t="s">
        <v>2893</v>
      </c>
      <c r="H235" s="2">
        <f t="shared" si="3"/>
        <v>0</v>
      </c>
    </row>
    <row r="236" spans="1:8">
      <c r="A236" s="1" t="s">
        <v>2906</v>
      </c>
      <c r="B236" s="1" t="s">
        <v>154</v>
      </c>
      <c r="C236" s="1" t="s">
        <v>2893</v>
      </c>
      <c r="H236" s="2">
        <f t="shared" si="3"/>
        <v>0</v>
      </c>
    </row>
    <row r="237" spans="1:8">
      <c r="A237" s="1" t="s">
        <v>2906</v>
      </c>
      <c r="B237" s="1" t="s">
        <v>155</v>
      </c>
      <c r="C237" s="1" t="s">
        <v>2893</v>
      </c>
      <c r="H237" s="2">
        <f t="shared" si="3"/>
        <v>0</v>
      </c>
    </row>
    <row r="238" spans="1:8">
      <c r="A238" s="1" t="s">
        <v>2906</v>
      </c>
      <c r="B238" s="1" t="s">
        <v>156</v>
      </c>
      <c r="C238" s="1" t="s">
        <v>2893</v>
      </c>
      <c r="H238" s="2">
        <f t="shared" si="3"/>
        <v>0</v>
      </c>
    </row>
    <row r="239" spans="1:8">
      <c r="A239" s="1" t="s">
        <v>2906</v>
      </c>
      <c r="B239" s="1" t="s">
        <v>157</v>
      </c>
      <c r="C239" s="1" t="s">
        <v>2893</v>
      </c>
      <c r="H239" s="2">
        <f t="shared" si="3"/>
        <v>0</v>
      </c>
    </row>
    <row r="240" spans="1:8">
      <c r="A240" s="1" t="s">
        <v>2906</v>
      </c>
      <c r="B240" s="1" t="s">
        <v>158</v>
      </c>
      <c r="C240" s="1" t="s">
        <v>2893</v>
      </c>
      <c r="H240" s="2">
        <f t="shared" si="3"/>
        <v>0</v>
      </c>
    </row>
    <row r="241" spans="1:8">
      <c r="A241" s="1" t="s">
        <v>2906</v>
      </c>
      <c r="B241" s="1" t="s">
        <v>159</v>
      </c>
      <c r="C241" s="1" t="s">
        <v>2893</v>
      </c>
      <c r="H241" s="2">
        <f t="shared" si="3"/>
        <v>0</v>
      </c>
    </row>
    <row r="242" spans="1:8">
      <c r="A242" s="1" t="s">
        <v>2906</v>
      </c>
      <c r="B242" s="1" t="s">
        <v>148</v>
      </c>
      <c r="C242" s="1" t="s">
        <v>2902</v>
      </c>
      <c r="D242" s="2">
        <v>231.01</v>
      </c>
      <c r="G242" s="2">
        <v>0</v>
      </c>
      <c r="H242" s="2">
        <f t="shared" si="3"/>
        <v>231.01</v>
      </c>
    </row>
    <row r="243" spans="1:8">
      <c r="A243" s="1" t="s">
        <v>2906</v>
      </c>
      <c r="B243" s="1" t="s">
        <v>149</v>
      </c>
      <c r="C243" s="1" t="s">
        <v>2902</v>
      </c>
      <c r="D243" s="2">
        <v>220.47</v>
      </c>
      <c r="G243" s="2">
        <v>0</v>
      </c>
      <c r="H243" s="2">
        <f t="shared" si="3"/>
        <v>220.47</v>
      </c>
    </row>
    <row r="244" spans="1:8">
      <c r="A244" s="1" t="s">
        <v>2906</v>
      </c>
      <c r="B244" s="1" t="s">
        <v>150</v>
      </c>
      <c r="C244" s="1" t="s">
        <v>2902</v>
      </c>
      <c r="D244" s="2">
        <v>173.88</v>
      </c>
      <c r="G244" s="2">
        <v>0</v>
      </c>
      <c r="H244" s="2">
        <f t="shared" si="3"/>
        <v>173.88</v>
      </c>
    </row>
    <row r="245" spans="1:8">
      <c r="A245" s="1" t="s">
        <v>2906</v>
      </c>
      <c r="B245" s="1" t="s">
        <v>151</v>
      </c>
      <c r="C245" s="1" t="s">
        <v>2902</v>
      </c>
      <c r="H245" s="2">
        <f t="shared" si="3"/>
        <v>0</v>
      </c>
    </row>
    <row r="246" spans="1:8">
      <c r="A246" s="1" t="s">
        <v>2906</v>
      </c>
      <c r="B246" s="1" t="s">
        <v>152</v>
      </c>
      <c r="C246" s="1" t="s">
        <v>2902</v>
      </c>
      <c r="H246" s="2">
        <f t="shared" si="3"/>
        <v>0</v>
      </c>
    </row>
    <row r="247" spans="1:8">
      <c r="A247" s="1" t="s">
        <v>2906</v>
      </c>
      <c r="B247" s="1" t="s">
        <v>153</v>
      </c>
      <c r="C247" s="1" t="s">
        <v>2902</v>
      </c>
      <c r="H247" s="2">
        <f t="shared" si="3"/>
        <v>0</v>
      </c>
    </row>
    <row r="248" spans="1:8">
      <c r="A248" s="1" t="s">
        <v>2906</v>
      </c>
      <c r="B248" s="1" t="s">
        <v>154</v>
      </c>
      <c r="C248" s="1" t="s">
        <v>2902</v>
      </c>
      <c r="H248" s="2">
        <f t="shared" si="3"/>
        <v>0</v>
      </c>
    </row>
    <row r="249" spans="1:8">
      <c r="A249" s="1" t="s">
        <v>2906</v>
      </c>
      <c r="B249" s="1" t="s">
        <v>155</v>
      </c>
      <c r="C249" s="1" t="s">
        <v>2902</v>
      </c>
      <c r="H249" s="2">
        <f t="shared" si="3"/>
        <v>0</v>
      </c>
    </row>
    <row r="250" spans="1:8">
      <c r="A250" s="1" t="s">
        <v>2906</v>
      </c>
      <c r="B250" s="1" t="s">
        <v>156</v>
      </c>
      <c r="C250" s="1" t="s">
        <v>2902</v>
      </c>
      <c r="H250" s="2">
        <f t="shared" si="3"/>
        <v>0</v>
      </c>
    </row>
    <row r="251" spans="1:8">
      <c r="A251" s="1" t="s">
        <v>2906</v>
      </c>
      <c r="B251" s="1" t="s">
        <v>157</v>
      </c>
      <c r="C251" s="1" t="s">
        <v>2902</v>
      </c>
      <c r="H251" s="2">
        <f t="shared" si="3"/>
        <v>0</v>
      </c>
    </row>
    <row r="252" spans="1:8">
      <c r="A252" s="1" t="s">
        <v>2906</v>
      </c>
      <c r="B252" s="1" t="s">
        <v>158</v>
      </c>
      <c r="C252" s="1" t="s">
        <v>2902</v>
      </c>
      <c r="H252" s="2">
        <f t="shared" ref="H252:H315" si="4">SUM(D252:G252)</f>
        <v>0</v>
      </c>
    </row>
    <row r="253" spans="1:8">
      <c r="A253" s="1" t="s">
        <v>2906</v>
      </c>
      <c r="B253" s="1" t="s">
        <v>159</v>
      </c>
      <c r="C253" s="1" t="s">
        <v>2902</v>
      </c>
      <c r="H253" s="2">
        <f t="shared" si="4"/>
        <v>0</v>
      </c>
    </row>
    <row r="254" spans="1:8">
      <c r="A254" s="1" t="s">
        <v>2906</v>
      </c>
      <c r="B254" s="1" t="s">
        <v>148</v>
      </c>
      <c r="C254" s="1" t="s">
        <v>2900</v>
      </c>
      <c r="H254" s="2">
        <f t="shared" si="4"/>
        <v>0</v>
      </c>
    </row>
    <row r="255" spans="1:8">
      <c r="A255" s="1" t="s">
        <v>2906</v>
      </c>
      <c r="B255" s="1" t="s">
        <v>149</v>
      </c>
      <c r="C255" s="1" t="s">
        <v>2900</v>
      </c>
      <c r="H255" s="2">
        <f t="shared" si="4"/>
        <v>0</v>
      </c>
    </row>
    <row r="256" spans="1:8">
      <c r="A256" s="1" t="s">
        <v>2906</v>
      </c>
      <c r="B256" s="1" t="s">
        <v>150</v>
      </c>
      <c r="C256" s="1" t="s">
        <v>2900</v>
      </c>
      <c r="H256" s="2">
        <f t="shared" si="4"/>
        <v>0</v>
      </c>
    </row>
    <row r="257" spans="1:8">
      <c r="A257" s="1" t="s">
        <v>2906</v>
      </c>
      <c r="B257" s="1" t="s">
        <v>151</v>
      </c>
      <c r="C257" s="1" t="s">
        <v>2900</v>
      </c>
      <c r="H257" s="2">
        <f t="shared" si="4"/>
        <v>0</v>
      </c>
    </row>
    <row r="258" spans="1:8">
      <c r="A258" s="1" t="s">
        <v>2906</v>
      </c>
      <c r="B258" s="1" t="s">
        <v>152</v>
      </c>
      <c r="C258" s="1" t="s">
        <v>2900</v>
      </c>
      <c r="H258" s="2">
        <f t="shared" si="4"/>
        <v>0</v>
      </c>
    </row>
    <row r="259" spans="1:8">
      <c r="A259" s="1" t="s">
        <v>2906</v>
      </c>
      <c r="B259" s="1" t="s">
        <v>153</v>
      </c>
      <c r="C259" s="1" t="s">
        <v>2900</v>
      </c>
      <c r="H259" s="2">
        <f t="shared" si="4"/>
        <v>0</v>
      </c>
    </row>
    <row r="260" spans="1:8">
      <c r="A260" s="1" t="s">
        <v>2906</v>
      </c>
      <c r="B260" s="1" t="s">
        <v>154</v>
      </c>
      <c r="C260" s="1" t="s">
        <v>2900</v>
      </c>
      <c r="H260" s="2">
        <f t="shared" si="4"/>
        <v>0</v>
      </c>
    </row>
    <row r="261" spans="1:8">
      <c r="A261" s="1" t="s">
        <v>2906</v>
      </c>
      <c r="B261" s="1" t="s">
        <v>155</v>
      </c>
      <c r="C261" s="1" t="s">
        <v>2900</v>
      </c>
      <c r="H261" s="2">
        <f t="shared" si="4"/>
        <v>0</v>
      </c>
    </row>
    <row r="262" spans="1:8">
      <c r="A262" s="1" t="s">
        <v>2906</v>
      </c>
      <c r="B262" s="1" t="s">
        <v>156</v>
      </c>
      <c r="C262" s="1" t="s">
        <v>2900</v>
      </c>
      <c r="H262" s="2">
        <f t="shared" si="4"/>
        <v>0</v>
      </c>
    </row>
    <row r="263" spans="1:8">
      <c r="A263" s="1" t="s">
        <v>2906</v>
      </c>
      <c r="B263" s="1" t="s">
        <v>157</v>
      </c>
      <c r="C263" s="1" t="s">
        <v>2900</v>
      </c>
      <c r="H263" s="2">
        <f t="shared" si="4"/>
        <v>0</v>
      </c>
    </row>
    <row r="264" spans="1:8">
      <c r="A264" s="1" t="s">
        <v>2906</v>
      </c>
      <c r="B264" s="1" t="s">
        <v>158</v>
      </c>
      <c r="C264" s="1" t="s">
        <v>2900</v>
      </c>
      <c r="H264" s="2">
        <f t="shared" si="4"/>
        <v>0</v>
      </c>
    </row>
    <row r="265" spans="1:8">
      <c r="A265" s="1" t="s">
        <v>2906</v>
      </c>
      <c r="B265" s="1" t="s">
        <v>159</v>
      </c>
      <c r="C265" s="1" t="s">
        <v>2900</v>
      </c>
      <c r="H265" s="2">
        <f t="shared" si="4"/>
        <v>0</v>
      </c>
    </row>
    <row r="266" spans="1:8">
      <c r="A266" s="1" t="s">
        <v>2906</v>
      </c>
      <c r="B266" s="1" t="s">
        <v>148</v>
      </c>
      <c r="C266" s="1" t="s">
        <v>2931</v>
      </c>
      <c r="D266" s="2">
        <v>0</v>
      </c>
      <c r="F266" s="2">
        <v>329860.63</v>
      </c>
      <c r="G266" s="2">
        <v>0</v>
      </c>
      <c r="H266" s="2">
        <f t="shared" si="4"/>
        <v>329860.63</v>
      </c>
    </row>
    <row r="267" spans="1:8">
      <c r="A267" s="1" t="s">
        <v>2906</v>
      </c>
      <c r="B267" s="1" t="s">
        <v>149</v>
      </c>
      <c r="C267" s="1" t="s">
        <v>2931</v>
      </c>
      <c r="D267" s="2">
        <v>0</v>
      </c>
      <c r="F267" s="2">
        <v>1376976.78</v>
      </c>
      <c r="G267" s="2">
        <v>0</v>
      </c>
      <c r="H267" s="2">
        <f t="shared" si="4"/>
        <v>1376976.78</v>
      </c>
    </row>
    <row r="268" spans="1:8">
      <c r="A268" s="1" t="s">
        <v>2906</v>
      </c>
      <c r="B268" s="1" t="s">
        <v>150</v>
      </c>
      <c r="C268" s="1" t="s">
        <v>2931</v>
      </c>
      <c r="D268" s="2">
        <v>0</v>
      </c>
      <c r="F268" s="2">
        <v>316292.85</v>
      </c>
      <c r="G268" s="2">
        <v>0</v>
      </c>
      <c r="H268" s="2">
        <f t="shared" si="4"/>
        <v>316292.85</v>
      </c>
    </row>
    <row r="269" spans="1:8">
      <c r="A269" s="1" t="s">
        <v>2906</v>
      </c>
      <c r="B269" s="1" t="s">
        <v>151</v>
      </c>
      <c r="C269" s="1" t="s">
        <v>2931</v>
      </c>
      <c r="H269" s="2">
        <f t="shared" si="4"/>
        <v>0</v>
      </c>
    </row>
    <row r="270" spans="1:8">
      <c r="A270" s="1" t="s">
        <v>2906</v>
      </c>
      <c r="B270" s="1" t="s">
        <v>152</v>
      </c>
      <c r="C270" s="1" t="s">
        <v>2931</v>
      </c>
      <c r="H270" s="2">
        <f t="shared" si="4"/>
        <v>0</v>
      </c>
    </row>
    <row r="271" spans="1:8">
      <c r="A271" s="1" t="s">
        <v>2906</v>
      </c>
      <c r="B271" s="1" t="s">
        <v>153</v>
      </c>
      <c r="C271" s="1" t="s">
        <v>2931</v>
      </c>
      <c r="H271" s="2">
        <f t="shared" si="4"/>
        <v>0</v>
      </c>
    </row>
    <row r="272" spans="1:8">
      <c r="A272" s="1" t="s">
        <v>2906</v>
      </c>
      <c r="B272" s="1" t="s">
        <v>154</v>
      </c>
      <c r="C272" s="1" t="s">
        <v>2931</v>
      </c>
      <c r="H272" s="2">
        <f t="shared" si="4"/>
        <v>0</v>
      </c>
    </row>
    <row r="273" spans="1:8">
      <c r="A273" s="1" t="s">
        <v>2906</v>
      </c>
      <c r="B273" s="1" t="s">
        <v>155</v>
      </c>
      <c r="C273" s="1" t="s">
        <v>2931</v>
      </c>
      <c r="H273" s="2">
        <f t="shared" si="4"/>
        <v>0</v>
      </c>
    </row>
    <row r="274" spans="1:8">
      <c r="A274" s="1" t="s">
        <v>2906</v>
      </c>
      <c r="B274" s="1" t="s">
        <v>156</v>
      </c>
      <c r="C274" s="1" t="s">
        <v>2931</v>
      </c>
      <c r="H274" s="2">
        <f t="shared" si="4"/>
        <v>0</v>
      </c>
    </row>
    <row r="275" spans="1:8">
      <c r="A275" s="1" t="s">
        <v>2906</v>
      </c>
      <c r="B275" s="1" t="s">
        <v>157</v>
      </c>
      <c r="C275" s="1" t="s">
        <v>2931</v>
      </c>
      <c r="H275" s="2">
        <f t="shared" si="4"/>
        <v>0</v>
      </c>
    </row>
    <row r="276" spans="1:8">
      <c r="A276" s="1" t="s">
        <v>2906</v>
      </c>
      <c r="B276" s="1" t="s">
        <v>158</v>
      </c>
      <c r="C276" s="1" t="s">
        <v>2931</v>
      </c>
      <c r="H276" s="2">
        <f t="shared" si="4"/>
        <v>0</v>
      </c>
    </row>
    <row r="277" spans="1:8">
      <c r="A277" s="1" t="s">
        <v>2906</v>
      </c>
      <c r="B277" s="1" t="s">
        <v>159</v>
      </c>
      <c r="C277" s="1" t="s">
        <v>2931</v>
      </c>
      <c r="H277" s="2">
        <f t="shared" si="4"/>
        <v>0</v>
      </c>
    </row>
    <row r="278" spans="1:8">
      <c r="A278" s="1" t="s">
        <v>2906</v>
      </c>
      <c r="B278" s="1" t="s">
        <v>148</v>
      </c>
      <c r="C278" s="1" t="s">
        <v>2904</v>
      </c>
      <c r="D278" s="2">
        <v>-20919.37</v>
      </c>
      <c r="G278" s="2">
        <v>0</v>
      </c>
      <c r="H278" s="2">
        <f t="shared" si="4"/>
        <v>-20919.37</v>
      </c>
    </row>
    <row r="279" spans="1:8">
      <c r="A279" s="1" t="s">
        <v>2906</v>
      </c>
      <c r="B279" s="1" t="s">
        <v>149</v>
      </c>
      <c r="C279" s="1" t="s">
        <v>2904</v>
      </c>
      <c r="H279" s="2">
        <f t="shared" si="4"/>
        <v>0</v>
      </c>
    </row>
    <row r="280" spans="1:8">
      <c r="A280" s="1" t="s">
        <v>2906</v>
      </c>
      <c r="B280" s="1" t="s">
        <v>150</v>
      </c>
      <c r="C280" s="1" t="s">
        <v>2904</v>
      </c>
      <c r="H280" s="2">
        <f t="shared" si="4"/>
        <v>0</v>
      </c>
    </row>
    <row r="281" spans="1:8">
      <c r="A281" s="1" t="s">
        <v>2906</v>
      </c>
      <c r="B281" s="1" t="s">
        <v>151</v>
      </c>
      <c r="C281" s="1" t="s">
        <v>2904</v>
      </c>
      <c r="H281" s="2">
        <f t="shared" si="4"/>
        <v>0</v>
      </c>
    </row>
    <row r="282" spans="1:8">
      <c r="A282" s="1" t="s">
        <v>2906</v>
      </c>
      <c r="B282" s="1" t="s">
        <v>152</v>
      </c>
      <c r="C282" s="1" t="s">
        <v>2904</v>
      </c>
      <c r="H282" s="2">
        <f t="shared" si="4"/>
        <v>0</v>
      </c>
    </row>
    <row r="283" spans="1:8">
      <c r="A283" s="1" t="s">
        <v>2906</v>
      </c>
      <c r="B283" s="1" t="s">
        <v>153</v>
      </c>
      <c r="C283" s="1" t="s">
        <v>2904</v>
      </c>
      <c r="H283" s="2">
        <f t="shared" si="4"/>
        <v>0</v>
      </c>
    </row>
    <row r="284" spans="1:8">
      <c r="A284" s="1" t="s">
        <v>2906</v>
      </c>
      <c r="B284" s="1" t="s">
        <v>154</v>
      </c>
      <c r="C284" s="1" t="s">
        <v>2904</v>
      </c>
      <c r="H284" s="2">
        <f t="shared" si="4"/>
        <v>0</v>
      </c>
    </row>
    <row r="285" spans="1:8">
      <c r="A285" s="1" t="s">
        <v>2906</v>
      </c>
      <c r="B285" s="1" t="s">
        <v>155</v>
      </c>
      <c r="C285" s="1" t="s">
        <v>2904</v>
      </c>
      <c r="H285" s="2">
        <f t="shared" si="4"/>
        <v>0</v>
      </c>
    </row>
    <row r="286" spans="1:8">
      <c r="A286" s="1" t="s">
        <v>2906</v>
      </c>
      <c r="B286" s="1" t="s">
        <v>156</v>
      </c>
      <c r="C286" s="1" t="s">
        <v>2904</v>
      </c>
      <c r="H286" s="2">
        <f t="shared" si="4"/>
        <v>0</v>
      </c>
    </row>
    <row r="287" spans="1:8">
      <c r="A287" s="1" t="s">
        <v>2906</v>
      </c>
      <c r="B287" s="1" t="s">
        <v>157</v>
      </c>
      <c r="C287" s="1" t="s">
        <v>2904</v>
      </c>
      <c r="H287" s="2">
        <f t="shared" si="4"/>
        <v>0</v>
      </c>
    </row>
    <row r="288" spans="1:8">
      <c r="A288" s="1" t="s">
        <v>2906</v>
      </c>
      <c r="B288" s="1" t="s">
        <v>158</v>
      </c>
      <c r="C288" s="1" t="s">
        <v>2904</v>
      </c>
      <c r="H288" s="2">
        <f t="shared" si="4"/>
        <v>0</v>
      </c>
    </row>
    <row r="289" spans="1:8">
      <c r="A289" s="1" t="s">
        <v>2906</v>
      </c>
      <c r="B289" s="1" t="s">
        <v>159</v>
      </c>
      <c r="C289" s="1" t="s">
        <v>2904</v>
      </c>
      <c r="H289" s="2">
        <f t="shared" si="4"/>
        <v>0</v>
      </c>
    </row>
    <row r="290" spans="1:8">
      <c r="A290" s="1" t="s">
        <v>2906</v>
      </c>
      <c r="B290" s="1" t="s">
        <v>148</v>
      </c>
      <c r="C290" s="1" t="s">
        <v>1901</v>
      </c>
      <c r="D290" s="2">
        <v>0</v>
      </c>
      <c r="F290" s="2">
        <v>1035</v>
      </c>
      <c r="G290" s="2">
        <v>0</v>
      </c>
      <c r="H290" s="2">
        <f t="shared" si="4"/>
        <v>1035</v>
      </c>
    </row>
    <row r="291" spans="1:8">
      <c r="A291" s="1" t="s">
        <v>2906</v>
      </c>
      <c r="B291" s="1" t="s">
        <v>149</v>
      </c>
      <c r="C291" s="1" t="s">
        <v>1901</v>
      </c>
      <c r="D291" s="2">
        <v>0</v>
      </c>
      <c r="F291" s="2">
        <v>95</v>
      </c>
      <c r="G291" s="2">
        <v>0</v>
      </c>
      <c r="H291" s="2">
        <f t="shared" si="4"/>
        <v>95</v>
      </c>
    </row>
    <row r="292" spans="1:8">
      <c r="A292" s="1" t="s">
        <v>2906</v>
      </c>
      <c r="B292" s="1" t="s">
        <v>150</v>
      </c>
      <c r="C292" s="1" t="s">
        <v>1901</v>
      </c>
      <c r="D292" s="2">
        <v>0</v>
      </c>
      <c r="F292" s="2">
        <v>92730</v>
      </c>
      <c r="G292" s="2">
        <v>0</v>
      </c>
      <c r="H292" s="2">
        <f t="shared" si="4"/>
        <v>92730</v>
      </c>
    </row>
    <row r="293" spans="1:8">
      <c r="A293" s="1" t="s">
        <v>2906</v>
      </c>
      <c r="B293" s="1" t="s">
        <v>151</v>
      </c>
      <c r="C293" s="1" t="s">
        <v>1901</v>
      </c>
      <c r="H293" s="2">
        <f t="shared" si="4"/>
        <v>0</v>
      </c>
    </row>
    <row r="294" spans="1:8">
      <c r="A294" s="1" t="s">
        <v>2906</v>
      </c>
      <c r="B294" s="1" t="s">
        <v>152</v>
      </c>
      <c r="C294" s="1" t="s">
        <v>1901</v>
      </c>
      <c r="H294" s="2">
        <f t="shared" si="4"/>
        <v>0</v>
      </c>
    </row>
    <row r="295" spans="1:8">
      <c r="A295" s="1" t="s">
        <v>2906</v>
      </c>
      <c r="B295" s="1" t="s">
        <v>153</v>
      </c>
      <c r="C295" s="1" t="s">
        <v>1901</v>
      </c>
      <c r="H295" s="2">
        <f t="shared" si="4"/>
        <v>0</v>
      </c>
    </row>
    <row r="296" spans="1:8">
      <c r="A296" s="1" t="s">
        <v>2906</v>
      </c>
      <c r="B296" s="1" t="s">
        <v>154</v>
      </c>
      <c r="C296" s="1" t="s">
        <v>1901</v>
      </c>
      <c r="H296" s="2">
        <f t="shared" si="4"/>
        <v>0</v>
      </c>
    </row>
    <row r="297" spans="1:8">
      <c r="A297" s="1" t="s">
        <v>2906</v>
      </c>
      <c r="B297" s="1" t="s">
        <v>155</v>
      </c>
      <c r="C297" s="1" t="s">
        <v>1901</v>
      </c>
      <c r="H297" s="2">
        <f t="shared" si="4"/>
        <v>0</v>
      </c>
    </row>
    <row r="298" spans="1:8">
      <c r="A298" s="1" t="s">
        <v>2906</v>
      </c>
      <c r="B298" s="1" t="s">
        <v>156</v>
      </c>
      <c r="C298" s="1" t="s">
        <v>1901</v>
      </c>
      <c r="H298" s="2">
        <f t="shared" si="4"/>
        <v>0</v>
      </c>
    </row>
    <row r="299" spans="1:8">
      <c r="A299" s="1" t="s">
        <v>2906</v>
      </c>
      <c r="B299" s="1" t="s">
        <v>157</v>
      </c>
      <c r="C299" s="1" t="s">
        <v>1901</v>
      </c>
      <c r="F299" s="14"/>
      <c r="H299" s="2">
        <f t="shared" si="4"/>
        <v>0</v>
      </c>
    </row>
    <row r="300" spans="1:8">
      <c r="A300" s="1" t="s">
        <v>2906</v>
      </c>
      <c r="B300" s="1" t="s">
        <v>158</v>
      </c>
      <c r="C300" s="1" t="s">
        <v>1901</v>
      </c>
      <c r="H300" s="2">
        <f t="shared" si="4"/>
        <v>0</v>
      </c>
    </row>
    <row r="301" spans="1:8">
      <c r="A301" s="1" t="s">
        <v>2906</v>
      </c>
      <c r="B301" s="1" t="s">
        <v>159</v>
      </c>
      <c r="C301" s="1" t="s">
        <v>1901</v>
      </c>
      <c r="H301" s="2">
        <f t="shared" si="4"/>
        <v>0</v>
      </c>
    </row>
    <row r="302" spans="1:8">
      <c r="A302" s="1" t="s">
        <v>2906</v>
      </c>
      <c r="B302" s="1" t="s">
        <v>148</v>
      </c>
      <c r="C302" s="1" t="s">
        <v>2926</v>
      </c>
      <c r="H302" s="2">
        <f t="shared" si="4"/>
        <v>0</v>
      </c>
    </row>
    <row r="303" spans="1:8">
      <c r="A303" s="1" t="s">
        <v>2906</v>
      </c>
      <c r="B303" s="1" t="s">
        <v>149</v>
      </c>
      <c r="C303" s="1" t="s">
        <v>2926</v>
      </c>
      <c r="H303" s="2">
        <f t="shared" si="4"/>
        <v>0</v>
      </c>
    </row>
    <row r="304" spans="1:8">
      <c r="A304" s="1" t="s">
        <v>2906</v>
      </c>
      <c r="B304" s="1" t="s">
        <v>150</v>
      </c>
      <c r="C304" s="1" t="s">
        <v>2926</v>
      </c>
      <c r="H304" s="2">
        <f t="shared" si="4"/>
        <v>0</v>
      </c>
    </row>
    <row r="305" spans="1:8">
      <c r="A305" s="1" t="s">
        <v>2906</v>
      </c>
      <c r="B305" s="1" t="s">
        <v>151</v>
      </c>
      <c r="C305" s="1" t="s">
        <v>2926</v>
      </c>
      <c r="H305" s="2">
        <f t="shared" si="4"/>
        <v>0</v>
      </c>
    </row>
    <row r="306" spans="1:8">
      <c r="A306" s="1" t="s">
        <v>2906</v>
      </c>
      <c r="B306" s="1" t="s">
        <v>152</v>
      </c>
      <c r="C306" s="1" t="s">
        <v>2926</v>
      </c>
      <c r="H306" s="2">
        <f t="shared" si="4"/>
        <v>0</v>
      </c>
    </row>
    <row r="307" spans="1:8">
      <c r="A307" s="1" t="s">
        <v>2906</v>
      </c>
      <c r="B307" s="1" t="s">
        <v>153</v>
      </c>
      <c r="C307" s="1" t="s">
        <v>2926</v>
      </c>
      <c r="H307" s="2">
        <f t="shared" si="4"/>
        <v>0</v>
      </c>
    </row>
    <row r="308" spans="1:8">
      <c r="A308" s="1" t="s">
        <v>2906</v>
      </c>
      <c r="B308" s="1" t="s">
        <v>154</v>
      </c>
      <c r="C308" s="1" t="s">
        <v>2926</v>
      </c>
      <c r="H308" s="2">
        <f t="shared" si="4"/>
        <v>0</v>
      </c>
    </row>
    <row r="309" spans="1:8">
      <c r="A309" s="1" t="s">
        <v>2906</v>
      </c>
      <c r="B309" s="1" t="s">
        <v>155</v>
      </c>
      <c r="C309" s="1" t="s">
        <v>2926</v>
      </c>
      <c r="H309" s="2">
        <f t="shared" si="4"/>
        <v>0</v>
      </c>
    </row>
    <row r="310" spans="1:8">
      <c r="A310" s="1" t="s">
        <v>2906</v>
      </c>
      <c r="B310" s="1" t="s">
        <v>156</v>
      </c>
      <c r="C310" s="1" t="s">
        <v>2926</v>
      </c>
      <c r="H310" s="2">
        <f t="shared" si="4"/>
        <v>0</v>
      </c>
    </row>
    <row r="311" spans="1:8">
      <c r="A311" s="1" t="s">
        <v>2906</v>
      </c>
      <c r="B311" s="1" t="s">
        <v>157</v>
      </c>
      <c r="C311" s="1" t="s">
        <v>2926</v>
      </c>
      <c r="H311" s="2">
        <f t="shared" si="4"/>
        <v>0</v>
      </c>
    </row>
    <row r="312" spans="1:8">
      <c r="A312" s="1" t="s">
        <v>2906</v>
      </c>
      <c r="B312" s="1" t="s">
        <v>158</v>
      </c>
      <c r="C312" s="1" t="s">
        <v>2926</v>
      </c>
      <c r="H312" s="2">
        <f t="shared" si="4"/>
        <v>0</v>
      </c>
    </row>
    <row r="313" spans="1:8">
      <c r="A313" s="1" t="s">
        <v>2906</v>
      </c>
      <c r="B313" s="1" t="s">
        <v>159</v>
      </c>
      <c r="C313" s="1" t="s">
        <v>2926</v>
      </c>
      <c r="H313" s="2">
        <f t="shared" si="4"/>
        <v>0</v>
      </c>
    </row>
    <row r="314" spans="1:8">
      <c r="A314" s="1" t="s">
        <v>2908</v>
      </c>
      <c r="B314" s="1" t="s">
        <v>148</v>
      </c>
      <c r="C314" s="1" t="s">
        <v>2892</v>
      </c>
      <c r="D314" s="15">
        <v>787.8</v>
      </c>
      <c r="E314" s="15">
        <v>85913.7</v>
      </c>
      <c r="F314" s="15">
        <v>2891089.63</v>
      </c>
      <c r="G314" s="15">
        <v>203677.85</v>
      </c>
      <c r="H314" s="2">
        <f t="shared" si="4"/>
        <v>3181468.98</v>
      </c>
    </row>
    <row r="315" spans="1:8">
      <c r="A315" s="1" t="s">
        <v>2908</v>
      </c>
      <c r="B315" s="1" t="s">
        <v>149</v>
      </c>
      <c r="C315" s="1" t="s">
        <v>2892</v>
      </c>
      <c r="D315" s="15">
        <v>1284.2</v>
      </c>
      <c r="E315" s="15">
        <v>10793.34</v>
      </c>
      <c r="F315" s="15">
        <v>5839884.35</v>
      </c>
      <c r="G315" s="15">
        <v>1278547.26</v>
      </c>
      <c r="H315" s="2">
        <f t="shared" si="4"/>
        <v>7130509.15</v>
      </c>
    </row>
    <row r="316" spans="1:8">
      <c r="A316" s="1" t="s">
        <v>2908</v>
      </c>
      <c r="B316" s="1" t="s">
        <v>150</v>
      </c>
      <c r="C316" s="1" t="s">
        <v>2892</v>
      </c>
      <c r="D316" s="15">
        <v>261.6</v>
      </c>
      <c r="E316" s="15">
        <v>97588.1</v>
      </c>
      <c r="F316" s="15">
        <v>4186939.53</v>
      </c>
      <c r="G316" s="15">
        <v>1150882.95</v>
      </c>
      <c r="H316" s="2">
        <f t="shared" ref="H316:H379" si="5">SUM(D316:G316)</f>
        <v>5435672.18</v>
      </c>
    </row>
    <row r="317" spans="1:8">
      <c r="A317" s="1" t="s">
        <v>2908</v>
      </c>
      <c r="B317" s="1" t="s">
        <v>151</v>
      </c>
      <c r="C317" s="1" t="s">
        <v>2892</v>
      </c>
      <c r="D317" s="15"/>
      <c r="E317" s="15"/>
      <c r="F317" s="15"/>
      <c r="G317" s="15"/>
      <c r="H317" s="2">
        <f t="shared" si="5"/>
        <v>0</v>
      </c>
    </row>
    <row r="318" spans="1:8">
      <c r="A318" s="1" t="s">
        <v>2908</v>
      </c>
      <c r="B318" s="1" t="s">
        <v>152</v>
      </c>
      <c r="C318" s="1" t="s">
        <v>2892</v>
      </c>
      <c r="D318" s="15"/>
      <c r="E318" s="15"/>
      <c r="F318" s="15"/>
      <c r="G318" s="15"/>
      <c r="H318" s="2">
        <f t="shared" si="5"/>
        <v>0</v>
      </c>
    </row>
    <row r="319" spans="1:8">
      <c r="A319" s="1" t="s">
        <v>2908</v>
      </c>
      <c r="B319" s="1" t="s">
        <v>153</v>
      </c>
      <c r="C319" s="1" t="s">
        <v>2892</v>
      </c>
      <c r="D319" s="15"/>
      <c r="E319" s="15"/>
      <c r="F319" s="15"/>
      <c r="G319" s="15"/>
      <c r="H319" s="2">
        <f t="shared" si="5"/>
        <v>0</v>
      </c>
    </row>
    <row r="320" spans="1:8">
      <c r="A320" s="1" t="s">
        <v>2908</v>
      </c>
      <c r="B320" s="1" t="s">
        <v>154</v>
      </c>
      <c r="C320" s="1" t="s">
        <v>2892</v>
      </c>
      <c r="D320" s="15"/>
      <c r="E320" s="15"/>
      <c r="F320" s="15"/>
      <c r="G320" s="15"/>
      <c r="H320" s="2">
        <f t="shared" si="5"/>
        <v>0</v>
      </c>
    </row>
    <row r="321" spans="1:8">
      <c r="A321" s="1" t="s">
        <v>2908</v>
      </c>
      <c r="B321" s="1" t="s">
        <v>155</v>
      </c>
      <c r="C321" s="1" t="s">
        <v>2892</v>
      </c>
      <c r="D321" s="15"/>
      <c r="E321" s="15"/>
      <c r="F321" s="15"/>
      <c r="G321" s="15"/>
      <c r="H321" s="2">
        <f t="shared" si="5"/>
        <v>0</v>
      </c>
    </row>
    <row r="322" spans="1:8">
      <c r="A322" s="1" t="s">
        <v>2908</v>
      </c>
      <c r="B322" s="1" t="s">
        <v>156</v>
      </c>
      <c r="C322" s="1" t="s">
        <v>2892</v>
      </c>
      <c r="D322" s="15"/>
      <c r="E322" s="15"/>
      <c r="F322" s="15"/>
      <c r="G322" s="15"/>
      <c r="H322" s="2">
        <f t="shared" si="5"/>
        <v>0</v>
      </c>
    </row>
    <row r="323" spans="1:8">
      <c r="A323" s="1" t="s">
        <v>2908</v>
      </c>
      <c r="B323" s="1" t="s">
        <v>157</v>
      </c>
      <c r="C323" s="1" t="s">
        <v>2892</v>
      </c>
      <c r="D323" s="15"/>
      <c r="E323" s="15"/>
      <c r="F323" s="15"/>
      <c r="G323" s="15"/>
      <c r="H323" s="2">
        <f t="shared" si="5"/>
        <v>0</v>
      </c>
    </row>
    <row r="324" spans="1:8">
      <c r="A324" s="1" t="s">
        <v>2908</v>
      </c>
      <c r="B324" s="1" t="s">
        <v>158</v>
      </c>
      <c r="C324" s="1" t="s">
        <v>2892</v>
      </c>
      <c r="D324" s="15"/>
      <c r="E324" s="15"/>
      <c r="F324" s="15"/>
      <c r="G324" s="15"/>
      <c r="H324" s="2">
        <f t="shared" si="5"/>
        <v>0</v>
      </c>
    </row>
    <row r="325" spans="1:8">
      <c r="A325" s="1" t="s">
        <v>2908</v>
      </c>
      <c r="B325" s="1" t="s">
        <v>159</v>
      </c>
      <c r="C325" s="1" t="s">
        <v>2892</v>
      </c>
      <c r="D325" s="15"/>
      <c r="E325" s="15"/>
      <c r="F325" s="15"/>
      <c r="G325" s="15"/>
      <c r="H325" s="2">
        <f t="shared" si="5"/>
        <v>0</v>
      </c>
    </row>
    <row r="326" spans="1:8">
      <c r="A326" s="1" t="s">
        <v>2908</v>
      </c>
      <c r="B326" s="1" t="s">
        <v>148</v>
      </c>
      <c r="C326" s="1" t="s">
        <v>2899</v>
      </c>
      <c r="D326" s="2">
        <v>687.92</v>
      </c>
      <c r="E326" s="2">
        <v>81917.35</v>
      </c>
      <c r="F326" s="2">
        <v>2901186.353</v>
      </c>
      <c r="G326" s="2">
        <v>192450.92</v>
      </c>
      <c r="H326" s="2">
        <f t="shared" si="5"/>
        <v>3176242.543</v>
      </c>
    </row>
    <row r="327" spans="1:8">
      <c r="A327" s="1" t="s">
        <v>2908</v>
      </c>
      <c r="B327" s="1" t="s">
        <v>149</v>
      </c>
      <c r="C327" s="1" t="s">
        <v>2899</v>
      </c>
      <c r="D327" s="2">
        <v>1090.35</v>
      </c>
      <c r="E327" s="2">
        <v>9464.11</v>
      </c>
      <c r="F327" s="2">
        <v>5752750.02</v>
      </c>
      <c r="G327" s="2">
        <v>1246917.06</v>
      </c>
      <c r="H327" s="2">
        <f t="shared" si="5"/>
        <v>7010221.54</v>
      </c>
    </row>
    <row r="328" spans="1:8">
      <c r="A328" s="1" t="s">
        <v>2908</v>
      </c>
      <c r="B328" s="1" t="s">
        <v>150</v>
      </c>
      <c r="C328" s="1" t="s">
        <v>2899</v>
      </c>
      <c r="D328" s="2">
        <v>244.06</v>
      </c>
      <c r="E328" s="2">
        <v>95201.53</v>
      </c>
      <c r="F328" s="2">
        <v>4000178.13</v>
      </c>
      <c r="G328" s="2">
        <v>1111375.89</v>
      </c>
      <c r="H328" s="2">
        <f t="shared" si="5"/>
        <v>5206999.61</v>
      </c>
    </row>
    <row r="329" spans="1:8">
      <c r="A329" s="1" t="s">
        <v>2908</v>
      </c>
      <c r="B329" s="1" t="s">
        <v>151</v>
      </c>
      <c r="C329" s="1" t="s">
        <v>2899</v>
      </c>
      <c r="H329" s="2">
        <f t="shared" si="5"/>
        <v>0</v>
      </c>
    </row>
    <row r="330" spans="1:8">
      <c r="A330" s="1" t="s">
        <v>2908</v>
      </c>
      <c r="B330" s="1" t="s">
        <v>152</v>
      </c>
      <c r="C330" s="1" t="s">
        <v>2899</v>
      </c>
      <c r="H330" s="2">
        <f t="shared" si="5"/>
        <v>0</v>
      </c>
    </row>
    <row r="331" spans="1:8">
      <c r="A331" s="1" t="s">
        <v>2908</v>
      </c>
      <c r="B331" s="1" t="s">
        <v>153</v>
      </c>
      <c r="C331" s="1" t="s">
        <v>2899</v>
      </c>
      <c r="H331" s="2">
        <f t="shared" si="5"/>
        <v>0</v>
      </c>
    </row>
    <row r="332" spans="1:8">
      <c r="A332" s="1" t="s">
        <v>2908</v>
      </c>
      <c r="B332" s="1" t="s">
        <v>154</v>
      </c>
      <c r="C332" s="1" t="s">
        <v>2899</v>
      </c>
      <c r="H332" s="2">
        <f t="shared" si="5"/>
        <v>0</v>
      </c>
    </row>
    <row r="333" spans="1:8">
      <c r="A333" s="1" t="s">
        <v>2908</v>
      </c>
      <c r="B333" s="1" t="s">
        <v>155</v>
      </c>
      <c r="C333" s="1" t="s">
        <v>2899</v>
      </c>
      <c r="H333" s="2">
        <f t="shared" si="5"/>
        <v>0</v>
      </c>
    </row>
    <row r="334" spans="1:8">
      <c r="A334" s="1" t="s">
        <v>2908</v>
      </c>
      <c r="B334" s="1" t="s">
        <v>156</v>
      </c>
      <c r="C334" s="1" t="s">
        <v>2899</v>
      </c>
      <c r="H334" s="2">
        <f t="shared" si="5"/>
        <v>0</v>
      </c>
    </row>
    <row r="335" spans="1:8">
      <c r="A335" s="1" t="s">
        <v>2908</v>
      </c>
      <c r="B335" s="1" t="s">
        <v>157</v>
      </c>
      <c r="C335" s="1" t="s">
        <v>2899</v>
      </c>
      <c r="H335" s="2">
        <f t="shared" si="5"/>
        <v>0</v>
      </c>
    </row>
    <row r="336" spans="1:8">
      <c r="A336" s="1" t="s">
        <v>2908</v>
      </c>
      <c r="B336" s="1" t="s">
        <v>158</v>
      </c>
      <c r="C336" s="1" t="s">
        <v>2899</v>
      </c>
      <c r="H336" s="2">
        <f t="shared" si="5"/>
        <v>0</v>
      </c>
    </row>
    <row r="337" spans="1:8">
      <c r="A337" s="1" t="s">
        <v>2908</v>
      </c>
      <c r="B337" s="1" t="s">
        <v>159</v>
      </c>
      <c r="C337" s="1" t="s">
        <v>2899</v>
      </c>
      <c r="H337" s="2">
        <f t="shared" si="5"/>
        <v>0</v>
      </c>
    </row>
    <row r="338" spans="1:8">
      <c r="A338" s="1" t="s">
        <v>2908</v>
      </c>
      <c r="B338" s="1" t="s">
        <v>148</v>
      </c>
      <c r="C338" s="1" t="s">
        <v>2896</v>
      </c>
      <c r="D338" s="2">
        <v>100828.64</v>
      </c>
      <c r="E338" s="2">
        <v>1719218.87</v>
      </c>
      <c r="F338" s="2">
        <v>13758.67</v>
      </c>
      <c r="G338" s="2">
        <v>3023.98</v>
      </c>
      <c r="H338" s="2">
        <f t="shared" si="5"/>
        <v>1836830.16</v>
      </c>
    </row>
    <row r="339" spans="1:8">
      <c r="A339" s="1" t="s">
        <v>2908</v>
      </c>
      <c r="B339" s="1" t="s">
        <v>149</v>
      </c>
      <c r="C339" s="1" t="s">
        <v>2896</v>
      </c>
      <c r="D339" s="2">
        <v>95824.04</v>
      </c>
      <c r="E339" s="2">
        <v>1285941</v>
      </c>
      <c r="F339" s="2">
        <v>83795.94</v>
      </c>
      <c r="G339" s="2">
        <v>154.65</v>
      </c>
      <c r="H339" s="2">
        <f t="shared" si="5"/>
        <v>1465715.63</v>
      </c>
    </row>
    <row r="340" spans="1:8">
      <c r="A340" s="1" t="s">
        <v>2908</v>
      </c>
      <c r="B340" s="1" t="s">
        <v>150</v>
      </c>
      <c r="C340" s="1" t="s">
        <v>2896</v>
      </c>
      <c r="D340" s="2">
        <v>39326.93</v>
      </c>
      <c r="E340" s="2">
        <v>1301736.83</v>
      </c>
      <c r="F340" s="2">
        <v>13617.22</v>
      </c>
      <c r="G340" s="2">
        <v>126.48</v>
      </c>
      <c r="H340" s="2">
        <f t="shared" si="5"/>
        <v>1354807.46</v>
      </c>
    </row>
    <row r="341" spans="1:8">
      <c r="A341" s="1" t="s">
        <v>2908</v>
      </c>
      <c r="B341" s="1" t="s">
        <v>151</v>
      </c>
      <c r="C341" s="1" t="s">
        <v>2896</v>
      </c>
      <c r="H341" s="2">
        <f t="shared" si="5"/>
        <v>0</v>
      </c>
    </row>
    <row r="342" spans="1:8">
      <c r="A342" s="1" t="s">
        <v>2908</v>
      </c>
      <c r="B342" s="1" t="s">
        <v>152</v>
      </c>
      <c r="C342" s="1" t="s">
        <v>2896</v>
      </c>
      <c r="H342" s="2">
        <f t="shared" si="5"/>
        <v>0</v>
      </c>
    </row>
    <row r="343" spans="1:8">
      <c r="A343" s="1" t="s">
        <v>2908</v>
      </c>
      <c r="B343" s="1" t="s">
        <v>153</v>
      </c>
      <c r="C343" s="1" t="s">
        <v>2896</v>
      </c>
      <c r="H343" s="2">
        <f t="shared" si="5"/>
        <v>0</v>
      </c>
    </row>
    <row r="344" spans="1:8">
      <c r="A344" s="1" t="s">
        <v>2908</v>
      </c>
      <c r="B344" s="1" t="s">
        <v>154</v>
      </c>
      <c r="C344" s="1" t="s">
        <v>2896</v>
      </c>
      <c r="H344" s="2">
        <f t="shared" si="5"/>
        <v>0</v>
      </c>
    </row>
    <row r="345" spans="1:8">
      <c r="A345" s="1" t="s">
        <v>2908</v>
      </c>
      <c r="B345" s="1" t="s">
        <v>155</v>
      </c>
      <c r="C345" s="1" t="s">
        <v>2896</v>
      </c>
      <c r="H345" s="2">
        <f t="shared" si="5"/>
        <v>0</v>
      </c>
    </row>
    <row r="346" spans="1:8">
      <c r="A346" s="1" t="s">
        <v>2908</v>
      </c>
      <c r="B346" s="1" t="s">
        <v>156</v>
      </c>
      <c r="C346" s="1" t="s">
        <v>2896</v>
      </c>
      <c r="H346" s="2">
        <f t="shared" si="5"/>
        <v>0</v>
      </c>
    </row>
    <row r="347" spans="1:8">
      <c r="A347" s="1" t="s">
        <v>2908</v>
      </c>
      <c r="B347" s="1" t="s">
        <v>157</v>
      </c>
      <c r="C347" s="1" t="s">
        <v>2896</v>
      </c>
      <c r="H347" s="2">
        <f t="shared" si="5"/>
        <v>0</v>
      </c>
    </row>
    <row r="348" spans="1:8">
      <c r="A348" s="1" t="s">
        <v>2908</v>
      </c>
      <c r="B348" s="1" t="s">
        <v>158</v>
      </c>
      <c r="C348" s="1" t="s">
        <v>2896</v>
      </c>
      <c r="H348" s="2">
        <f t="shared" si="5"/>
        <v>0</v>
      </c>
    </row>
    <row r="349" spans="1:8">
      <c r="A349" s="1" t="s">
        <v>2908</v>
      </c>
      <c r="B349" s="1" t="s">
        <v>159</v>
      </c>
      <c r="C349" s="1" t="s">
        <v>2896</v>
      </c>
      <c r="H349" s="2">
        <f t="shared" si="5"/>
        <v>0</v>
      </c>
    </row>
    <row r="350" spans="1:8">
      <c r="A350" s="1" t="s">
        <v>2908</v>
      </c>
      <c r="B350" s="1" t="s">
        <v>148</v>
      </c>
      <c r="C350" s="1" t="s">
        <v>2893</v>
      </c>
      <c r="D350" s="2">
        <v>102556.59</v>
      </c>
      <c r="E350" s="2">
        <v>1702826.1</v>
      </c>
      <c r="F350" s="2">
        <v>12648.23</v>
      </c>
      <c r="G350" s="2">
        <v>5155.82</v>
      </c>
      <c r="H350" s="2">
        <f t="shared" si="5"/>
        <v>1823186.74</v>
      </c>
    </row>
    <row r="351" spans="1:8">
      <c r="A351" s="1" t="s">
        <v>2908</v>
      </c>
      <c r="B351" s="1" t="s">
        <v>149</v>
      </c>
      <c r="C351" s="1" t="s">
        <v>2893</v>
      </c>
      <c r="D351" s="2">
        <v>97782.99</v>
      </c>
      <c r="E351" s="2">
        <v>1273639.8</v>
      </c>
      <c r="F351" s="2">
        <v>78883.65</v>
      </c>
      <c r="G351" s="2">
        <v>193.59</v>
      </c>
      <c r="H351" s="2">
        <f t="shared" si="5"/>
        <v>1450500.03</v>
      </c>
    </row>
    <row r="352" spans="1:8">
      <c r="A352" s="1" t="s">
        <v>2908</v>
      </c>
      <c r="B352" s="1" t="s">
        <v>150</v>
      </c>
      <c r="C352" s="1" t="s">
        <v>2893</v>
      </c>
      <c r="D352" s="2">
        <v>37804.03</v>
      </c>
      <c r="E352" s="2">
        <v>1284085.27</v>
      </c>
      <c r="F352" s="2">
        <v>10757.05</v>
      </c>
      <c r="G352" s="2">
        <v>117.68</v>
      </c>
      <c r="H352" s="2">
        <f t="shared" si="5"/>
        <v>1332764.03</v>
      </c>
    </row>
    <row r="353" spans="1:8">
      <c r="A353" s="1" t="s">
        <v>2908</v>
      </c>
      <c r="B353" s="1" t="s">
        <v>151</v>
      </c>
      <c r="C353" s="1" t="s">
        <v>2893</v>
      </c>
      <c r="H353" s="2">
        <f t="shared" si="5"/>
        <v>0</v>
      </c>
    </row>
    <row r="354" spans="1:8">
      <c r="A354" s="1" t="s">
        <v>2908</v>
      </c>
      <c r="B354" s="1" t="s">
        <v>152</v>
      </c>
      <c r="C354" s="1" t="s">
        <v>2893</v>
      </c>
      <c r="H354" s="2">
        <f t="shared" si="5"/>
        <v>0</v>
      </c>
    </row>
    <row r="355" spans="1:8">
      <c r="A355" s="1" t="s">
        <v>2908</v>
      </c>
      <c r="B355" s="1" t="s">
        <v>153</v>
      </c>
      <c r="C355" s="1" t="s">
        <v>2893</v>
      </c>
      <c r="H355" s="2">
        <f t="shared" si="5"/>
        <v>0</v>
      </c>
    </row>
    <row r="356" spans="1:8">
      <c r="A356" s="1" t="s">
        <v>2908</v>
      </c>
      <c r="B356" s="1" t="s">
        <v>154</v>
      </c>
      <c r="C356" s="1" t="s">
        <v>2893</v>
      </c>
      <c r="H356" s="2">
        <f t="shared" si="5"/>
        <v>0</v>
      </c>
    </row>
    <row r="357" spans="1:8">
      <c r="A357" s="1" t="s">
        <v>2908</v>
      </c>
      <c r="B357" s="1" t="s">
        <v>155</v>
      </c>
      <c r="C357" s="1" t="s">
        <v>2893</v>
      </c>
      <c r="H357" s="2">
        <f t="shared" si="5"/>
        <v>0</v>
      </c>
    </row>
    <row r="358" spans="1:8">
      <c r="A358" s="1" t="s">
        <v>2908</v>
      </c>
      <c r="B358" s="1" t="s">
        <v>156</v>
      </c>
      <c r="C358" s="1" t="s">
        <v>2893</v>
      </c>
      <c r="H358" s="2">
        <f t="shared" si="5"/>
        <v>0</v>
      </c>
    </row>
    <row r="359" spans="1:8">
      <c r="A359" s="1" t="s">
        <v>2908</v>
      </c>
      <c r="B359" s="1" t="s">
        <v>157</v>
      </c>
      <c r="C359" s="1" t="s">
        <v>2893</v>
      </c>
      <c r="H359" s="2">
        <f t="shared" si="5"/>
        <v>0</v>
      </c>
    </row>
    <row r="360" spans="1:8">
      <c r="A360" s="1" t="s">
        <v>2908</v>
      </c>
      <c r="B360" s="1" t="s">
        <v>158</v>
      </c>
      <c r="C360" s="1" t="s">
        <v>2893</v>
      </c>
      <c r="H360" s="2">
        <f t="shared" si="5"/>
        <v>0</v>
      </c>
    </row>
    <row r="361" spans="1:8">
      <c r="A361" s="1" t="s">
        <v>2908</v>
      </c>
      <c r="B361" s="1" t="s">
        <v>159</v>
      </c>
      <c r="C361" s="1" t="s">
        <v>2893</v>
      </c>
      <c r="H361" s="2">
        <f t="shared" si="5"/>
        <v>0</v>
      </c>
    </row>
    <row r="362" spans="1:8">
      <c r="A362" s="1" t="s">
        <v>2908</v>
      </c>
      <c r="B362" s="1" t="s">
        <v>148</v>
      </c>
      <c r="C362" s="1" t="s">
        <v>2902</v>
      </c>
      <c r="H362" s="2">
        <f t="shared" si="5"/>
        <v>0</v>
      </c>
    </row>
    <row r="363" spans="1:8">
      <c r="A363" s="1" t="s">
        <v>2908</v>
      </c>
      <c r="B363" s="1" t="s">
        <v>149</v>
      </c>
      <c r="C363" s="1" t="s">
        <v>2902</v>
      </c>
      <c r="H363" s="2">
        <f t="shared" si="5"/>
        <v>0</v>
      </c>
    </row>
    <row r="364" spans="1:8">
      <c r="A364" s="1" t="s">
        <v>2908</v>
      </c>
      <c r="B364" s="1" t="s">
        <v>150</v>
      </c>
      <c r="C364" s="1" t="s">
        <v>2902</v>
      </c>
      <c r="H364" s="2">
        <f t="shared" si="5"/>
        <v>0</v>
      </c>
    </row>
    <row r="365" spans="1:8">
      <c r="A365" s="1" t="s">
        <v>2908</v>
      </c>
      <c r="B365" s="1" t="s">
        <v>151</v>
      </c>
      <c r="C365" s="1" t="s">
        <v>2902</v>
      </c>
      <c r="H365" s="2">
        <f t="shared" si="5"/>
        <v>0</v>
      </c>
    </row>
    <row r="366" spans="1:8">
      <c r="A366" s="1" t="s">
        <v>2908</v>
      </c>
      <c r="B366" s="1" t="s">
        <v>152</v>
      </c>
      <c r="C366" s="1" t="s">
        <v>2902</v>
      </c>
      <c r="H366" s="2">
        <f t="shared" si="5"/>
        <v>0</v>
      </c>
    </row>
    <row r="367" spans="1:8">
      <c r="A367" s="1" t="s">
        <v>2908</v>
      </c>
      <c r="B367" s="1" t="s">
        <v>153</v>
      </c>
      <c r="C367" s="1" t="s">
        <v>2902</v>
      </c>
      <c r="H367" s="2">
        <f t="shared" si="5"/>
        <v>0</v>
      </c>
    </row>
    <row r="368" spans="1:8">
      <c r="A368" s="1" t="s">
        <v>2908</v>
      </c>
      <c r="B368" s="1" t="s">
        <v>154</v>
      </c>
      <c r="C368" s="1" t="s">
        <v>2902</v>
      </c>
      <c r="H368" s="2">
        <f t="shared" si="5"/>
        <v>0</v>
      </c>
    </row>
    <row r="369" spans="1:8">
      <c r="A369" s="1" t="s">
        <v>2908</v>
      </c>
      <c r="B369" s="1" t="s">
        <v>155</v>
      </c>
      <c r="C369" s="1" t="s">
        <v>2902</v>
      </c>
      <c r="H369" s="2">
        <f t="shared" si="5"/>
        <v>0</v>
      </c>
    </row>
    <row r="370" spans="1:8">
      <c r="A370" s="1" t="s">
        <v>2908</v>
      </c>
      <c r="B370" s="1" t="s">
        <v>156</v>
      </c>
      <c r="C370" s="1" t="s">
        <v>2902</v>
      </c>
      <c r="H370" s="2">
        <f t="shared" si="5"/>
        <v>0</v>
      </c>
    </row>
    <row r="371" spans="1:8">
      <c r="A371" s="1" t="s">
        <v>2908</v>
      </c>
      <c r="B371" s="1" t="s">
        <v>157</v>
      </c>
      <c r="C371" s="1" t="s">
        <v>2902</v>
      </c>
      <c r="H371" s="2">
        <f t="shared" si="5"/>
        <v>0</v>
      </c>
    </row>
    <row r="372" spans="1:8">
      <c r="A372" s="1" t="s">
        <v>2908</v>
      </c>
      <c r="B372" s="1" t="s">
        <v>158</v>
      </c>
      <c r="C372" s="1" t="s">
        <v>2902</v>
      </c>
      <c r="H372" s="2">
        <f t="shared" si="5"/>
        <v>0</v>
      </c>
    </row>
    <row r="373" spans="1:8">
      <c r="A373" s="1" t="s">
        <v>2908</v>
      </c>
      <c r="B373" s="1" t="s">
        <v>159</v>
      </c>
      <c r="C373" s="1" t="s">
        <v>2902</v>
      </c>
      <c r="H373" s="2">
        <f t="shared" si="5"/>
        <v>0</v>
      </c>
    </row>
    <row r="374" spans="1:8">
      <c r="A374" s="1" t="s">
        <v>2908</v>
      </c>
      <c r="B374" s="1" t="s">
        <v>148</v>
      </c>
      <c r="C374" s="1" t="s">
        <v>2942</v>
      </c>
      <c r="H374" s="2">
        <f t="shared" si="5"/>
        <v>0</v>
      </c>
    </row>
    <row r="375" spans="1:8">
      <c r="A375" s="1" t="s">
        <v>2908</v>
      </c>
      <c r="B375" s="1" t="s">
        <v>149</v>
      </c>
      <c r="C375" s="1" t="s">
        <v>2942</v>
      </c>
      <c r="H375" s="2">
        <f t="shared" si="5"/>
        <v>0</v>
      </c>
    </row>
    <row r="376" spans="1:8">
      <c r="A376" s="1" t="s">
        <v>2908</v>
      </c>
      <c r="B376" s="1" t="s">
        <v>150</v>
      </c>
      <c r="C376" s="1" t="s">
        <v>2942</v>
      </c>
      <c r="H376" s="2">
        <f t="shared" si="5"/>
        <v>0</v>
      </c>
    </row>
    <row r="377" spans="1:8">
      <c r="A377" s="1" t="s">
        <v>2908</v>
      </c>
      <c r="B377" s="1" t="s">
        <v>151</v>
      </c>
      <c r="C377" s="1" t="s">
        <v>2942</v>
      </c>
      <c r="H377" s="2">
        <f t="shared" si="5"/>
        <v>0</v>
      </c>
    </row>
    <row r="378" spans="1:8">
      <c r="A378" s="1" t="s">
        <v>2908</v>
      </c>
      <c r="B378" s="1" t="s">
        <v>152</v>
      </c>
      <c r="C378" s="1" t="s">
        <v>2942</v>
      </c>
      <c r="H378" s="2">
        <f t="shared" si="5"/>
        <v>0</v>
      </c>
    </row>
    <row r="379" spans="1:8">
      <c r="A379" s="1" t="s">
        <v>2908</v>
      </c>
      <c r="B379" s="1" t="s">
        <v>153</v>
      </c>
      <c r="C379" s="1" t="s">
        <v>2942</v>
      </c>
      <c r="H379" s="2">
        <f t="shared" si="5"/>
        <v>0</v>
      </c>
    </row>
    <row r="380" spans="1:8">
      <c r="A380" s="1" t="s">
        <v>2908</v>
      </c>
      <c r="B380" s="1" t="s">
        <v>154</v>
      </c>
      <c r="C380" s="1" t="s">
        <v>2942</v>
      </c>
      <c r="H380" s="2">
        <f t="shared" ref="H380:H443" si="6">SUM(D380:G380)</f>
        <v>0</v>
      </c>
    </row>
    <row r="381" spans="1:8">
      <c r="A381" s="1" t="s">
        <v>2908</v>
      </c>
      <c r="B381" s="1" t="s">
        <v>155</v>
      </c>
      <c r="C381" s="1" t="s">
        <v>2942</v>
      </c>
      <c r="H381" s="2">
        <f t="shared" si="6"/>
        <v>0</v>
      </c>
    </row>
    <row r="382" spans="1:8">
      <c r="A382" s="1" t="s">
        <v>2908</v>
      </c>
      <c r="B382" s="1" t="s">
        <v>156</v>
      </c>
      <c r="C382" s="1" t="s">
        <v>2942</v>
      </c>
      <c r="H382" s="2">
        <f t="shared" si="6"/>
        <v>0</v>
      </c>
    </row>
    <row r="383" spans="1:8">
      <c r="A383" s="1" t="s">
        <v>2908</v>
      </c>
      <c r="B383" s="1" t="s">
        <v>157</v>
      </c>
      <c r="C383" s="1" t="s">
        <v>2942</v>
      </c>
      <c r="H383" s="2">
        <f t="shared" si="6"/>
        <v>0</v>
      </c>
    </row>
    <row r="384" spans="1:8">
      <c r="A384" s="1" t="s">
        <v>2908</v>
      </c>
      <c r="B384" s="1" t="s">
        <v>158</v>
      </c>
      <c r="C384" s="1" t="s">
        <v>2942</v>
      </c>
      <c r="H384" s="2">
        <f t="shared" si="6"/>
        <v>0</v>
      </c>
    </row>
    <row r="385" spans="1:8">
      <c r="A385" s="1" t="s">
        <v>2908</v>
      </c>
      <c r="B385" s="1" t="s">
        <v>159</v>
      </c>
      <c r="C385" s="1" t="s">
        <v>2942</v>
      </c>
      <c r="H385" s="2">
        <f t="shared" si="6"/>
        <v>0</v>
      </c>
    </row>
    <row r="386" spans="1:8">
      <c r="A386" s="1" t="s">
        <v>2908</v>
      </c>
      <c r="B386" s="1" t="s">
        <v>148</v>
      </c>
      <c r="C386" s="1" t="s">
        <v>2904</v>
      </c>
      <c r="D386" s="2">
        <v>4940.58</v>
      </c>
      <c r="G386" s="2">
        <v>36547.64</v>
      </c>
      <c r="H386" s="2">
        <f t="shared" si="6"/>
        <v>41488.22</v>
      </c>
    </row>
    <row r="387" spans="1:8">
      <c r="A387" s="1" t="s">
        <v>2908</v>
      </c>
      <c r="B387" s="1" t="s">
        <v>149</v>
      </c>
      <c r="C387" s="1" t="s">
        <v>2904</v>
      </c>
      <c r="D387" s="2">
        <v>1596.88</v>
      </c>
      <c r="G387" s="2">
        <v>8.02</v>
      </c>
      <c r="H387" s="2">
        <f t="shared" si="6"/>
        <v>1604.9</v>
      </c>
    </row>
    <row r="388" spans="1:8">
      <c r="A388" s="1" t="s">
        <v>2908</v>
      </c>
      <c r="B388" s="1" t="s">
        <v>150</v>
      </c>
      <c r="C388" s="1" t="s">
        <v>2904</v>
      </c>
      <c r="D388" s="2">
        <v>612.98</v>
      </c>
      <c r="F388" s="2">
        <v>107791.13</v>
      </c>
      <c r="G388" s="2">
        <v>0.65</v>
      </c>
      <c r="H388" s="2">
        <f t="shared" si="6"/>
        <v>108404.76</v>
      </c>
    </row>
    <row r="389" spans="1:8">
      <c r="A389" s="1" t="s">
        <v>2908</v>
      </c>
      <c r="B389" s="1" t="s">
        <v>151</v>
      </c>
      <c r="C389" s="1" t="s">
        <v>2904</v>
      </c>
      <c r="H389" s="2">
        <f t="shared" si="6"/>
        <v>0</v>
      </c>
    </row>
    <row r="390" spans="1:8">
      <c r="A390" s="1" t="s">
        <v>2908</v>
      </c>
      <c r="B390" s="1" t="s">
        <v>152</v>
      </c>
      <c r="C390" s="1" t="s">
        <v>2904</v>
      </c>
      <c r="H390" s="2">
        <f t="shared" si="6"/>
        <v>0</v>
      </c>
    </row>
    <row r="391" spans="1:8">
      <c r="A391" s="1" t="s">
        <v>2908</v>
      </c>
      <c r="B391" s="1" t="s">
        <v>153</v>
      </c>
      <c r="C391" s="1" t="s">
        <v>2904</v>
      </c>
      <c r="H391" s="2">
        <f t="shared" si="6"/>
        <v>0</v>
      </c>
    </row>
    <row r="392" spans="1:8">
      <c r="A392" s="1" t="s">
        <v>2908</v>
      </c>
      <c r="B392" s="1" t="s">
        <v>154</v>
      </c>
      <c r="C392" s="1" t="s">
        <v>2904</v>
      </c>
      <c r="H392" s="2">
        <f t="shared" si="6"/>
        <v>0</v>
      </c>
    </row>
    <row r="393" spans="1:8">
      <c r="A393" s="1" t="s">
        <v>2908</v>
      </c>
      <c r="B393" s="1" t="s">
        <v>155</v>
      </c>
      <c r="C393" s="1" t="s">
        <v>2904</v>
      </c>
      <c r="H393" s="2">
        <f t="shared" si="6"/>
        <v>0</v>
      </c>
    </row>
    <row r="394" spans="1:8">
      <c r="A394" s="1" t="s">
        <v>2908</v>
      </c>
      <c r="B394" s="1" t="s">
        <v>156</v>
      </c>
      <c r="C394" s="1" t="s">
        <v>2904</v>
      </c>
      <c r="H394" s="2">
        <f t="shared" si="6"/>
        <v>0</v>
      </c>
    </row>
    <row r="395" spans="1:8">
      <c r="A395" s="1" t="s">
        <v>2908</v>
      </c>
      <c r="B395" s="1" t="s">
        <v>157</v>
      </c>
      <c r="C395" s="1" t="s">
        <v>2904</v>
      </c>
      <c r="H395" s="2">
        <f t="shared" si="6"/>
        <v>0</v>
      </c>
    </row>
    <row r="396" spans="1:8">
      <c r="A396" s="1" t="s">
        <v>2908</v>
      </c>
      <c r="B396" s="1" t="s">
        <v>158</v>
      </c>
      <c r="C396" s="1" t="s">
        <v>2904</v>
      </c>
      <c r="H396" s="2">
        <f t="shared" si="6"/>
        <v>0</v>
      </c>
    </row>
    <row r="397" spans="1:8">
      <c r="A397" s="1" t="s">
        <v>2908</v>
      </c>
      <c r="B397" s="1" t="s">
        <v>159</v>
      </c>
      <c r="C397" s="1" t="s">
        <v>2904</v>
      </c>
      <c r="H397" s="2">
        <f t="shared" si="6"/>
        <v>0</v>
      </c>
    </row>
    <row r="398" spans="1:8">
      <c r="A398" s="1" t="s">
        <v>2908</v>
      </c>
      <c r="B398" s="1" t="s">
        <v>148</v>
      </c>
      <c r="C398" s="1" t="s">
        <v>2926</v>
      </c>
      <c r="D398" s="2">
        <v>0</v>
      </c>
      <c r="G398" s="2">
        <v>180747.24</v>
      </c>
      <c r="H398" s="2">
        <f t="shared" si="6"/>
        <v>180747.24</v>
      </c>
    </row>
    <row r="399" spans="1:8">
      <c r="A399" s="1" t="s">
        <v>2908</v>
      </c>
      <c r="B399" s="1" t="s">
        <v>149</v>
      </c>
      <c r="C399" s="1" t="s">
        <v>2926</v>
      </c>
      <c r="D399" s="2">
        <v>0</v>
      </c>
      <c r="G399" s="2">
        <v>372140.06</v>
      </c>
      <c r="H399" s="2">
        <f t="shared" si="6"/>
        <v>372140.06</v>
      </c>
    </row>
    <row r="400" spans="1:8">
      <c r="A400" s="1" t="s">
        <v>2908</v>
      </c>
      <c r="B400" s="1" t="s">
        <v>150</v>
      </c>
      <c r="C400" s="1" t="s">
        <v>2926</v>
      </c>
      <c r="D400" s="2">
        <v>0</v>
      </c>
      <c r="G400" s="2">
        <v>619416.27</v>
      </c>
      <c r="H400" s="2">
        <f t="shared" si="6"/>
        <v>619416.27</v>
      </c>
    </row>
    <row r="401" spans="1:8">
      <c r="A401" s="1" t="s">
        <v>2908</v>
      </c>
      <c r="B401" s="1" t="s">
        <v>151</v>
      </c>
      <c r="C401" s="1" t="s">
        <v>2926</v>
      </c>
      <c r="H401" s="2">
        <f t="shared" si="6"/>
        <v>0</v>
      </c>
    </row>
    <row r="402" spans="1:8">
      <c r="A402" s="1" t="s">
        <v>2908</v>
      </c>
      <c r="B402" s="1" t="s">
        <v>152</v>
      </c>
      <c r="C402" s="1" t="s">
        <v>2926</v>
      </c>
      <c r="H402" s="2">
        <f t="shared" si="6"/>
        <v>0</v>
      </c>
    </row>
    <row r="403" spans="1:8">
      <c r="A403" s="1" t="s">
        <v>2908</v>
      </c>
      <c r="B403" s="1" t="s">
        <v>153</v>
      </c>
      <c r="C403" s="1" t="s">
        <v>2926</v>
      </c>
      <c r="H403" s="2">
        <f t="shared" si="6"/>
        <v>0</v>
      </c>
    </row>
    <row r="404" spans="1:8">
      <c r="A404" s="1" t="s">
        <v>2908</v>
      </c>
      <c r="B404" s="1" t="s">
        <v>154</v>
      </c>
      <c r="C404" s="1" t="s">
        <v>2926</v>
      </c>
      <c r="H404" s="2">
        <f t="shared" si="6"/>
        <v>0</v>
      </c>
    </row>
    <row r="405" spans="1:8">
      <c r="A405" s="1" t="s">
        <v>2908</v>
      </c>
      <c r="B405" s="1" t="s">
        <v>155</v>
      </c>
      <c r="C405" s="1" t="s">
        <v>2926</v>
      </c>
      <c r="H405" s="2">
        <f t="shared" si="6"/>
        <v>0</v>
      </c>
    </row>
    <row r="406" spans="1:8">
      <c r="A406" s="1" t="s">
        <v>2908</v>
      </c>
      <c r="B406" s="1" t="s">
        <v>156</v>
      </c>
      <c r="C406" s="1" t="s">
        <v>2926</v>
      </c>
      <c r="H406" s="2">
        <f t="shared" si="6"/>
        <v>0</v>
      </c>
    </row>
    <row r="407" spans="1:8">
      <c r="A407" s="1" t="s">
        <v>2908</v>
      </c>
      <c r="B407" s="1" t="s">
        <v>157</v>
      </c>
      <c r="C407" s="1" t="s">
        <v>2926</v>
      </c>
      <c r="H407" s="2">
        <f t="shared" si="6"/>
        <v>0</v>
      </c>
    </row>
    <row r="408" spans="1:8">
      <c r="A408" s="1" t="s">
        <v>2908</v>
      </c>
      <c r="B408" s="1" t="s">
        <v>158</v>
      </c>
      <c r="C408" s="1" t="s">
        <v>2926</v>
      </c>
      <c r="H408" s="2">
        <f t="shared" si="6"/>
        <v>0</v>
      </c>
    </row>
    <row r="409" spans="1:8">
      <c r="A409" s="1" t="s">
        <v>2908</v>
      </c>
      <c r="B409" s="1" t="s">
        <v>159</v>
      </c>
      <c r="C409" s="1" t="s">
        <v>2926</v>
      </c>
      <c r="H409" s="2">
        <f t="shared" si="6"/>
        <v>0</v>
      </c>
    </row>
    <row r="410" spans="1:8">
      <c r="A410" s="1" t="s">
        <v>2909</v>
      </c>
      <c r="B410" s="1" t="s">
        <v>148</v>
      </c>
      <c r="C410" s="1" t="s">
        <v>2892</v>
      </c>
      <c r="D410" s="2">
        <v>21872825.44</v>
      </c>
      <c r="E410" s="2">
        <v>88199.39</v>
      </c>
      <c r="F410" s="2">
        <v>5254109.49</v>
      </c>
      <c r="G410" s="2">
        <v>728435.98</v>
      </c>
      <c r="H410" s="2">
        <f t="shared" si="6"/>
        <v>27943570.3</v>
      </c>
    </row>
    <row r="411" spans="1:8">
      <c r="A411" s="1" t="s">
        <v>2909</v>
      </c>
      <c r="B411" s="1" t="s">
        <v>149</v>
      </c>
      <c r="C411" s="1" t="s">
        <v>2892</v>
      </c>
      <c r="D411" s="2">
        <v>20583736.89</v>
      </c>
      <c r="E411" s="2">
        <v>56115.38</v>
      </c>
      <c r="F411" s="2">
        <v>1543137.05</v>
      </c>
      <c r="G411" s="2">
        <v>1661682.88</v>
      </c>
      <c r="H411" s="2">
        <f t="shared" si="6"/>
        <v>23844672.2</v>
      </c>
    </row>
    <row r="412" spans="1:8">
      <c r="A412" s="1" t="s">
        <v>2909</v>
      </c>
      <c r="B412" s="1" t="s">
        <v>150</v>
      </c>
      <c r="C412" s="1" t="s">
        <v>2892</v>
      </c>
      <c r="D412" s="2">
        <v>16552289.88</v>
      </c>
      <c r="E412" s="2">
        <v>309738.73</v>
      </c>
      <c r="F412" s="2">
        <v>3334017.16</v>
      </c>
      <c r="G412" s="2">
        <v>1137278.56</v>
      </c>
      <c r="H412" s="2">
        <f t="shared" si="6"/>
        <v>21333324.33</v>
      </c>
    </row>
    <row r="413" spans="1:8">
      <c r="A413" s="1" t="s">
        <v>2909</v>
      </c>
      <c r="B413" s="1" t="s">
        <v>151</v>
      </c>
      <c r="C413" s="1" t="s">
        <v>2892</v>
      </c>
      <c r="H413" s="2">
        <f t="shared" si="6"/>
        <v>0</v>
      </c>
    </row>
    <row r="414" spans="1:8">
      <c r="A414" s="1" t="s">
        <v>2909</v>
      </c>
      <c r="B414" s="1" t="s">
        <v>152</v>
      </c>
      <c r="C414" s="1" t="s">
        <v>2892</v>
      </c>
      <c r="H414" s="2">
        <f t="shared" si="6"/>
        <v>0</v>
      </c>
    </row>
    <row r="415" spans="1:8">
      <c r="A415" s="1" t="s">
        <v>2909</v>
      </c>
      <c r="B415" s="1" t="s">
        <v>153</v>
      </c>
      <c r="C415" s="1" t="s">
        <v>2892</v>
      </c>
      <c r="H415" s="2">
        <f t="shared" si="6"/>
        <v>0</v>
      </c>
    </row>
    <row r="416" spans="1:8">
      <c r="A416" s="1" t="s">
        <v>2909</v>
      </c>
      <c r="B416" s="1" t="s">
        <v>154</v>
      </c>
      <c r="C416" s="1" t="s">
        <v>2892</v>
      </c>
      <c r="H416" s="2">
        <f t="shared" si="6"/>
        <v>0</v>
      </c>
    </row>
    <row r="417" spans="1:8">
      <c r="A417" s="1" t="s">
        <v>2909</v>
      </c>
      <c r="B417" s="1" t="s">
        <v>155</v>
      </c>
      <c r="C417" s="1" t="s">
        <v>2892</v>
      </c>
      <c r="H417" s="2">
        <f t="shared" si="6"/>
        <v>0</v>
      </c>
    </row>
    <row r="418" spans="1:8">
      <c r="A418" s="1" t="s">
        <v>2909</v>
      </c>
      <c r="B418" s="1" t="s">
        <v>156</v>
      </c>
      <c r="C418" s="1" t="s">
        <v>2892</v>
      </c>
      <c r="H418" s="2">
        <f t="shared" si="6"/>
        <v>0</v>
      </c>
    </row>
    <row r="419" spans="1:8">
      <c r="A419" s="1" t="s">
        <v>2909</v>
      </c>
      <c r="B419" s="1" t="s">
        <v>157</v>
      </c>
      <c r="C419" s="1" t="s">
        <v>2892</v>
      </c>
      <c r="H419" s="2">
        <f t="shared" si="6"/>
        <v>0</v>
      </c>
    </row>
    <row r="420" spans="1:8">
      <c r="A420" s="1" t="s">
        <v>2909</v>
      </c>
      <c r="B420" s="1" t="s">
        <v>158</v>
      </c>
      <c r="C420" s="1" t="s">
        <v>2892</v>
      </c>
      <c r="H420" s="2">
        <f t="shared" si="6"/>
        <v>0</v>
      </c>
    </row>
    <row r="421" spans="1:8">
      <c r="A421" s="1" t="s">
        <v>2909</v>
      </c>
      <c r="B421" s="1" t="s">
        <v>159</v>
      </c>
      <c r="C421" s="1" t="s">
        <v>2892</v>
      </c>
      <c r="H421" s="2">
        <f t="shared" si="6"/>
        <v>0</v>
      </c>
    </row>
    <row r="422" spans="1:8">
      <c r="A422" s="1" t="s">
        <v>2909</v>
      </c>
      <c r="B422" s="1" t="s">
        <v>148</v>
      </c>
      <c r="C422" s="1" t="s">
        <v>2899</v>
      </c>
      <c r="D422" s="2">
        <v>21435830.246</v>
      </c>
      <c r="E422" s="2">
        <v>161554.5</v>
      </c>
      <c r="F422" s="2">
        <v>4399683.1786</v>
      </c>
      <c r="G422" s="2">
        <v>704931.7176</v>
      </c>
      <c r="H422" s="2">
        <f t="shared" si="6"/>
        <v>26701999.6422</v>
      </c>
    </row>
    <row r="423" spans="1:8">
      <c r="A423" s="1" t="s">
        <v>2909</v>
      </c>
      <c r="B423" s="1" t="s">
        <v>149</v>
      </c>
      <c r="C423" s="1" t="s">
        <v>2899</v>
      </c>
      <c r="D423" s="2">
        <v>20211329.89</v>
      </c>
      <c r="E423" s="2">
        <v>105113.85</v>
      </c>
      <c r="F423" s="2">
        <v>1296604.0184</v>
      </c>
      <c r="G423" s="2">
        <v>1608022.99</v>
      </c>
      <c r="H423" s="2">
        <f t="shared" si="6"/>
        <v>23221070.7484</v>
      </c>
    </row>
    <row r="424" spans="1:8">
      <c r="A424" s="1" t="s">
        <v>2909</v>
      </c>
      <c r="B424" s="1" t="s">
        <v>150</v>
      </c>
      <c r="C424" s="1" t="s">
        <v>2899</v>
      </c>
      <c r="D424" s="2">
        <v>16257232.75</v>
      </c>
      <c r="E424" s="2">
        <v>580234.11</v>
      </c>
      <c r="F424" s="2">
        <v>3092211.115</v>
      </c>
      <c r="G424" s="2">
        <v>1050274.597</v>
      </c>
      <c r="H424" s="2">
        <f t="shared" si="6"/>
        <v>20979952.572</v>
      </c>
    </row>
    <row r="425" spans="1:8">
      <c r="A425" s="1" t="s">
        <v>2909</v>
      </c>
      <c r="B425" s="1" t="s">
        <v>151</v>
      </c>
      <c r="C425" s="1" t="s">
        <v>2899</v>
      </c>
      <c r="H425" s="2">
        <f t="shared" si="6"/>
        <v>0</v>
      </c>
    </row>
    <row r="426" spans="1:8">
      <c r="A426" s="1" t="s">
        <v>2909</v>
      </c>
      <c r="B426" s="1" t="s">
        <v>152</v>
      </c>
      <c r="C426" s="1" t="s">
        <v>2899</v>
      </c>
      <c r="H426" s="2">
        <f t="shared" si="6"/>
        <v>0</v>
      </c>
    </row>
    <row r="427" spans="1:8">
      <c r="A427" s="1" t="s">
        <v>2909</v>
      </c>
      <c r="B427" s="1" t="s">
        <v>153</v>
      </c>
      <c r="C427" s="1" t="s">
        <v>2899</v>
      </c>
      <c r="H427" s="2">
        <f t="shared" si="6"/>
        <v>0</v>
      </c>
    </row>
    <row r="428" spans="1:8">
      <c r="A428" s="1" t="s">
        <v>2909</v>
      </c>
      <c r="B428" s="1" t="s">
        <v>154</v>
      </c>
      <c r="C428" s="1" t="s">
        <v>2899</v>
      </c>
      <c r="H428" s="2">
        <f t="shared" si="6"/>
        <v>0</v>
      </c>
    </row>
    <row r="429" spans="1:8">
      <c r="A429" s="1" t="s">
        <v>2909</v>
      </c>
      <c r="B429" s="1" t="s">
        <v>155</v>
      </c>
      <c r="C429" s="1" t="s">
        <v>2899</v>
      </c>
      <c r="H429" s="2">
        <f t="shared" si="6"/>
        <v>0</v>
      </c>
    </row>
    <row r="430" spans="1:8">
      <c r="A430" s="1" t="s">
        <v>2909</v>
      </c>
      <c r="B430" s="1" t="s">
        <v>156</v>
      </c>
      <c r="C430" s="1" t="s">
        <v>2899</v>
      </c>
      <c r="H430" s="2">
        <f t="shared" si="6"/>
        <v>0</v>
      </c>
    </row>
    <row r="431" spans="1:8">
      <c r="A431" s="1" t="s">
        <v>2909</v>
      </c>
      <c r="B431" s="1" t="s">
        <v>157</v>
      </c>
      <c r="C431" s="1" t="s">
        <v>2899</v>
      </c>
      <c r="H431" s="2">
        <f t="shared" si="6"/>
        <v>0</v>
      </c>
    </row>
    <row r="432" spans="1:8">
      <c r="A432" s="1" t="s">
        <v>2909</v>
      </c>
      <c r="B432" s="1" t="s">
        <v>158</v>
      </c>
      <c r="C432" s="1" t="s">
        <v>2899</v>
      </c>
      <c r="H432" s="2">
        <f t="shared" si="6"/>
        <v>0</v>
      </c>
    </row>
    <row r="433" spans="1:8">
      <c r="A433" s="1" t="s">
        <v>2909</v>
      </c>
      <c r="B433" s="1" t="s">
        <v>159</v>
      </c>
      <c r="C433" s="1" t="s">
        <v>2899</v>
      </c>
      <c r="H433" s="2">
        <f t="shared" si="6"/>
        <v>0</v>
      </c>
    </row>
    <row r="434" spans="1:8">
      <c r="A434" s="1" t="s">
        <v>2909</v>
      </c>
      <c r="B434" s="1" t="s">
        <v>148</v>
      </c>
      <c r="C434" s="1" t="s">
        <v>2896</v>
      </c>
      <c r="D434" s="2">
        <v>0</v>
      </c>
      <c r="E434" s="2">
        <v>0</v>
      </c>
      <c r="F434" s="2">
        <v>15533057.47</v>
      </c>
      <c r="G434" s="2">
        <v>12.75</v>
      </c>
      <c r="H434" s="2">
        <f t="shared" si="6"/>
        <v>15533070.22</v>
      </c>
    </row>
    <row r="435" spans="1:8">
      <c r="A435" s="1" t="s">
        <v>2909</v>
      </c>
      <c r="B435" s="1" t="s">
        <v>149</v>
      </c>
      <c r="C435" s="1" t="s">
        <v>2896</v>
      </c>
      <c r="D435" s="2">
        <v>0</v>
      </c>
      <c r="F435" s="2">
        <v>35087286.34</v>
      </c>
      <c r="G435" s="2">
        <v>8.5</v>
      </c>
      <c r="H435" s="2">
        <f t="shared" si="6"/>
        <v>35087294.84</v>
      </c>
    </row>
    <row r="436" spans="1:8">
      <c r="A436" s="1" t="s">
        <v>2909</v>
      </c>
      <c r="B436" s="1" t="s">
        <v>150</v>
      </c>
      <c r="C436" s="1" t="s">
        <v>2896</v>
      </c>
      <c r="D436" s="2">
        <v>0</v>
      </c>
      <c r="E436" s="2">
        <v>0</v>
      </c>
      <c r="F436" s="2">
        <v>119428149.84</v>
      </c>
      <c r="G436" s="2">
        <v>0</v>
      </c>
      <c r="H436" s="2">
        <f t="shared" si="6"/>
        <v>119428149.84</v>
      </c>
    </row>
    <row r="437" spans="1:8">
      <c r="A437" s="1" t="s">
        <v>2909</v>
      </c>
      <c r="B437" s="1" t="s">
        <v>151</v>
      </c>
      <c r="C437" s="1" t="s">
        <v>2896</v>
      </c>
      <c r="H437" s="2">
        <f t="shared" si="6"/>
        <v>0</v>
      </c>
    </row>
    <row r="438" spans="1:8">
      <c r="A438" s="1" t="s">
        <v>2909</v>
      </c>
      <c r="B438" s="1" t="s">
        <v>152</v>
      </c>
      <c r="C438" s="1" t="s">
        <v>2896</v>
      </c>
      <c r="H438" s="2">
        <f t="shared" si="6"/>
        <v>0</v>
      </c>
    </row>
    <row r="439" spans="1:8">
      <c r="A439" s="1" t="s">
        <v>2909</v>
      </c>
      <c r="B439" s="1" t="s">
        <v>153</v>
      </c>
      <c r="C439" s="1" t="s">
        <v>2896</v>
      </c>
      <c r="H439" s="2">
        <f t="shared" si="6"/>
        <v>0</v>
      </c>
    </row>
    <row r="440" spans="1:8">
      <c r="A440" s="1" t="s">
        <v>2909</v>
      </c>
      <c r="B440" s="1" t="s">
        <v>154</v>
      </c>
      <c r="C440" s="1" t="s">
        <v>2896</v>
      </c>
      <c r="H440" s="2">
        <f t="shared" si="6"/>
        <v>0</v>
      </c>
    </row>
    <row r="441" spans="1:8">
      <c r="A441" s="1" t="s">
        <v>2909</v>
      </c>
      <c r="B441" s="1" t="s">
        <v>155</v>
      </c>
      <c r="C441" s="1" t="s">
        <v>2896</v>
      </c>
      <c r="H441" s="2">
        <f t="shared" si="6"/>
        <v>0</v>
      </c>
    </row>
    <row r="442" spans="1:8">
      <c r="A442" s="1" t="s">
        <v>2909</v>
      </c>
      <c r="B442" s="1" t="s">
        <v>156</v>
      </c>
      <c r="C442" s="1" t="s">
        <v>2896</v>
      </c>
      <c r="H442" s="2">
        <f t="shared" si="6"/>
        <v>0</v>
      </c>
    </row>
    <row r="443" spans="1:8">
      <c r="A443" s="1" t="s">
        <v>2909</v>
      </c>
      <c r="B443" s="1" t="s">
        <v>157</v>
      </c>
      <c r="C443" s="1" t="s">
        <v>2896</v>
      </c>
      <c r="H443" s="2">
        <f t="shared" si="6"/>
        <v>0</v>
      </c>
    </row>
    <row r="444" spans="1:8">
      <c r="A444" s="1" t="s">
        <v>2909</v>
      </c>
      <c r="B444" s="1" t="s">
        <v>158</v>
      </c>
      <c r="C444" s="1" t="s">
        <v>2896</v>
      </c>
      <c r="H444" s="2">
        <f t="shared" ref="H444:H507" si="7">SUM(D444:G444)</f>
        <v>0</v>
      </c>
    </row>
    <row r="445" spans="1:8">
      <c r="A445" s="1" t="s">
        <v>2909</v>
      </c>
      <c r="B445" s="1" t="s">
        <v>159</v>
      </c>
      <c r="C445" s="1" t="s">
        <v>2896</v>
      </c>
      <c r="H445" s="2">
        <f t="shared" si="7"/>
        <v>0</v>
      </c>
    </row>
    <row r="446" spans="1:8">
      <c r="A446" s="1" t="s">
        <v>2909</v>
      </c>
      <c r="B446" s="1" t="s">
        <v>148</v>
      </c>
      <c r="C446" s="1" t="s">
        <v>2893</v>
      </c>
      <c r="D446" s="2">
        <v>0</v>
      </c>
      <c r="E446" s="2">
        <v>0</v>
      </c>
      <c r="F446" s="2">
        <v>16537415.19</v>
      </c>
      <c r="G446" s="2">
        <v>10.2</v>
      </c>
      <c r="H446" s="2">
        <f t="shared" si="7"/>
        <v>16537425.39</v>
      </c>
    </row>
    <row r="447" spans="1:8">
      <c r="A447" s="1" t="s">
        <v>2909</v>
      </c>
      <c r="B447" s="1" t="s">
        <v>149</v>
      </c>
      <c r="C447" s="1" t="s">
        <v>2893</v>
      </c>
      <c r="D447" s="2">
        <v>0</v>
      </c>
      <c r="F447" s="2">
        <v>35833070.38</v>
      </c>
      <c r="G447" s="2">
        <v>7.27</v>
      </c>
      <c r="H447" s="2">
        <f t="shared" si="7"/>
        <v>35833077.65</v>
      </c>
    </row>
    <row r="448" spans="1:8">
      <c r="A448" s="1" t="s">
        <v>2909</v>
      </c>
      <c r="B448" s="1" t="s">
        <v>150</v>
      </c>
      <c r="C448" s="1" t="s">
        <v>2893</v>
      </c>
      <c r="D448" s="2">
        <v>0</v>
      </c>
      <c r="E448" s="2">
        <v>0</v>
      </c>
      <c r="F448" s="2">
        <v>120079968.12</v>
      </c>
      <c r="G448" s="2">
        <v>0</v>
      </c>
      <c r="H448" s="2">
        <f t="shared" si="7"/>
        <v>120079968.12</v>
      </c>
    </row>
    <row r="449" spans="1:8">
      <c r="A449" s="1" t="s">
        <v>2909</v>
      </c>
      <c r="B449" s="1" t="s">
        <v>151</v>
      </c>
      <c r="C449" s="1" t="s">
        <v>2893</v>
      </c>
      <c r="H449" s="2">
        <f t="shared" si="7"/>
        <v>0</v>
      </c>
    </row>
    <row r="450" spans="1:8">
      <c r="A450" s="1" t="s">
        <v>2909</v>
      </c>
      <c r="B450" s="1" t="s">
        <v>152</v>
      </c>
      <c r="C450" s="1" t="s">
        <v>2893</v>
      </c>
      <c r="H450" s="2">
        <f t="shared" si="7"/>
        <v>0</v>
      </c>
    </row>
    <row r="451" spans="1:8">
      <c r="A451" s="1" t="s">
        <v>2909</v>
      </c>
      <c r="B451" s="1" t="s">
        <v>153</v>
      </c>
      <c r="C451" s="1" t="s">
        <v>2893</v>
      </c>
      <c r="H451" s="2">
        <f t="shared" si="7"/>
        <v>0</v>
      </c>
    </row>
    <row r="452" spans="1:8">
      <c r="A452" s="1" t="s">
        <v>2909</v>
      </c>
      <c r="B452" s="1" t="s">
        <v>154</v>
      </c>
      <c r="C452" s="1" t="s">
        <v>2893</v>
      </c>
      <c r="H452" s="2">
        <f t="shared" si="7"/>
        <v>0</v>
      </c>
    </row>
    <row r="453" spans="1:8">
      <c r="A453" s="1" t="s">
        <v>2909</v>
      </c>
      <c r="B453" s="1" t="s">
        <v>155</v>
      </c>
      <c r="C453" s="1" t="s">
        <v>2893</v>
      </c>
      <c r="H453" s="2">
        <f t="shared" si="7"/>
        <v>0</v>
      </c>
    </row>
    <row r="454" spans="1:8">
      <c r="A454" s="1" t="s">
        <v>2909</v>
      </c>
      <c r="B454" s="1" t="s">
        <v>156</v>
      </c>
      <c r="C454" s="1" t="s">
        <v>2893</v>
      </c>
      <c r="H454" s="2">
        <f t="shared" si="7"/>
        <v>0</v>
      </c>
    </row>
    <row r="455" spans="1:8">
      <c r="A455" s="1" t="s">
        <v>2909</v>
      </c>
      <c r="B455" s="1" t="s">
        <v>157</v>
      </c>
      <c r="C455" s="1" t="s">
        <v>2893</v>
      </c>
      <c r="H455" s="2">
        <f t="shared" si="7"/>
        <v>0</v>
      </c>
    </row>
    <row r="456" spans="1:8">
      <c r="A456" s="1" t="s">
        <v>2909</v>
      </c>
      <c r="B456" s="1" t="s">
        <v>158</v>
      </c>
      <c r="C456" s="1" t="s">
        <v>2893</v>
      </c>
      <c r="H456" s="2">
        <f t="shared" si="7"/>
        <v>0</v>
      </c>
    </row>
    <row r="457" spans="1:8">
      <c r="A457" s="1" t="s">
        <v>2909</v>
      </c>
      <c r="B457" s="1" t="s">
        <v>159</v>
      </c>
      <c r="C457" s="1" t="s">
        <v>2893</v>
      </c>
      <c r="H457" s="2">
        <f t="shared" si="7"/>
        <v>0</v>
      </c>
    </row>
    <row r="458" spans="1:8">
      <c r="A458" s="1" t="s">
        <v>2909</v>
      </c>
      <c r="B458" s="1" t="s">
        <v>148</v>
      </c>
      <c r="C458" s="1" t="s">
        <v>2902</v>
      </c>
      <c r="D458" s="2">
        <v>0</v>
      </c>
      <c r="F458" s="2">
        <v>1049705.41</v>
      </c>
      <c r="G458" s="2">
        <v>0</v>
      </c>
      <c r="H458" s="2">
        <f t="shared" si="7"/>
        <v>1049705.41</v>
      </c>
    </row>
    <row r="459" spans="1:8">
      <c r="A459" s="1" t="s">
        <v>2909</v>
      </c>
      <c r="B459" s="1" t="s">
        <v>149</v>
      </c>
      <c r="C459" s="1" t="s">
        <v>2902</v>
      </c>
      <c r="D459" s="2">
        <v>0</v>
      </c>
      <c r="F459" s="2">
        <v>961423.53</v>
      </c>
      <c r="G459" s="2">
        <v>0</v>
      </c>
      <c r="H459" s="2">
        <f t="shared" si="7"/>
        <v>961423.53</v>
      </c>
    </row>
    <row r="460" spans="1:8">
      <c r="A460" s="1" t="s">
        <v>2909</v>
      </c>
      <c r="B460" s="1" t="s">
        <v>150</v>
      </c>
      <c r="C460" s="1" t="s">
        <v>2902</v>
      </c>
      <c r="D460" s="2">
        <v>0</v>
      </c>
      <c r="F460" s="2">
        <v>2533443.38</v>
      </c>
      <c r="G460" s="2">
        <v>0</v>
      </c>
      <c r="H460" s="2">
        <f t="shared" si="7"/>
        <v>2533443.38</v>
      </c>
    </row>
    <row r="461" spans="1:8">
      <c r="A461" s="1" t="s">
        <v>2909</v>
      </c>
      <c r="B461" s="1" t="s">
        <v>151</v>
      </c>
      <c r="C461" s="1" t="s">
        <v>2902</v>
      </c>
      <c r="H461" s="2">
        <f t="shared" si="7"/>
        <v>0</v>
      </c>
    </row>
    <row r="462" spans="1:8">
      <c r="A462" s="1" t="s">
        <v>2909</v>
      </c>
      <c r="B462" s="1" t="s">
        <v>152</v>
      </c>
      <c r="C462" s="1" t="s">
        <v>2902</v>
      </c>
      <c r="H462" s="2">
        <f t="shared" si="7"/>
        <v>0</v>
      </c>
    </row>
    <row r="463" spans="1:8">
      <c r="A463" s="1" t="s">
        <v>2909</v>
      </c>
      <c r="B463" s="1" t="s">
        <v>153</v>
      </c>
      <c r="C463" s="1" t="s">
        <v>2902</v>
      </c>
      <c r="H463" s="2">
        <f t="shared" si="7"/>
        <v>0</v>
      </c>
    </row>
    <row r="464" spans="1:8">
      <c r="A464" s="1" t="s">
        <v>2909</v>
      </c>
      <c r="B464" s="1" t="s">
        <v>154</v>
      </c>
      <c r="C464" s="1" t="s">
        <v>2902</v>
      </c>
      <c r="H464" s="2">
        <f t="shared" si="7"/>
        <v>0</v>
      </c>
    </row>
    <row r="465" spans="1:8">
      <c r="A465" s="1" t="s">
        <v>2909</v>
      </c>
      <c r="B465" s="1" t="s">
        <v>155</v>
      </c>
      <c r="C465" s="1" t="s">
        <v>2902</v>
      </c>
      <c r="F465" s="2"/>
      <c r="H465" s="2">
        <f t="shared" si="7"/>
        <v>0</v>
      </c>
    </row>
    <row r="466" spans="1:8">
      <c r="A466" s="1" t="s">
        <v>2909</v>
      </c>
      <c r="B466" s="1" t="s">
        <v>156</v>
      </c>
      <c r="C466" s="1" t="s">
        <v>2902</v>
      </c>
      <c r="H466" s="2">
        <f t="shared" si="7"/>
        <v>0</v>
      </c>
    </row>
    <row r="467" spans="1:8">
      <c r="A467" s="1" t="s">
        <v>2909</v>
      </c>
      <c r="B467" s="1" t="s">
        <v>157</v>
      </c>
      <c r="C467" s="1" t="s">
        <v>2902</v>
      </c>
      <c r="H467" s="2">
        <f t="shared" si="7"/>
        <v>0</v>
      </c>
    </row>
    <row r="468" spans="1:8">
      <c r="A468" s="1" t="s">
        <v>2909</v>
      </c>
      <c r="B468" s="1" t="s">
        <v>158</v>
      </c>
      <c r="C468" s="1" t="s">
        <v>2902</v>
      </c>
      <c r="H468" s="2">
        <f t="shared" si="7"/>
        <v>0</v>
      </c>
    </row>
    <row r="469" spans="1:8">
      <c r="A469" s="1" t="s">
        <v>2909</v>
      </c>
      <c r="B469" s="1" t="s">
        <v>159</v>
      </c>
      <c r="C469" s="1" t="s">
        <v>2902</v>
      </c>
      <c r="H469" s="2">
        <f t="shared" si="7"/>
        <v>0</v>
      </c>
    </row>
    <row r="470" spans="1:8">
      <c r="A470" s="1" t="s">
        <v>2909</v>
      </c>
      <c r="B470" s="1" t="s">
        <v>148</v>
      </c>
      <c r="C470" s="1" t="s">
        <v>2931</v>
      </c>
      <c r="D470" s="2">
        <v>0</v>
      </c>
      <c r="F470" s="2">
        <v>4776.33</v>
      </c>
      <c r="G470" s="2">
        <v>0</v>
      </c>
      <c r="H470" s="2">
        <f t="shared" si="7"/>
        <v>4776.33</v>
      </c>
    </row>
    <row r="471" spans="1:8">
      <c r="A471" s="1" t="s">
        <v>2909</v>
      </c>
      <c r="B471" s="1" t="s">
        <v>149</v>
      </c>
      <c r="C471" s="1" t="s">
        <v>2931</v>
      </c>
      <c r="D471" s="2">
        <v>0</v>
      </c>
      <c r="F471" s="2">
        <v>48634.01</v>
      </c>
      <c r="G471" s="2">
        <v>0</v>
      </c>
      <c r="H471" s="2">
        <f t="shared" si="7"/>
        <v>48634.01</v>
      </c>
    </row>
    <row r="472" spans="1:8">
      <c r="A472" s="1" t="s">
        <v>2909</v>
      </c>
      <c r="B472" s="1" t="s">
        <v>150</v>
      </c>
      <c r="C472" s="1" t="s">
        <v>2931</v>
      </c>
      <c r="D472" s="2">
        <v>0</v>
      </c>
      <c r="F472" s="2">
        <v>93673.94</v>
      </c>
      <c r="G472" s="2">
        <v>0</v>
      </c>
      <c r="H472" s="2">
        <f t="shared" si="7"/>
        <v>93673.94</v>
      </c>
    </row>
    <row r="473" spans="1:8">
      <c r="A473" s="1" t="s">
        <v>2909</v>
      </c>
      <c r="B473" s="1" t="s">
        <v>151</v>
      </c>
      <c r="C473" s="1" t="s">
        <v>2931</v>
      </c>
      <c r="H473" s="2">
        <f t="shared" si="7"/>
        <v>0</v>
      </c>
    </row>
    <row r="474" spans="1:8">
      <c r="A474" s="1" t="s">
        <v>2909</v>
      </c>
      <c r="B474" s="1" t="s">
        <v>152</v>
      </c>
      <c r="C474" s="1" t="s">
        <v>2931</v>
      </c>
      <c r="H474" s="2">
        <f t="shared" si="7"/>
        <v>0</v>
      </c>
    </row>
    <row r="475" spans="1:8">
      <c r="A475" s="1" t="s">
        <v>2909</v>
      </c>
      <c r="B475" s="1" t="s">
        <v>153</v>
      </c>
      <c r="C475" s="1" t="s">
        <v>2931</v>
      </c>
      <c r="H475" s="2">
        <f t="shared" si="7"/>
        <v>0</v>
      </c>
    </row>
    <row r="476" spans="1:8">
      <c r="A476" s="1" t="s">
        <v>2909</v>
      </c>
      <c r="B476" s="1" t="s">
        <v>154</v>
      </c>
      <c r="C476" s="1" t="s">
        <v>2931</v>
      </c>
      <c r="H476" s="2">
        <f t="shared" si="7"/>
        <v>0</v>
      </c>
    </row>
    <row r="477" spans="1:8">
      <c r="A477" s="1" t="s">
        <v>2909</v>
      </c>
      <c r="B477" s="1" t="s">
        <v>155</v>
      </c>
      <c r="C477" s="1" t="s">
        <v>2931</v>
      </c>
      <c r="H477" s="2">
        <f t="shared" si="7"/>
        <v>0</v>
      </c>
    </row>
    <row r="478" spans="1:8">
      <c r="A478" s="1" t="s">
        <v>2909</v>
      </c>
      <c r="B478" s="1" t="s">
        <v>156</v>
      </c>
      <c r="C478" s="1" t="s">
        <v>2931</v>
      </c>
      <c r="H478" s="2">
        <f t="shared" si="7"/>
        <v>0</v>
      </c>
    </row>
    <row r="479" spans="1:8">
      <c r="A479" s="1" t="s">
        <v>2909</v>
      </c>
      <c r="B479" s="1" t="s">
        <v>157</v>
      </c>
      <c r="C479" s="1" t="s">
        <v>2931</v>
      </c>
      <c r="H479" s="2">
        <f t="shared" si="7"/>
        <v>0</v>
      </c>
    </row>
    <row r="480" spans="1:8">
      <c r="A480" s="1" t="s">
        <v>2909</v>
      </c>
      <c r="B480" s="1" t="s">
        <v>158</v>
      </c>
      <c r="C480" s="1" t="s">
        <v>2931</v>
      </c>
      <c r="H480" s="2">
        <f t="shared" si="7"/>
        <v>0</v>
      </c>
    </row>
    <row r="481" spans="1:8">
      <c r="A481" s="1" t="s">
        <v>2909</v>
      </c>
      <c r="B481" s="1" t="s">
        <v>159</v>
      </c>
      <c r="C481" s="1" t="s">
        <v>2931</v>
      </c>
      <c r="H481" s="2">
        <f t="shared" si="7"/>
        <v>0</v>
      </c>
    </row>
    <row r="482" spans="1:8">
      <c r="A482" s="1" t="s">
        <v>2909</v>
      </c>
      <c r="B482" s="1" t="s">
        <v>148</v>
      </c>
      <c r="C482" s="1" t="s">
        <v>2904</v>
      </c>
      <c r="D482" s="2">
        <v>0</v>
      </c>
      <c r="G482" s="2">
        <v>0.31</v>
      </c>
      <c r="H482" s="2">
        <f t="shared" si="7"/>
        <v>0.31</v>
      </c>
    </row>
    <row r="483" spans="1:8">
      <c r="A483" s="1" t="s">
        <v>2909</v>
      </c>
      <c r="B483" s="1" t="s">
        <v>149</v>
      </c>
      <c r="C483" s="1" t="s">
        <v>2904</v>
      </c>
      <c r="H483" s="2">
        <f t="shared" si="7"/>
        <v>0</v>
      </c>
    </row>
    <row r="484" spans="1:8">
      <c r="A484" s="1" t="s">
        <v>2909</v>
      </c>
      <c r="B484" s="1" t="s">
        <v>150</v>
      </c>
      <c r="C484" s="1" t="s">
        <v>2904</v>
      </c>
      <c r="D484" s="2">
        <v>0</v>
      </c>
      <c r="G484" s="2">
        <v>1.59</v>
      </c>
      <c r="H484" s="2">
        <f t="shared" si="7"/>
        <v>1.59</v>
      </c>
    </row>
    <row r="485" spans="1:8">
      <c r="A485" s="1" t="s">
        <v>2909</v>
      </c>
      <c r="B485" s="1" t="s">
        <v>151</v>
      </c>
      <c r="C485" s="1" t="s">
        <v>2904</v>
      </c>
      <c r="H485" s="2">
        <f t="shared" si="7"/>
        <v>0</v>
      </c>
    </row>
    <row r="486" spans="1:8">
      <c r="A486" s="1" t="s">
        <v>2909</v>
      </c>
      <c r="B486" s="1" t="s">
        <v>152</v>
      </c>
      <c r="C486" s="1" t="s">
        <v>2904</v>
      </c>
      <c r="H486" s="2">
        <f t="shared" si="7"/>
        <v>0</v>
      </c>
    </row>
    <row r="487" spans="1:8">
      <c r="A487" s="1" t="s">
        <v>2909</v>
      </c>
      <c r="B487" s="1" t="s">
        <v>153</v>
      </c>
      <c r="C487" s="1" t="s">
        <v>2904</v>
      </c>
      <c r="H487" s="2">
        <f t="shared" si="7"/>
        <v>0</v>
      </c>
    </row>
    <row r="488" spans="1:8">
      <c r="A488" s="1" t="s">
        <v>2909</v>
      </c>
      <c r="B488" s="1" t="s">
        <v>154</v>
      </c>
      <c r="C488" s="1" t="s">
        <v>2904</v>
      </c>
      <c r="H488" s="2">
        <f t="shared" si="7"/>
        <v>0</v>
      </c>
    </row>
    <row r="489" spans="1:8">
      <c r="A489" s="1" t="s">
        <v>2909</v>
      </c>
      <c r="B489" s="1" t="s">
        <v>155</v>
      </c>
      <c r="C489" s="1" t="s">
        <v>2904</v>
      </c>
      <c r="H489" s="2">
        <f t="shared" si="7"/>
        <v>0</v>
      </c>
    </row>
    <row r="490" spans="1:8">
      <c r="A490" s="1" t="s">
        <v>2909</v>
      </c>
      <c r="B490" s="1" t="s">
        <v>156</v>
      </c>
      <c r="C490" s="1" t="s">
        <v>2904</v>
      </c>
      <c r="H490" s="2">
        <f t="shared" si="7"/>
        <v>0</v>
      </c>
    </row>
    <row r="491" spans="1:8">
      <c r="A491" s="1" t="s">
        <v>2909</v>
      </c>
      <c r="B491" s="1" t="s">
        <v>157</v>
      </c>
      <c r="C491" s="1" t="s">
        <v>2904</v>
      </c>
      <c r="H491" s="2">
        <f t="shared" si="7"/>
        <v>0</v>
      </c>
    </row>
    <row r="492" spans="1:8">
      <c r="A492" s="1" t="s">
        <v>2909</v>
      </c>
      <c r="B492" s="1" t="s">
        <v>158</v>
      </c>
      <c r="C492" s="1" t="s">
        <v>2904</v>
      </c>
      <c r="H492" s="2">
        <f t="shared" si="7"/>
        <v>0</v>
      </c>
    </row>
    <row r="493" spans="1:8">
      <c r="A493" s="1" t="s">
        <v>2909</v>
      </c>
      <c r="B493" s="1" t="s">
        <v>159</v>
      </c>
      <c r="C493" s="1" t="s">
        <v>2904</v>
      </c>
      <c r="H493" s="2">
        <f t="shared" si="7"/>
        <v>0</v>
      </c>
    </row>
    <row r="494" spans="1:8">
      <c r="A494" s="1" t="s">
        <v>2909</v>
      </c>
      <c r="B494" s="1" t="s">
        <v>148</v>
      </c>
      <c r="C494" s="1" t="s">
        <v>1901</v>
      </c>
      <c r="D494" s="2">
        <v>0</v>
      </c>
      <c r="F494" s="2">
        <v>6791.74</v>
      </c>
      <c r="G494" s="2">
        <v>0</v>
      </c>
      <c r="H494" s="2">
        <f t="shared" si="7"/>
        <v>6791.74</v>
      </c>
    </row>
    <row r="495" spans="1:8">
      <c r="A495" s="1" t="s">
        <v>2909</v>
      </c>
      <c r="B495" s="1" t="s">
        <v>149</v>
      </c>
      <c r="C495" s="1" t="s">
        <v>1901</v>
      </c>
      <c r="D495" s="2">
        <v>0</v>
      </c>
      <c r="F495" s="2">
        <v>8629.94</v>
      </c>
      <c r="G495" s="2">
        <v>0</v>
      </c>
      <c r="H495" s="2">
        <f t="shared" si="7"/>
        <v>8629.94</v>
      </c>
    </row>
    <row r="496" spans="1:8">
      <c r="A496" s="1" t="s">
        <v>2909</v>
      </c>
      <c r="B496" s="1" t="s">
        <v>150</v>
      </c>
      <c r="C496" s="1" t="s">
        <v>1901</v>
      </c>
      <c r="D496" s="2">
        <v>0</v>
      </c>
      <c r="F496" s="2">
        <v>14467.35</v>
      </c>
      <c r="G496" s="2">
        <v>0</v>
      </c>
      <c r="H496" s="2">
        <f t="shared" si="7"/>
        <v>14467.35</v>
      </c>
    </row>
    <row r="497" spans="1:8">
      <c r="A497" s="1" t="s">
        <v>2909</v>
      </c>
      <c r="B497" s="1" t="s">
        <v>151</v>
      </c>
      <c r="C497" s="1" t="s">
        <v>1901</v>
      </c>
      <c r="H497" s="2">
        <f t="shared" si="7"/>
        <v>0</v>
      </c>
    </row>
    <row r="498" spans="1:8">
      <c r="A498" s="1" t="s">
        <v>2909</v>
      </c>
      <c r="B498" s="1" t="s">
        <v>152</v>
      </c>
      <c r="C498" s="1" t="s">
        <v>1901</v>
      </c>
      <c r="H498" s="2">
        <f t="shared" si="7"/>
        <v>0</v>
      </c>
    </row>
    <row r="499" spans="1:8">
      <c r="A499" s="1" t="s">
        <v>2909</v>
      </c>
      <c r="B499" s="1" t="s">
        <v>153</v>
      </c>
      <c r="C499" s="1" t="s">
        <v>1901</v>
      </c>
      <c r="H499" s="2">
        <f t="shared" si="7"/>
        <v>0</v>
      </c>
    </row>
    <row r="500" spans="1:8">
      <c r="A500" s="1" t="s">
        <v>2909</v>
      </c>
      <c r="B500" s="1" t="s">
        <v>154</v>
      </c>
      <c r="C500" s="1" t="s">
        <v>1901</v>
      </c>
      <c r="H500" s="2">
        <f t="shared" si="7"/>
        <v>0</v>
      </c>
    </row>
    <row r="501" spans="1:8">
      <c r="A501" s="1" t="s">
        <v>2909</v>
      </c>
      <c r="B501" s="1" t="s">
        <v>155</v>
      </c>
      <c r="C501" s="1" t="s">
        <v>1901</v>
      </c>
      <c r="H501" s="2">
        <f t="shared" si="7"/>
        <v>0</v>
      </c>
    </row>
    <row r="502" spans="1:8">
      <c r="A502" s="1" t="s">
        <v>2909</v>
      </c>
      <c r="B502" s="1" t="s">
        <v>156</v>
      </c>
      <c r="C502" s="1" t="s">
        <v>1901</v>
      </c>
      <c r="H502" s="2">
        <f t="shared" si="7"/>
        <v>0</v>
      </c>
    </row>
    <row r="503" spans="1:8">
      <c r="A503" s="1" t="s">
        <v>2909</v>
      </c>
      <c r="B503" s="1" t="s">
        <v>157</v>
      </c>
      <c r="C503" s="1" t="s">
        <v>1901</v>
      </c>
      <c r="H503" s="2">
        <f t="shared" si="7"/>
        <v>0</v>
      </c>
    </row>
    <row r="504" spans="1:8">
      <c r="A504" s="1" t="s">
        <v>2909</v>
      </c>
      <c r="B504" s="1" t="s">
        <v>158</v>
      </c>
      <c r="C504" s="1" t="s">
        <v>1901</v>
      </c>
      <c r="H504" s="2">
        <f t="shared" si="7"/>
        <v>0</v>
      </c>
    </row>
    <row r="505" spans="1:8">
      <c r="A505" s="1" t="s">
        <v>2909</v>
      </c>
      <c r="B505" s="1" t="s">
        <v>159</v>
      </c>
      <c r="C505" s="1" t="s">
        <v>1901</v>
      </c>
      <c r="H505" s="2">
        <f t="shared" si="7"/>
        <v>0</v>
      </c>
    </row>
    <row r="506" spans="1:8">
      <c r="A506" s="1" t="s">
        <v>2909</v>
      </c>
      <c r="B506" s="1" t="s">
        <v>148</v>
      </c>
      <c r="C506" s="1" t="s">
        <v>2926</v>
      </c>
      <c r="H506" s="2">
        <f t="shared" si="7"/>
        <v>0</v>
      </c>
    </row>
    <row r="507" spans="1:8">
      <c r="A507" s="1" t="s">
        <v>2909</v>
      </c>
      <c r="B507" s="1" t="s">
        <v>149</v>
      </c>
      <c r="C507" s="1" t="s">
        <v>2926</v>
      </c>
      <c r="H507" s="2">
        <f t="shared" si="7"/>
        <v>0</v>
      </c>
    </row>
    <row r="508" spans="1:8">
      <c r="A508" s="1" t="s">
        <v>2909</v>
      </c>
      <c r="B508" s="1" t="s">
        <v>150</v>
      </c>
      <c r="C508" s="1" t="s">
        <v>2926</v>
      </c>
      <c r="H508" s="2">
        <f t="shared" ref="H508:H571" si="8">SUM(D508:G508)</f>
        <v>0</v>
      </c>
    </row>
    <row r="509" spans="1:8">
      <c r="A509" s="1" t="s">
        <v>2909</v>
      </c>
      <c r="B509" s="1" t="s">
        <v>151</v>
      </c>
      <c r="C509" s="1" t="s">
        <v>2926</v>
      </c>
      <c r="H509" s="2">
        <f t="shared" si="8"/>
        <v>0</v>
      </c>
    </row>
    <row r="510" spans="1:8">
      <c r="A510" s="1" t="s">
        <v>2909</v>
      </c>
      <c r="B510" s="1" t="s">
        <v>152</v>
      </c>
      <c r="C510" s="1" t="s">
        <v>2926</v>
      </c>
      <c r="H510" s="2">
        <f t="shared" si="8"/>
        <v>0</v>
      </c>
    </row>
    <row r="511" spans="1:8">
      <c r="A511" s="1" t="s">
        <v>2909</v>
      </c>
      <c r="B511" s="1" t="s">
        <v>153</v>
      </c>
      <c r="C511" s="1" t="s">
        <v>2926</v>
      </c>
      <c r="H511" s="2">
        <f t="shared" si="8"/>
        <v>0</v>
      </c>
    </row>
    <row r="512" spans="1:8">
      <c r="A512" s="1" t="s">
        <v>2909</v>
      </c>
      <c r="B512" s="1" t="s">
        <v>154</v>
      </c>
      <c r="C512" s="1" t="s">
        <v>2926</v>
      </c>
      <c r="H512" s="2">
        <f t="shared" si="8"/>
        <v>0</v>
      </c>
    </row>
    <row r="513" spans="1:8">
      <c r="A513" s="1" t="s">
        <v>2909</v>
      </c>
      <c r="B513" s="1" t="s">
        <v>155</v>
      </c>
      <c r="C513" s="1" t="s">
        <v>2926</v>
      </c>
      <c r="H513" s="2">
        <f t="shared" si="8"/>
        <v>0</v>
      </c>
    </row>
    <row r="514" spans="1:8">
      <c r="A514" s="1" t="s">
        <v>2909</v>
      </c>
      <c r="B514" s="1" t="s">
        <v>156</v>
      </c>
      <c r="C514" s="1" t="s">
        <v>2926</v>
      </c>
      <c r="H514" s="2">
        <f t="shared" si="8"/>
        <v>0</v>
      </c>
    </row>
    <row r="515" spans="1:8">
      <c r="A515" s="1" t="s">
        <v>2909</v>
      </c>
      <c r="B515" s="1" t="s">
        <v>157</v>
      </c>
      <c r="C515" s="1" t="s">
        <v>2926</v>
      </c>
      <c r="H515" s="2">
        <f t="shared" si="8"/>
        <v>0</v>
      </c>
    </row>
    <row r="516" spans="1:8">
      <c r="A516" s="1" t="s">
        <v>2909</v>
      </c>
      <c r="B516" s="1" t="s">
        <v>158</v>
      </c>
      <c r="C516" s="1" t="s">
        <v>2926</v>
      </c>
      <c r="H516" s="2">
        <f t="shared" si="8"/>
        <v>0</v>
      </c>
    </row>
    <row r="517" spans="1:8">
      <c r="A517" s="1" t="s">
        <v>2909</v>
      </c>
      <c r="B517" s="1" t="s">
        <v>159</v>
      </c>
      <c r="C517" s="1" t="s">
        <v>2926</v>
      </c>
      <c r="H517" s="2">
        <f t="shared" si="8"/>
        <v>0</v>
      </c>
    </row>
    <row r="518" spans="1:8">
      <c r="A518" s="1" t="s">
        <v>2910</v>
      </c>
      <c r="B518" s="1" t="s">
        <v>148</v>
      </c>
      <c r="C518" s="1" t="s">
        <v>2892</v>
      </c>
      <c r="D518" s="2">
        <v>43692426.3</v>
      </c>
      <c r="E518" s="2">
        <v>4424209.43999999</v>
      </c>
      <c r="F518" s="2">
        <v>23193543.65</v>
      </c>
      <c r="G518" s="2">
        <v>116226553.31</v>
      </c>
      <c r="H518" s="2">
        <f t="shared" si="8"/>
        <v>187536732.7</v>
      </c>
    </row>
    <row r="519" spans="1:8">
      <c r="A519" s="1" t="s">
        <v>2910</v>
      </c>
      <c r="B519" s="1" t="s">
        <v>149</v>
      </c>
      <c r="C519" s="1" t="s">
        <v>2892</v>
      </c>
      <c r="D519" s="2">
        <v>34823525.51</v>
      </c>
      <c r="E519" s="2">
        <v>2335280.57</v>
      </c>
      <c r="F519" s="2">
        <v>13217783.6800001</v>
      </c>
      <c r="G519" s="2">
        <v>94967095.1400001</v>
      </c>
      <c r="H519" s="2">
        <f t="shared" si="8"/>
        <v>145343684.9</v>
      </c>
    </row>
    <row r="520" spans="1:8">
      <c r="A520" s="1" t="s">
        <v>2910</v>
      </c>
      <c r="B520" s="1" t="s">
        <v>150</v>
      </c>
      <c r="C520" s="1" t="s">
        <v>2892</v>
      </c>
      <c r="D520" s="2">
        <v>26853206.75</v>
      </c>
      <c r="E520" s="2">
        <v>3040259.11999999</v>
      </c>
      <c r="F520" s="2">
        <v>16411678.4199997</v>
      </c>
      <c r="G520" s="2">
        <v>238297265.85</v>
      </c>
      <c r="H520" s="2">
        <f t="shared" si="8"/>
        <v>284602410.14</v>
      </c>
    </row>
    <row r="521" spans="1:8">
      <c r="A521" s="1" t="s">
        <v>2910</v>
      </c>
      <c r="B521" s="1" t="s">
        <v>151</v>
      </c>
      <c r="C521" s="1" t="s">
        <v>2892</v>
      </c>
      <c r="H521" s="2">
        <f t="shared" si="8"/>
        <v>0</v>
      </c>
    </row>
    <row r="522" spans="1:8">
      <c r="A522" s="1" t="s">
        <v>2910</v>
      </c>
      <c r="B522" s="1" t="s">
        <v>152</v>
      </c>
      <c r="C522" s="1" t="s">
        <v>2892</v>
      </c>
      <c r="H522" s="2">
        <f t="shared" si="8"/>
        <v>0</v>
      </c>
    </row>
    <row r="523" spans="1:8">
      <c r="A523" s="1" t="s">
        <v>2910</v>
      </c>
      <c r="B523" s="1" t="s">
        <v>153</v>
      </c>
      <c r="C523" s="1" t="s">
        <v>2892</v>
      </c>
      <c r="H523" s="2">
        <f t="shared" si="8"/>
        <v>0</v>
      </c>
    </row>
    <row r="524" spans="1:8">
      <c r="A524" s="1" t="s">
        <v>2910</v>
      </c>
      <c r="B524" s="1" t="s">
        <v>154</v>
      </c>
      <c r="C524" s="1" t="s">
        <v>2892</v>
      </c>
      <c r="H524" s="2">
        <f t="shared" si="8"/>
        <v>0</v>
      </c>
    </row>
    <row r="525" spans="1:8">
      <c r="A525" s="1" t="s">
        <v>2910</v>
      </c>
      <c r="B525" s="1" t="s">
        <v>155</v>
      </c>
      <c r="C525" s="1" t="s">
        <v>2892</v>
      </c>
      <c r="H525" s="2">
        <f t="shared" si="8"/>
        <v>0</v>
      </c>
    </row>
    <row r="526" spans="1:8">
      <c r="A526" s="1" t="s">
        <v>2910</v>
      </c>
      <c r="B526" s="1" t="s">
        <v>156</v>
      </c>
      <c r="C526" s="1" t="s">
        <v>2892</v>
      </c>
      <c r="H526" s="2">
        <f t="shared" si="8"/>
        <v>0</v>
      </c>
    </row>
    <row r="527" spans="1:8">
      <c r="A527" s="1" t="s">
        <v>2910</v>
      </c>
      <c r="B527" s="1" t="s">
        <v>157</v>
      </c>
      <c r="C527" s="1" t="s">
        <v>2892</v>
      </c>
      <c r="H527" s="2">
        <f t="shared" si="8"/>
        <v>0</v>
      </c>
    </row>
    <row r="528" spans="1:8">
      <c r="A528" s="1" t="s">
        <v>2910</v>
      </c>
      <c r="B528" s="1" t="s">
        <v>158</v>
      </c>
      <c r="C528" s="1" t="s">
        <v>2892</v>
      </c>
      <c r="H528" s="2">
        <f t="shared" si="8"/>
        <v>0</v>
      </c>
    </row>
    <row r="529" spans="1:8">
      <c r="A529" s="1" t="s">
        <v>2910</v>
      </c>
      <c r="B529" s="1" t="s">
        <v>159</v>
      </c>
      <c r="C529" s="1" t="s">
        <v>2892</v>
      </c>
      <c r="H529" s="2">
        <f t="shared" si="8"/>
        <v>0</v>
      </c>
    </row>
    <row r="530" spans="1:8">
      <c r="A530" s="1" t="s">
        <v>2910</v>
      </c>
      <c r="B530" s="1" t="s">
        <v>148</v>
      </c>
      <c r="C530" s="1" t="s">
        <v>2899</v>
      </c>
      <c r="D530" s="2">
        <v>43199040.295</v>
      </c>
      <c r="E530" s="2">
        <v>4391332.1198</v>
      </c>
      <c r="F530" s="2">
        <v>18892665.65</v>
      </c>
      <c r="G530" s="2">
        <v>115522089.1854</v>
      </c>
      <c r="H530" s="2">
        <f t="shared" si="8"/>
        <v>182005127.2502</v>
      </c>
    </row>
    <row r="531" spans="1:8">
      <c r="A531" s="1" t="s">
        <v>2910</v>
      </c>
      <c r="B531" s="1" t="s">
        <v>149</v>
      </c>
      <c r="C531" s="1" t="s">
        <v>2899</v>
      </c>
      <c r="D531" s="2">
        <v>34386798.7496</v>
      </c>
      <c r="E531" s="2">
        <v>2290851.5536</v>
      </c>
      <c r="F531" s="2">
        <v>11965610.2344</v>
      </c>
      <c r="G531" s="2">
        <v>94882140.2426</v>
      </c>
      <c r="H531" s="2">
        <f t="shared" si="8"/>
        <v>143525400.7802</v>
      </c>
    </row>
    <row r="532" spans="1:8">
      <c r="A532" s="1" t="s">
        <v>2910</v>
      </c>
      <c r="B532" s="1" t="s">
        <v>150</v>
      </c>
      <c r="C532" s="1" t="s">
        <v>2899</v>
      </c>
      <c r="D532" s="2">
        <v>26549341.6522</v>
      </c>
      <c r="E532" s="2">
        <v>2931042.0066</v>
      </c>
      <c r="F532" s="2">
        <v>15974375.3468</v>
      </c>
      <c r="G532" s="2">
        <v>236864444.905</v>
      </c>
      <c r="H532" s="2">
        <f t="shared" si="8"/>
        <v>282319203.9106</v>
      </c>
    </row>
    <row r="533" spans="1:8">
      <c r="A533" s="1" t="s">
        <v>2910</v>
      </c>
      <c r="B533" s="1" t="s">
        <v>151</v>
      </c>
      <c r="C533" s="1" t="s">
        <v>2899</v>
      </c>
      <c r="H533" s="2">
        <f t="shared" si="8"/>
        <v>0</v>
      </c>
    </row>
    <row r="534" spans="1:8">
      <c r="A534" s="1" t="s">
        <v>2910</v>
      </c>
      <c r="B534" s="1" t="s">
        <v>152</v>
      </c>
      <c r="C534" s="1" t="s">
        <v>2899</v>
      </c>
      <c r="H534" s="2">
        <f t="shared" si="8"/>
        <v>0</v>
      </c>
    </row>
    <row r="535" spans="1:8">
      <c r="A535" s="1" t="s">
        <v>2910</v>
      </c>
      <c r="B535" s="1" t="s">
        <v>153</v>
      </c>
      <c r="C535" s="1" t="s">
        <v>2899</v>
      </c>
      <c r="H535" s="2">
        <f t="shared" si="8"/>
        <v>0</v>
      </c>
    </row>
    <row r="536" spans="1:8">
      <c r="A536" s="1" t="s">
        <v>2910</v>
      </c>
      <c r="B536" s="1" t="s">
        <v>154</v>
      </c>
      <c r="C536" s="1" t="s">
        <v>2899</v>
      </c>
      <c r="H536" s="2">
        <f t="shared" si="8"/>
        <v>0</v>
      </c>
    </row>
    <row r="537" spans="1:8">
      <c r="A537" s="1" t="s">
        <v>2910</v>
      </c>
      <c r="B537" s="1" t="s">
        <v>155</v>
      </c>
      <c r="C537" s="1" t="s">
        <v>2899</v>
      </c>
      <c r="H537" s="2">
        <f t="shared" si="8"/>
        <v>0</v>
      </c>
    </row>
    <row r="538" spans="1:8">
      <c r="A538" s="1" t="s">
        <v>2910</v>
      </c>
      <c r="B538" s="1" t="s">
        <v>156</v>
      </c>
      <c r="C538" s="1" t="s">
        <v>2899</v>
      </c>
      <c r="H538" s="2">
        <f t="shared" si="8"/>
        <v>0</v>
      </c>
    </row>
    <row r="539" spans="1:8">
      <c r="A539" s="1" t="s">
        <v>2910</v>
      </c>
      <c r="B539" s="1" t="s">
        <v>157</v>
      </c>
      <c r="C539" s="1" t="s">
        <v>2899</v>
      </c>
      <c r="H539" s="2">
        <f t="shared" si="8"/>
        <v>0</v>
      </c>
    </row>
    <row r="540" spans="1:8">
      <c r="A540" s="1" t="s">
        <v>2910</v>
      </c>
      <c r="B540" s="1" t="s">
        <v>158</v>
      </c>
      <c r="C540" s="1" t="s">
        <v>2899</v>
      </c>
      <c r="H540" s="2">
        <f t="shared" si="8"/>
        <v>0</v>
      </c>
    </row>
    <row r="541" spans="1:8">
      <c r="A541" s="1" t="s">
        <v>2910</v>
      </c>
      <c r="B541" s="1" t="s">
        <v>159</v>
      </c>
      <c r="C541" s="1" t="s">
        <v>2899</v>
      </c>
      <c r="H541" s="2">
        <f t="shared" si="8"/>
        <v>0</v>
      </c>
    </row>
    <row r="542" spans="1:8">
      <c r="A542" s="1" t="s">
        <v>2910</v>
      </c>
      <c r="B542" s="1" t="s">
        <v>148</v>
      </c>
      <c r="C542" s="1" t="s">
        <v>2896</v>
      </c>
      <c r="D542" s="2">
        <v>8238093.7</v>
      </c>
      <c r="E542" s="2">
        <v>5760188.83</v>
      </c>
      <c r="F542" s="2">
        <v>197180319.14</v>
      </c>
      <c r="G542" s="2">
        <v>45922143.24</v>
      </c>
      <c r="H542" s="2">
        <f t="shared" si="8"/>
        <v>257100744.91</v>
      </c>
    </row>
    <row r="543" spans="1:8">
      <c r="A543" s="1" t="s">
        <v>2910</v>
      </c>
      <c r="B543" s="1" t="s">
        <v>149</v>
      </c>
      <c r="C543" s="1" t="s">
        <v>2896</v>
      </c>
      <c r="D543" s="2">
        <v>7447200.96</v>
      </c>
      <c r="E543" s="2">
        <v>6076862.59</v>
      </c>
      <c r="F543" s="2">
        <v>154024331.52</v>
      </c>
      <c r="G543" s="2">
        <v>34776916.99</v>
      </c>
      <c r="H543" s="2">
        <f t="shared" si="8"/>
        <v>202325312.06</v>
      </c>
    </row>
    <row r="544" spans="1:8">
      <c r="A544" s="1" t="s">
        <v>2910</v>
      </c>
      <c r="B544" s="1" t="s">
        <v>150</v>
      </c>
      <c r="C544" s="1" t="s">
        <v>2896</v>
      </c>
      <c r="D544" s="2">
        <v>8257282.08</v>
      </c>
      <c r="E544" s="2">
        <v>12087311.3</v>
      </c>
      <c r="F544" s="2">
        <v>297229217.01</v>
      </c>
      <c r="G544" s="2">
        <v>56715732.63</v>
      </c>
      <c r="H544" s="2">
        <f t="shared" si="8"/>
        <v>374289543.02</v>
      </c>
    </row>
    <row r="545" spans="1:8">
      <c r="A545" s="1" t="s">
        <v>2910</v>
      </c>
      <c r="B545" s="1" t="s">
        <v>151</v>
      </c>
      <c r="C545" s="1" t="s">
        <v>2896</v>
      </c>
      <c r="H545" s="2">
        <f t="shared" si="8"/>
        <v>0</v>
      </c>
    </row>
    <row r="546" spans="1:8">
      <c r="A546" s="1" t="s">
        <v>2910</v>
      </c>
      <c r="B546" s="1" t="s">
        <v>152</v>
      </c>
      <c r="C546" s="1" t="s">
        <v>2896</v>
      </c>
      <c r="H546" s="2">
        <f t="shared" si="8"/>
        <v>0</v>
      </c>
    </row>
    <row r="547" spans="1:8">
      <c r="A547" s="1" t="s">
        <v>2910</v>
      </c>
      <c r="B547" s="1" t="s">
        <v>153</v>
      </c>
      <c r="C547" s="1" t="s">
        <v>2896</v>
      </c>
      <c r="H547" s="2">
        <f t="shared" si="8"/>
        <v>0</v>
      </c>
    </row>
    <row r="548" spans="1:8">
      <c r="A548" s="1" t="s">
        <v>2910</v>
      </c>
      <c r="B548" s="1" t="s">
        <v>154</v>
      </c>
      <c r="C548" s="1" t="s">
        <v>2896</v>
      </c>
      <c r="H548" s="2">
        <f t="shared" si="8"/>
        <v>0</v>
      </c>
    </row>
    <row r="549" spans="1:8">
      <c r="A549" s="1" t="s">
        <v>2910</v>
      </c>
      <c r="B549" s="1" t="s">
        <v>155</v>
      </c>
      <c r="C549" s="1" t="s">
        <v>2896</v>
      </c>
      <c r="H549" s="2">
        <f t="shared" si="8"/>
        <v>0</v>
      </c>
    </row>
    <row r="550" spans="1:8">
      <c r="A550" s="1" t="s">
        <v>2910</v>
      </c>
      <c r="B550" s="1" t="s">
        <v>156</v>
      </c>
      <c r="C550" s="1" t="s">
        <v>2896</v>
      </c>
      <c r="H550" s="2">
        <f t="shared" si="8"/>
        <v>0</v>
      </c>
    </row>
    <row r="551" spans="1:8">
      <c r="A551" s="1" t="s">
        <v>2910</v>
      </c>
      <c r="B551" s="1" t="s">
        <v>157</v>
      </c>
      <c r="C551" s="1" t="s">
        <v>2896</v>
      </c>
      <c r="H551" s="2">
        <f t="shared" si="8"/>
        <v>0</v>
      </c>
    </row>
    <row r="552" spans="1:8">
      <c r="A552" s="1" t="s">
        <v>2910</v>
      </c>
      <c r="B552" s="1" t="s">
        <v>158</v>
      </c>
      <c r="C552" s="1" t="s">
        <v>2896</v>
      </c>
      <c r="H552" s="2">
        <f t="shared" si="8"/>
        <v>0</v>
      </c>
    </row>
    <row r="553" spans="1:8">
      <c r="A553" s="1" t="s">
        <v>2910</v>
      </c>
      <c r="B553" s="1" t="s">
        <v>159</v>
      </c>
      <c r="C553" s="1" t="s">
        <v>2896</v>
      </c>
      <c r="H553" s="2">
        <f t="shared" si="8"/>
        <v>0</v>
      </c>
    </row>
    <row r="554" spans="1:8">
      <c r="A554" s="1" t="s">
        <v>2910</v>
      </c>
      <c r="B554" s="1" t="s">
        <v>148</v>
      </c>
      <c r="C554" s="1" t="s">
        <v>2893</v>
      </c>
      <c r="D554" s="2">
        <v>7658463.25</v>
      </c>
      <c r="E554" s="2">
        <v>5713019.99</v>
      </c>
      <c r="F554" s="2">
        <v>199101353.07</v>
      </c>
      <c r="G554" s="2">
        <v>44944795.31</v>
      </c>
      <c r="H554" s="2">
        <f t="shared" si="8"/>
        <v>257417631.62</v>
      </c>
    </row>
    <row r="555" spans="1:8">
      <c r="A555" s="1" t="s">
        <v>2910</v>
      </c>
      <c r="B555" s="1" t="s">
        <v>149</v>
      </c>
      <c r="C555" s="1" t="s">
        <v>2893</v>
      </c>
      <c r="D555" s="2">
        <v>6763015.31</v>
      </c>
      <c r="E555" s="2">
        <v>6025090.18</v>
      </c>
      <c r="F555" s="2">
        <v>156183003.57</v>
      </c>
      <c r="G555" s="2">
        <v>34148473.2</v>
      </c>
      <c r="H555" s="2">
        <f t="shared" si="8"/>
        <v>203119582.26</v>
      </c>
    </row>
    <row r="556" spans="1:8">
      <c r="A556" s="1" t="s">
        <v>2910</v>
      </c>
      <c r="B556" s="1" t="s">
        <v>150</v>
      </c>
      <c r="C556" s="1" t="s">
        <v>2893</v>
      </c>
      <c r="D556" s="2">
        <v>6583599.33</v>
      </c>
      <c r="E556" s="2">
        <v>11959430.66</v>
      </c>
      <c r="F556" s="2">
        <v>294484077.17</v>
      </c>
      <c r="G556" s="2">
        <v>55826662.84</v>
      </c>
      <c r="H556" s="2">
        <f t="shared" si="8"/>
        <v>368853770</v>
      </c>
    </row>
    <row r="557" spans="1:8">
      <c r="A557" s="1" t="s">
        <v>2910</v>
      </c>
      <c r="B557" s="1" t="s">
        <v>151</v>
      </c>
      <c r="C557" s="1" t="s">
        <v>2893</v>
      </c>
      <c r="H557" s="2">
        <f t="shared" si="8"/>
        <v>0</v>
      </c>
    </row>
    <row r="558" spans="1:8">
      <c r="A558" s="1" t="s">
        <v>2910</v>
      </c>
      <c r="B558" s="1" t="s">
        <v>152</v>
      </c>
      <c r="C558" s="1" t="s">
        <v>2893</v>
      </c>
      <c r="H558" s="2">
        <f t="shared" si="8"/>
        <v>0</v>
      </c>
    </row>
    <row r="559" spans="1:8">
      <c r="A559" s="1" t="s">
        <v>2910</v>
      </c>
      <c r="B559" s="1" t="s">
        <v>153</v>
      </c>
      <c r="C559" s="1" t="s">
        <v>2893</v>
      </c>
      <c r="H559" s="2">
        <f t="shared" si="8"/>
        <v>0</v>
      </c>
    </row>
    <row r="560" spans="1:8">
      <c r="A560" s="1" t="s">
        <v>2910</v>
      </c>
      <c r="B560" s="1" t="s">
        <v>154</v>
      </c>
      <c r="C560" s="1" t="s">
        <v>2893</v>
      </c>
      <c r="H560" s="2">
        <f t="shared" si="8"/>
        <v>0</v>
      </c>
    </row>
    <row r="561" spans="1:8">
      <c r="A561" s="1" t="s">
        <v>2910</v>
      </c>
      <c r="B561" s="1" t="s">
        <v>155</v>
      </c>
      <c r="C561" s="1" t="s">
        <v>2893</v>
      </c>
      <c r="H561" s="2">
        <f t="shared" si="8"/>
        <v>0</v>
      </c>
    </row>
    <row r="562" spans="1:8">
      <c r="A562" s="1" t="s">
        <v>2910</v>
      </c>
      <c r="B562" s="1" t="s">
        <v>156</v>
      </c>
      <c r="C562" s="1" t="s">
        <v>2893</v>
      </c>
      <c r="H562" s="2">
        <f t="shared" si="8"/>
        <v>0</v>
      </c>
    </row>
    <row r="563" spans="1:8">
      <c r="A563" s="1" t="s">
        <v>2910</v>
      </c>
      <c r="B563" s="1" t="s">
        <v>157</v>
      </c>
      <c r="C563" s="1" t="s">
        <v>2893</v>
      </c>
      <c r="H563" s="2">
        <f t="shared" si="8"/>
        <v>0</v>
      </c>
    </row>
    <row r="564" spans="1:8">
      <c r="A564" s="1" t="s">
        <v>2910</v>
      </c>
      <c r="B564" s="1" t="s">
        <v>158</v>
      </c>
      <c r="C564" s="1" t="s">
        <v>2893</v>
      </c>
      <c r="H564" s="2">
        <f t="shared" si="8"/>
        <v>0</v>
      </c>
    </row>
    <row r="565" spans="1:8">
      <c r="A565" s="1" t="s">
        <v>2910</v>
      </c>
      <c r="B565" s="1" t="s">
        <v>159</v>
      </c>
      <c r="C565" s="1" t="s">
        <v>2893</v>
      </c>
      <c r="H565" s="2">
        <f t="shared" si="8"/>
        <v>0</v>
      </c>
    </row>
    <row r="566" spans="1:8">
      <c r="A566" s="1" t="s">
        <v>2910</v>
      </c>
      <c r="B566" s="1" t="s">
        <v>148</v>
      </c>
      <c r="C566" s="1" t="s">
        <v>2902</v>
      </c>
      <c r="D566" s="2">
        <v>0</v>
      </c>
      <c r="F566" s="2">
        <v>124978.51</v>
      </c>
      <c r="G566" s="2">
        <v>448518.78</v>
      </c>
      <c r="H566" s="2">
        <f t="shared" si="8"/>
        <v>573497.29</v>
      </c>
    </row>
    <row r="567" spans="1:8">
      <c r="A567" s="1" t="s">
        <v>2910</v>
      </c>
      <c r="B567" s="1" t="s">
        <v>149</v>
      </c>
      <c r="C567" s="1" t="s">
        <v>2902</v>
      </c>
      <c r="D567" s="2">
        <v>0</v>
      </c>
      <c r="F567" s="2">
        <v>89394.41</v>
      </c>
      <c r="G567" s="2">
        <v>228573.39</v>
      </c>
      <c r="H567" s="2">
        <f t="shared" si="8"/>
        <v>317967.8</v>
      </c>
    </row>
    <row r="568" spans="1:8">
      <c r="A568" s="1" t="s">
        <v>2910</v>
      </c>
      <c r="B568" s="1" t="s">
        <v>150</v>
      </c>
      <c r="C568" s="1" t="s">
        <v>2902</v>
      </c>
      <c r="D568" s="2">
        <v>0</v>
      </c>
      <c r="F568" s="2">
        <v>2449028.93</v>
      </c>
      <c r="G568" s="2">
        <v>51163.89</v>
      </c>
      <c r="H568" s="2">
        <f t="shared" si="8"/>
        <v>2500192.82</v>
      </c>
    </row>
    <row r="569" spans="1:8">
      <c r="A569" s="1" t="s">
        <v>2910</v>
      </c>
      <c r="B569" s="1" t="s">
        <v>151</v>
      </c>
      <c r="C569" s="1" t="s">
        <v>2902</v>
      </c>
      <c r="H569" s="2">
        <f t="shared" si="8"/>
        <v>0</v>
      </c>
    </row>
    <row r="570" spans="1:8">
      <c r="A570" s="1" t="s">
        <v>2910</v>
      </c>
      <c r="B570" s="1" t="s">
        <v>152</v>
      </c>
      <c r="C570" s="1" t="s">
        <v>2902</v>
      </c>
      <c r="H570" s="2">
        <f t="shared" si="8"/>
        <v>0</v>
      </c>
    </row>
    <row r="571" spans="1:8">
      <c r="A571" s="1" t="s">
        <v>2910</v>
      </c>
      <c r="B571" s="1" t="s">
        <v>153</v>
      </c>
      <c r="C571" s="1" t="s">
        <v>2902</v>
      </c>
      <c r="H571" s="2">
        <f t="shared" si="8"/>
        <v>0</v>
      </c>
    </row>
    <row r="572" spans="1:8">
      <c r="A572" s="1" t="s">
        <v>2910</v>
      </c>
      <c r="B572" s="1" t="s">
        <v>154</v>
      </c>
      <c r="C572" s="1" t="s">
        <v>2902</v>
      </c>
      <c r="H572" s="2">
        <f t="shared" ref="H572:H635" si="9">SUM(D572:G572)</f>
        <v>0</v>
      </c>
    </row>
    <row r="573" spans="1:8">
      <c r="A573" s="1" t="s">
        <v>2910</v>
      </c>
      <c r="B573" s="1" t="s">
        <v>155</v>
      </c>
      <c r="C573" s="1" t="s">
        <v>2902</v>
      </c>
      <c r="H573" s="2">
        <f t="shared" si="9"/>
        <v>0</v>
      </c>
    </row>
    <row r="574" spans="1:8">
      <c r="A574" s="1" t="s">
        <v>2910</v>
      </c>
      <c r="B574" s="1" t="s">
        <v>156</v>
      </c>
      <c r="C574" s="1" t="s">
        <v>2902</v>
      </c>
      <c r="H574" s="2">
        <f t="shared" si="9"/>
        <v>0</v>
      </c>
    </row>
    <row r="575" spans="1:8">
      <c r="A575" s="1" t="s">
        <v>2910</v>
      </c>
      <c r="B575" s="1" t="s">
        <v>157</v>
      </c>
      <c r="C575" s="1" t="s">
        <v>2902</v>
      </c>
      <c r="H575" s="2">
        <f t="shared" si="9"/>
        <v>0</v>
      </c>
    </row>
    <row r="576" spans="1:8">
      <c r="A576" s="1" t="s">
        <v>2910</v>
      </c>
      <c r="B576" s="1" t="s">
        <v>158</v>
      </c>
      <c r="C576" s="1" t="s">
        <v>2902</v>
      </c>
      <c r="H576" s="2">
        <f t="shared" si="9"/>
        <v>0</v>
      </c>
    </row>
    <row r="577" spans="1:8">
      <c r="A577" s="1" t="s">
        <v>2910</v>
      </c>
      <c r="B577" s="1" t="s">
        <v>159</v>
      </c>
      <c r="C577" s="1" t="s">
        <v>2902</v>
      </c>
      <c r="H577" s="2">
        <f t="shared" si="9"/>
        <v>0</v>
      </c>
    </row>
    <row r="578" spans="1:8">
      <c r="A578" s="1" t="s">
        <v>2910</v>
      </c>
      <c r="B578" s="1" t="s">
        <v>148</v>
      </c>
      <c r="C578" s="1" t="s">
        <v>2900</v>
      </c>
      <c r="H578" s="2">
        <f t="shared" si="9"/>
        <v>0</v>
      </c>
    </row>
    <row r="579" spans="1:8">
      <c r="A579" s="1" t="s">
        <v>2910</v>
      </c>
      <c r="B579" s="1" t="s">
        <v>149</v>
      </c>
      <c r="C579" s="1" t="s">
        <v>2900</v>
      </c>
      <c r="H579" s="2">
        <f t="shared" si="9"/>
        <v>0</v>
      </c>
    </row>
    <row r="580" spans="1:8">
      <c r="A580" s="1" t="s">
        <v>2910</v>
      </c>
      <c r="B580" s="1" t="s">
        <v>150</v>
      </c>
      <c r="C580" s="1" t="s">
        <v>2900</v>
      </c>
      <c r="H580" s="2">
        <f t="shared" si="9"/>
        <v>0</v>
      </c>
    </row>
    <row r="581" spans="1:8">
      <c r="A581" s="1" t="s">
        <v>2910</v>
      </c>
      <c r="B581" s="1" t="s">
        <v>151</v>
      </c>
      <c r="C581" s="1" t="s">
        <v>2900</v>
      </c>
      <c r="H581" s="2">
        <f t="shared" si="9"/>
        <v>0</v>
      </c>
    </row>
    <row r="582" spans="1:8">
      <c r="A582" s="1" t="s">
        <v>2910</v>
      </c>
      <c r="B582" s="1" t="s">
        <v>152</v>
      </c>
      <c r="C582" s="1" t="s">
        <v>2900</v>
      </c>
      <c r="H582" s="2">
        <f t="shared" si="9"/>
        <v>0</v>
      </c>
    </row>
    <row r="583" spans="1:8">
      <c r="A583" s="1" t="s">
        <v>2910</v>
      </c>
      <c r="B583" s="1" t="s">
        <v>153</v>
      </c>
      <c r="C583" s="1" t="s">
        <v>2900</v>
      </c>
      <c r="H583" s="2">
        <f t="shared" si="9"/>
        <v>0</v>
      </c>
    </row>
    <row r="584" spans="1:8">
      <c r="A584" s="1" t="s">
        <v>2910</v>
      </c>
      <c r="B584" s="1" t="s">
        <v>154</v>
      </c>
      <c r="C584" s="1" t="s">
        <v>2900</v>
      </c>
      <c r="H584" s="2">
        <f t="shared" si="9"/>
        <v>0</v>
      </c>
    </row>
    <row r="585" spans="1:8">
      <c r="A585" s="1" t="s">
        <v>2910</v>
      </c>
      <c r="B585" s="1" t="s">
        <v>155</v>
      </c>
      <c r="C585" s="1" t="s">
        <v>2900</v>
      </c>
      <c r="H585" s="2">
        <f t="shared" si="9"/>
        <v>0</v>
      </c>
    </row>
    <row r="586" spans="1:8">
      <c r="A586" s="1" t="s">
        <v>2910</v>
      </c>
      <c r="B586" s="1" t="s">
        <v>156</v>
      </c>
      <c r="C586" s="1" t="s">
        <v>2900</v>
      </c>
      <c r="H586" s="2">
        <f t="shared" si="9"/>
        <v>0</v>
      </c>
    </row>
    <row r="587" spans="1:8">
      <c r="A587" s="1" t="s">
        <v>2910</v>
      </c>
      <c r="B587" s="1" t="s">
        <v>157</v>
      </c>
      <c r="C587" s="1" t="s">
        <v>2900</v>
      </c>
      <c r="H587" s="2">
        <f t="shared" si="9"/>
        <v>0</v>
      </c>
    </row>
    <row r="588" spans="1:8">
      <c r="A588" s="1" t="s">
        <v>2910</v>
      </c>
      <c r="B588" s="1" t="s">
        <v>158</v>
      </c>
      <c r="C588" s="1" t="s">
        <v>2900</v>
      </c>
      <c r="H588" s="2">
        <f t="shared" si="9"/>
        <v>0</v>
      </c>
    </row>
    <row r="589" spans="1:8">
      <c r="A589" s="1" t="s">
        <v>2910</v>
      </c>
      <c r="B589" s="1" t="s">
        <v>159</v>
      </c>
      <c r="C589" s="1" t="s">
        <v>2900</v>
      </c>
      <c r="H589" s="2">
        <f t="shared" si="9"/>
        <v>0</v>
      </c>
    </row>
    <row r="590" spans="1:8">
      <c r="A590" s="1" t="s">
        <v>2910</v>
      </c>
      <c r="B590" s="1" t="s">
        <v>148</v>
      </c>
      <c r="C590" s="1" t="s">
        <v>2942</v>
      </c>
      <c r="H590" s="2">
        <f t="shared" si="9"/>
        <v>0</v>
      </c>
    </row>
    <row r="591" spans="1:8">
      <c r="A591" s="1" t="s">
        <v>2910</v>
      </c>
      <c r="B591" s="1" t="s">
        <v>149</v>
      </c>
      <c r="C591" s="1" t="s">
        <v>2942</v>
      </c>
      <c r="H591" s="2">
        <f t="shared" si="9"/>
        <v>0</v>
      </c>
    </row>
    <row r="592" spans="1:8">
      <c r="A592" s="1" t="s">
        <v>2910</v>
      </c>
      <c r="B592" s="1" t="s">
        <v>150</v>
      </c>
      <c r="C592" s="1" t="s">
        <v>2942</v>
      </c>
      <c r="D592" s="2">
        <v>30996.23</v>
      </c>
      <c r="H592" s="2">
        <f t="shared" si="9"/>
        <v>30996.23</v>
      </c>
    </row>
    <row r="593" spans="1:8">
      <c r="A593" s="1" t="s">
        <v>2910</v>
      </c>
      <c r="B593" s="1" t="s">
        <v>151</v>
      </c>
      <c r="C593" s="1" t="s">
        <v>2942</v>
      </c>
      <c r="H593" s="2">
        <f t="shared" si="9"/>
        <v>0</v>
      </c>
    </row>
    <row r="594" spans="1:8">
      <c r="A594" s="1" t="s">
        <v>2910</v>
      </c>
      <c r="B594" s="1" t="s">
        <v>152</v>
      </c>
      <c r="C594" s="1" t="s">
        <v>2942</v>
      </c>
      <c r="H594" s="2">
        <f t="shared" si="9"/>
        <v>0</v>
      </c>
    </row>
    <row r="595" spans="1:8">
      <c r="A595" s="1" t="s">
        <v>2910</v>
      </c>
      <c r="B595" s="1" t="s">
        <v>153</v>
      </c>
      <c r="C595" s="1" t="s">
        <v>2942</v>
      </c>
      <c r="H595" s="2">
        <f t="shared" si="9"/>
        <v>0</v>
      </c>
    </row>
    <row r="596" spans="1:8">
      <c r="A596" s="1" t="s">
        <v>2910</v>
      </c>
      <c r="B596" s="1" t="s">
        <v>154</v>
      </c>
      <c r="C596" s="1" t="s">
        <v>2942</v>
      </c>
      <c r="H596" s="2">
        <f t="shared" si="9"/>
        <v>0</v>
      </c>
    </row>
    <row r="597" spans="1:8">
      <c r="A597" s="1" t="s">
        <v>2910</v>
      </c>
      <c r="B597" s="1" t="s">
        <v>155</v>
      </c>
      <c r="C597" s="1" t="s">
        <v>2942</v>
      </c>
      <c r="H597" s="2">
        <f t="shared" si="9"/>
        <v>0</v>
      </c>
    </row>
    <row r="598" spans="1:8">
      <c r="A598" s="1" t="s">
        <v>2910</v>
      </c>
      <c r="B598" s="1" t="s">
        <v>156</v>
      </c>
      <c r="C598" s="1" t="s">
        <v>2942</v>
      </c>
      <c r="H598" s="2">
        <f t="shared" si="9"/>
        <v>0</v>
      </c>
    </row>
    <row r="599" spans="1:8">
      <c r="A599" s="1" t="s">
        <v>2910</v>
      </c>
      <c r="B599" s="1" t="s">
        <v>157</v>
      </c>
      <c r="C599" s="1" t="s">
        <v>2942</v>
      </c>
      <c r="H599" s="2">
        <f t="shared" si="9"/>
        <v>0</v>
      </c>
    </row>
    <row r="600" spans="1:8">
      <c r="A600" s="1" t="s">
        <v>2910</v>
      </c>
      <c r="B600" s="1" t="s">
        <v>158</v>
      </c>
      <c r="C600" s="1" t="s">
        <v>2942</v>
      </c>
      <c r="H600" s="2">
        <f t="shared" si="9"/>
        <v>0</v>
      </c>
    </row>
    <row r="601" spans="1:8">
      <c r="A601" s="1" t="s">
        <v>2910</v>
      </c>
      <c r="B601" s="1" t="s">
        <v>159</v>
      </c>
      <c r="C601" s="1" t="s">
        <v>2942</v>
      </c>
      <c r="H601" s="2">
        <f t="shared" si="9"/>
        <v>0</v>
      </c>
    </row>
    <row r="602" spans="1:8">
      <c r="A602" s="1" t="s">
        <v>2910</v>
      </c>
      <c r="B602" s="1" t="s">
        <v>148</v>
      </c>
      <c r="C602" s="1" t="s">
        <v>2931</v>
      </c>
      <c r="D602" s="2">
        <v>0</v>
      </c>
      <c r="F602" s="2">
        <v>290870.23</v>
      </c>
      <c r="G602" s="2">
        <v>93396.23</v>
      </c>
      <c r="H602" s="2">
        <f t="shared" si="9"/>
        <v>384266.46</v>
      </c>
    </row>
    <row r="603" spans="1:8">
      <c r="A603" s="1" t="s">
        <v>2910</v>
      </c>
      <c r="B603" s="1" t="s">
        <v>149</v>
      </c>
      <c r="C603" s="1" t="s">
        <v>2931</v>
      </c>
      <c r="D603" s="2">
        <v>0</v>
      </c>
      <c r="F603" s="2">
        <v>89289.12</v>
      </c>
      <c r="G603" s="2">
        <v>28404.13</v>
      </c>
      <c r="H603" s="2">
        <f t="shared" si="9"/>
        <v>117693.25</v>
      </c>
    </row>
    <row r="604" spans="1:8">
      <c r="A604" s="1" t="s">
        <v>2910</v>
      </c>
      <c r="B604" s="1" t="s">
        <v>150</v>
      </c>
      <c r="C604" s="1" t="s">
        <v>2931</v>
      </c>
      <c r="D604" s="2">
        <v>0</v>
      </c>
      <c r="F604" s="2">
        <v>136122.37</v>
      </c>
      <c r="G604" s="2">
        <v>93396.23</v>
      </c>
      <c r="H604" s="2">
        <f t="shared" si="9"/>
        <v>229518.6</v>
      </c>
    </row>
    <row r="605" spans="1:8">
      <c r="A605" s="1" t="s">
        <v>2910</v>
      </c>
      <c r="B605" s="1" t="s">
        <v>151</v>
      </c>
      <c r="C605" s="1" t="s">
        <v>2931</v>
      </c>
      <c r="H605" s="2">
        <f t="shared" si="9"/>
        <v>0</v>
      </c>
    </row>
    <row r="606" spans="1:8">
      <c r="A606" s="1" t="s">
        <v>2910</v>
      </c>
      <c r="B606" s="1" t="s">
        <v>152</v>
      </c>
      <c r="C606" s="1" t="s">
        <v>2931</v>
      </c>
      <c r="H606" s="2">
        <f t="shared" si="9"/>
        <v>0</v>
      </c>
    </row>
    <row r="607" spans="1:8">
      <c r="A607" s="1" t="s">
        <v>2910</v>
      </c>
      <c r="B607" s="1" t="s">
        <v>153</v>
      </c>
      <c r="C607" s="1" t="s">
        <v>2931</v>
      </c>
      <c r="H607" s="2">
        <f t="shared" si="9"/>
        <v>0</v>
      </c>
    </row>
    <row r="608" spans="1:8">
      <c r="A608" s="1" t="s">
        <v>2910</v>
      </c>
      <c r="B608" s="1" t="s">
        <v>154</v>
      </c>
      <c r="C608" s="1" t="s">
        <v>2931</v>
      </c>
      <c r="H608" s="2">
        <f t="shared" si="9"/>
        <v>0</v>
      </c>
    </row>
    <row r="609" spans="1:8">
      <c r="A609" s="1" t="s">
        <v>2910</v>
      </c>
      <c r="B609" s="1" t="s">
        <v>155</v>
      </c>
      <c r="C609" s="1" t="s">
        <v>2931</v>
      </c>
      <c r="H609" s="2">
        <f t="shared" si="9"/>
        <v>0</v>
      </c>
    </row>
    <row r="610" spans="1:8">
      <c r="A610" s="1" t="s">
        <v>2910</v>
      </c>
      <c r="B610" s="1" t="s">
        <v>156</v>
      </c>
      <c r="C610" s="1" t="s">
        <v>2931</v>
      </c>
      <c r="H610" s="2">
        <f t="shared" si="9"/>
        <v>0</v>
      </c>
    </row>
    <row r="611" spans="1:8">
      <c r="A611" s="1" t="s">
        <v>2910</v>
      </c>
      <c r="B611" s="1" t="s">
        <v>157</v>
      </c>
      <c r="C611" s="1" t="s">
        <v>2931</v>
      </c>
      <c r="H611" s="2">
        <f t="shared" si="9"/>
        <v>0</v>
      </c>
    </row>
    <row r="612" spans="1:8">
      <c r="A612" s="1" t="s">
        <v>2910</v>
      </c>
      <c r="B612" s="1" t="s">
        <v>158</v>
      </c>
      <c r="C612" s="1" t="s">
        <v>2931</v>
      </c>
      <c r="H612" s="2">
        <f t="shared" si="9"/>
        <v>0</v>
      </c>
    </row>
    <row r="613" spans="1:8">
      <c r="A613" s="1" t="s">
        <v>2910</v>
      </c>
      <c r="B613" s="1" t="s">
        <v>159</v>
      </c>
      <c r="C613" s="1" t="s">
        <v>2931</v>
      </c>
      <c r="H613" s="2">
        <f t="shared" si="9"/>
        <v>0</v>
      </c>
    </row>
    <row r="614" spans="1:8">
      <c r="A614" s="1" t="s">
        <v>2910</v>
      </c>
      <c r="B614" s="1" t="s">
        <v>148</v>
      </c>
      <c r="C614" s="1" t="s">
        <v>2904</v>
      </c>
      <c r="D614" s="2">
        <v>0</v>
      </c>
      <c r="G614" s="2">
        <v>1988021.44</v>
      </c>
      <c r="H614" s="2">
        <f t="shared" si="9"/>
        <v>1988021.44</v>
      </c>
    </row>
    <row r="615" spans="1:8">
      <c r="A615" s="1" t="s">
        <v>2910</v>
      </c>
      <c r="B615" s="1" t="s">
        <v>149</v>
      </c>
      <c r="C615" s="1" t="s">
        <v>2904</v>
      </c>
      <c r="D615" s="2">
        <v>0</v>
      </c>
      <c r="F615" s="2">
        <v>89150.94</v>
      </c>
      <c r="G615" s="2">
        <v>240514.29</v>
      </c>
      <c r="H615" s="2">
        <f t="shared" si="9"/>
        <v>329665.23</v>
      </c>
    </row>
    <row r="616" spans="1:8">
      <c r="A616" s="1" t="s">
        <v>2910</v>
      </c>
      <c r="B616" s="1" t="s">
        <v>150</v>
      </c>
      <c r="C616" s="1" t="s">
        <v>2904</v>
      </c>
      <c r="D616" s="2">
        <v>0</v>
      </c>
      <c r="G616" s="2">
        <v>717067.77</v>
      </c>
      <c r="H616" s="2">
        <f t="shared" si="9"/>
        <v>717067.77</v>
      </c>
    </row>
    <row r="617" spans="1:8">
      <c r="A617" s="1" t="s">
        <v>2910</v>
      </c>
      <c r="B617" s="1" t="s">
        <v>151</v>
      </c>
      <c r="C617" s="1" t="s">
        <v>2904</v>
      </c>
      <c r="H617" s="2">
        <f t="shared" si="9"/>
        <v>0</v>
      </c>
    </row>
    <row r="618" spans="1:8">
      <c r="A618" s="1" t="s">
        <v>2910</v>
      </c>
      <c r="B618" s="1" t="s">
        <v>152</v>
      </c>
      <c r="C618" s="1" t="s">
        <v>2904</v>
      </c>
      <c r="H618" s="2">
        <f t="shared" si="9"/>
        <v>0</v>
      </c>
    </row>
    <row r="619" spans="1:8">
      <c r="A619" s="1" t="s">
        <v>2910</v>
      </c>
      <c r="B619" s="1" t="s">
        <v>153</v>
      </c>
      <c r="C619" s="1" t="s">
        <v>2904</v>
      </c>
      <c r="H619" s="2">
        <f t="shared" si="9"/>
        <v>0</v>
      </c>
    </row>
    <row r="620" spans="1:8">
      <c r="A620" s="1" t="s">
        <v>2910</v>
      </c>
      <c r="B620" s="1" t="s">
        <v>154</v>
      </c>
      <c r="C620" s="1" t="s">
        <v>2904</v>
      </c>
      <c r="H620" s="2">
        <f t="shared" si="9"/>
        <v>0</v>
      </c>
    </row>
    <row r="621" spans="1:8">
      <c r="A621" s="1" t="s">
        <v>2910</v>
      </c>
      <c r="B621" s="1" t="s">
        <v>155</v>
      </c>
      <c r="C621" s="1" t="s">
        <v>2904</v>
      </c>
      <c r="H621" s="2">
        <f t="shared" si="9"/>
        <v>0</v>
      </c>
    </row>
    <row r="622" spans="1:8">
      <c r="A622" s="1" t="s">
        <v>2910</v>
      </c>
      <c r="B622" s="1" t="s">
        <v>156</v>
      </c>
      <c r="C622" s="1" t="s">
        <v>2904</v>
      </c>
      <c r="H622" s="2">
        <f t="shared" si="9"/>
        <v>0</v>
      </c>
    </row>
    <row r="623" spans="1:8">
      <c r="A623" s="1" t="s">
        <v>2910</v>
      </c>
      <c r="B623" s="1" t="s">
        <v>157</v>
      </c>
      <c r="C623" s="1" t="s">
        <v>2904</v>
      </c>
      <c r="H623" s="2">
        <f t="shared" si="9"/>
        <v>0</v>
      </c>
    </row>
    <row r="624" spans="1:8">
      <c r="A624" s="1" t="s">
        <v>2910</v>
      </c>
      <c r="B624" s="1" t="s">
        <v>158</v>
      </c>
      <c r="C624" s="1" t="s">
        <v>2904</v>
      </c>
      <c r="H624" s="2">
        <f t="shared" si="9"/>
        <v>0</v>
      </c>
    </row>
    <row r="625" spans="1:8">
      <c r="A625" s="1" t="s">
        <v>2910</v>
      </c>
      <c r="B625" s="1" t="s">
        <v>159</v>
      </c>
      <c r="C625" s="1" t="s">
        <v>2904</v>
      </c>
      <c r="H625" s="2">
        <f t="shared" si="9"/>
        <v>0</v>
      </c>
    </row>
    <row r="626" spans="1:8">
      <c r="A626" s="1" t="s">
        <v>2910</v>
      </c>
      <c r="B626" s="1" t="s">
        <v>148</v>
      </c>
      <c r="C626" s="1" t="s">
        <v>2905</v>
      </c>
      <c r="H626" s="2">
        <f t="shared" si="9"/>
        <v>0</v>
      </c>
    </row>
    <row r="627" spans="1:8">
      <c r="A627" s="1" t="s">
        <v>2910</v>
      </c>
      <c r="B627" s="1" t="s">
        <v>149</v>
      </c>
      <c r="C627" s="1" t="s">
        <v>2905</v>
      </c>
      <c r="H627" s="2">
        <f t="shared" si="9"/>
        <v>0</v>
      </c>
    </row>
    <row r="628" spans="1:8">
      <c r="A628" s="1" t="s">
        <v>2910</v>
      </c>
      <c r="B628" s="1" t="s">
        <v>150</v>
      </c>
      <c r="C628" s="1" t="s">
        <v>2905</v>
      </c>
      <c r="H628" s="2">
        <f t="shared" si="9"/>
        <v>0</v>
      </c>
    </row>
    <row r="629" spans="1:8">
      <c r="A629" s="1" t="s">
        <v>2910</v>
      </c>
      <c r="B629" s="1" t="s">
        <v>151</v>
      </c>
      <c r="C629" s="1" t="s">
        <v>2905</v>
      </c>
      <c r="H629" s="2">
        <f t="shared" si="9"/>
        <v>0</v>
      </c>
    </row>
    <row r="630" spans="1:8">
      <c r="A630" s="1" t="s">
        <v>2910</v>
      </c>
      <c r="B630" s="1" t="s">
        <v>152</v>
      </c>
      <c r="C630" s="1" t="s">
        <v>2905</v>
      </c>
      <c r="H630" s="2">
        <f t="shared" si="9"/>
        <v>0</v>
      </c>
    </row>
    <row r="631" spans="1:8">
      <c r="A631" s="1" t="s">
        <v>2910</v>
      </c>
      <c r="B631" s="1" t="s">
        <v>153</v>
      </c>
      <c r="C631" s="1" t="s">
        <v>2905</v>
      </c>
      <c r="H631" s="2">
        <f t="shared" si="9"/>
        <v>0</v>
      </c>
    </row>
    <row r="632" spans="1:8">
      <c r="A632" s="1" t="s">
        <v>2910</v>
      </c>
      <c r="B632" s="1" t="s">
        <v>154</v>
      </c>
      <c r="C632" s="1" t="s">
        <v>2905</v>
      </c>
      <c r="H632" s="2">
        <f t="shared" si="9"/>
        <v>0</v>
      </c>
    </row>
    <row r="633" spans="1:8">
      <c r="A633" s="1" t="s">
        <v>2910</v>
      </c>
      <c r="B633" s="1" t="s">
        <v>155</v>
      </c>
      <c r="C633" s="1" t="s">
        <v>2905</v>
      </c>
      <c r="H633" s="2">
        <f t="shared" si="9"/>
        <v>0</v>
      </c>
    </row>
    <row r="634" spans="1:8">
      <c r="A634" s="1" t="s">
        <v>2910</v>
      </c>
      <c r="B634" s="1" t="s">
        <v>156</v>
      </c>
      <c r="C634" s="1" t="s">
        <v>2905</v>
      </c>
      <c r="H634" s="2">
        <f t="shared" si="9"/>
        <v>0</v>
      </c>
    </row>
    <row r="635" spans="1:8">
      <c r="A635" s="1" t="s">
        <v>2910</v>
      </c>
      <c r="B635" s="1" t="s">
        <v>157</v>
      </c>
      <c r="C635" s="1" t="s">
        <v>2905</v>
      </c>
      <c r="H635" s="2">
        <f t="shared" si="9"/>
        <v>0</v>
      </c>
    </row>
    <row r="636" spans="1:8">
      <c r="A636" s="1" t="s">
        <v>2910</v>
      </c>
      <c r="B636" s="1" t="s">
        <v>158</v>
      </c>
      <c r="C636" s="1" t="s">
        <v>2905</v>
      </c>
      <c r="H636" s="2">
        <f t="shared" ref="H636:H699" si="10">SUM(D636:G636)</f>
        <v>0</v>
      </c>
    </row>
    <row r="637" spans="1:8">
      <c r="A637" s="1" t="s">
        <v>2910</v>
      </c>
      <c r="B637" s="1" t="s">
        <v>159</v>
      </c>
      <c r="C637" s="1" t="s">
        <v>2905</v>
      </c>
      <c r="H637" s="2">
        <f t="shared" si="10"/>
        <v>0</v>
      </c>
    </row>
    <row r="638" spans="1:8">
      <c r="A638" s="1" t="s">
        <v>2910</v>
      </c>
      <c r="B638" s="1" t="s">
        <v>148</v>
      </c>
      <c r="C638" s="1" t="s">
        <v>1901</v>
      </c>
      <c r="H638" s="2">
        <f t="shared" si="10"/>
        <v>0</v>
      </c>
    </row>
    <row r="639" spans="1:8">
      <c r="A639" s="1" t="s">
        <v>2910</v>
      </c>
      <c r="B639" s="1" t="s">
        <v>149</v>
      </c>
      <c r="C639" s="1" t="s">
        <v>1901</v>
      </c>
      <c r="H639" s="2">
        <f t="shared" si="10"/>
        <v>0</v>
      </c>
    </row>
    <row r="640" spans="1:8">
      <c r="A640" s="1" t="s">
        <v>2910</v>
      </c>
      <c r="B640" s="1" t="s">
        <v>150</v>
      </c>
      <c r="C640" s="1" t="s">
        <v>1901</v>
      </c>
      <c r="H640" s="2">
        <f t="shared" si="10"/>
        <v>0</v>
      </c>
    </row>
    <row r="641" spans="1:8">
      <c r="A641" s="1" t="s">
        <v>2910</v>
      </c>
      <c r="B641" s="1" t="s">
        <v>151</v>
      </c>
      <c r="C641" s="1" t="s">
        <v>1901</v>
      </c>
      <c r="H641" s="2">
        <f t="shared" si="10"/>
        <v>0</v>
      </c>
    </row>
    <row r="642" spans="1:8">
      <c r="A642" s="1" t="s">
        <v>2910</v>
      </c>
      <c r="B642" s="1" t="s">
        <v>152</v>
      </c>
      <c r="C642" s="1" t="s">
        <v>1901</v>
      </c>
      <c r="H642" s="2">
        <f t="shared" si="10"/>
        <v>0</v>
      </c>
    </row>
    <row r="643" spans="1:8">
      <c r="A643" s="1" t="s">
        <v>2910</v>
      </c>
      <c r="B643" s="1" t="s">
        <v>153</v>
      </c>
      <c r="C643" s="1" t="s">
        <v>1901</v>
      </c>
      <c r="H643" s="2">
        <f t="shared" si="10"/>
        <v>0</v>
      </c>
    </row>
    <row r="644" spans="1:8">
      <c r="A644" s="1" t="s">
        <v>2910</v>
      </c>
      <c r="B644" s="1" t="s">
        <v>154</v>
      </c>
      <c r="C644" s="1" t="s">
        <v>1901</v>
      </c>
      <c r="H644" s="2">
        <f t="shared" si="10"/>
        <v>0</v>
      </c>
    </row>
    <row r="645" spans="1:8">
      <c r="A645" s="1" t="s">
        <v>2910</v>
      </c>
      <c r="B645" s="1" t="s">
        <v>155</v>
      </c>
      <c r="C645" s="1" t="s">
        <v>1901</v>
      </c>
      <c r="H645" s="2">
        <f t="shared" si="10"/>
        <v>0</v>
      </c>
    </row>
    <row r="646" spans="1:8">
      <c r="A646" s="1" t="s">
        <v>2910</v>
      </c>
      <c r="B646" s="1" t="s">
        <v>156</v>
      </c>
      <c r="C646" s="1" t="s">
        <v>1901</v>
      </c>
      <c r="H646" s="2">
        <f t="shared" si="10"/>
        <v>0</v>
      </c>
    </row>
    <row r="647" spans="1:8">
      <c r="A647" s="1" t="s">
        <v>2910</v>
      </c>
      <c r="B647" s="1" t="s">
        <v>157</v>
      </c>
      <c r="C647" s="1" t="s">
        <v>1901</v>
      </c>
      <c r="H647" s="2">
        <f t="shared" si="10"/>
        <v>0</v>
      </c>
    </row>
    <row r="648" spans="1:8">
      <c r="A648" s="1" t="s">
        <v>2910</v>
      </c>
      <c r="B648" s="1" t="s">
        <v>158</v>
      </c>
      <c r="C648" s="1" t="s">
        <v>1901</v>
      </c>
      <c r="H648" s="2">
        <f t="shared" si="10"/>
        <v>0</v>
      </c>
    </row>
    <row r="649" spans="1:8">
      <c r="A649" s="1" t="s">
        <v>2910</v>
      </c>
      <c r="B649" s="1" t="s">
        <v>159</v>
      </c>
      <c r="C649" s="1" t="s">
        <v>1901</v>
      </c>
      <c r="H649" s="2">
        <f t="shared" si="10"/>
        <v>0</v>
      </c>
    </row>
    <row r="650" spans="1:8">
      <c r="A650" s="1" t="s">
        <v>2910</v>
      </c>
      <c r="B650" s="1" t="s">
        <v>148</v>
      </c>
      <c r="C650" s="1" t="s">
        <v>2926</v>
      </c>
      <c r="D650" s="2">
        <v>0</v>
      </c>
      <c r="G650" s="2">
        <v>1775269.14</v>
      </c>
      <c r="H650" s="2">
        <f t="shared" si="10"/>
        <v>1775269.14</v>
      </c>
    </row>
    <row r="651" spans="1:8">
      <c r="A651" s="1" t="s">
        <v>2910</v>
      </c>
      <c r="B651" s="1" t="s">
        <v>149</v>
      </c>
      <c r="C651" s="1" t="s">
        <v>2926</v>
      </c>
      <c r="D651" s="2">
        <v>0</v>
      </c>
      <c r="G651" s="2">
        <v>356373.68</v>
      </c>
      <c r="H651" s="2">
        <f t="shared" si="10"/>
        <v>356373.68</v>
      </c>
    </row>
    <row r="652" spans="1:8">
      <c r="A652" s="1" t="s">
        <v>2910</v>
      </c>
      <c r="B652" s="1" t="s">
        <v>150</v>
      </c>
      <c r="C652" s="1" t="s">
        <v>2926</v>
      </c>
      <c r="D652" s="2">
        <v>0</v>
      </c>
      <c r="G652" s="2">
        <v>929647.61</v>
      </c>
      <c r="H652" s="2">
        <f t="shared" si="10"/>
        <v>929647.61</v>
      </c>
    </row>
    <row r="653" spans="1:8">
      <c r="A653" s="1" t="s">
        <v>2910</v>
      </c>
      <c r="B653" s="1" t="s">
        <v>151</v>
      </c>
      <c r="C653" s="1" t="s">
        <v>2926</v>
      </c>
      <c r="H653" s="2">
        <f t="shared" si="10"/>
        <v>0</v>
      </c>
    </row>
    <row r="654" spans="1:8">
      <c r="A654" s="1" t="s">
        <v>2910</v>
      </c>
      <c r="B654" s="1" t="s">
        <v>152</v>
      </c>
      <c r="C654" s="1" t="s">
        <v>2926</v>
      </c>
      <c r="H654" s="2">
        <f t="shared" si="10"/>
        <v>0</v>
      </c>
    </row>
    <row r="655" spans="1:8">
      <c r="A655" s="1" t="s">
        <v>2910</v>
      </c>
      <c r="B655" s="1" t="s">
        <v>153</v>
      </c>
      <c r="C655" s="1" t="s">
        <v>2926</v>
      </c>
      <c r="H655" s="2">
        <f t="shared" si="10"/>
        <v>0</v>
      </c>
    </row>
    <row r="656" spans="1:8">
      <c r="A656" s="1" t="s">
        <v>2910</v>
      </c>
      <c r="B656" s="1" t="s">
        <v>154</v>
      </c>
      <c r="C656" s="1" t="s">
        <v>2926</v>
      </c>
      <c r="H656" s="2">
        <f t="shared" si="10"/>
        <v>0</v>
      </c>
    </row>
    <row r="657" spans="1:8">
      <c r="A657" s="1" t="s">
        <v>2910</v>
      </c>
      <c r="B657" s="1" t="s">
        <v>155</v>
      </c>
      <c r="C657" s="1" t="s">
        <v>2926</v>
      </c>
      <c r="H657" s="2">
        <f t="shared" si="10"/>
        <v>0</v>
      </c>
    </row>
    <row r="658" spans="1:8">
      <c r="A658" s="1" t="s">
        <v>2910</v>
      </c>
      <c r="B658" s="1" t="s">
        <v>156</v>
      </c>
      <c r="C658" s="1" t="s">
        <v>2926</v>
      </c>
      <c r="H658" s="2">
        <f t="shared" si="10"/>
        <v>0</v>
      </c>
    </row>
    <row r="659" spans="1:8">
      <c r="A659" s="1" t="s">
        <v>2910</v>
      </c>
      <c r="B659" s="1" t="s">
        <v>157</v>
      </c>
      <c r="C659" s="1" t="s">
        <v>2926</v>
      </c>
      <c r="H659" s="2">
        <f t="shared" si="10"/>
        <v>0</v>
      </c>
    </row>
    <row r="660" spans="1:8">
      <c r="A660" s="1" t="s">
        <v>2910</v>
      </c>
      <c r="B660" s="1" t="s">
        <v>158</v>
      </c>
      <c r="C660" s="1" t="s">
        <v>2926</v>
      </c>
      <c r="H660" s="2">
        <f t="shared" si="10"/>
        <v>0</v>
      </c>
    </row>
    <row r="661" spans="1:8">
      <c r="A661" s="1" t="s">
        <v>2910</v>
      </c>
      <c r="B661" s="1" t="s">
        <v>159</v>
      </c>
      <c r="C661" s="1" t="s">
        <v>2926</v>
      </c>
      <c r="H661" s="2">
        <f t="shared" si="10"/>
        <v>0</v>
      </c>
    </row>
    <row r="662" spans="1:8">
      <c r="A662" s="1" t="s">
        <v>2911</v>
      </c>
      <c r="B662" s="1" t="s">
        <v>148</v>
      </c>
      <c r="C662" s="1" t="s">
        <v>2892</v>
      </c>
      <c r="D662" s="2">
        <v>649877.66</v>
      </c>
      <c r="F662" s="2">
        <v>650607.9</v>
      </c>
      <c r="G662" s="2">
        <v>9850.71</v>
      </c>
      <c r="H662" s="2">
        <f t="shared" si="10"/>
        <v>1310336.27</v>
      </c>
    </row>
    <row r="663" spans="1:8">
      <c r="A663" s="1" t="s">
        <v>2911</v>
      </c>
      <c r="B663" s="1" t="s">
        <v>149</v>
      </c>
      <c r="C663" s="1" t="s">
        <v>2892</v>
      </c>
      <c r="D663" s="2">
        <v>1319370.47</v>
      </c>
      <c r="F663" s="2">
        <v>365619.48</v>
      </c>
      <c r="G663" s="2">
        <v>57043</v>
      </c>
      <c r="H663" s="2">
        <f t="shared" si="10"/>
        <v>1742032.95</v>
      </c>
    </row>
    <row r="664" spans="1:8">
      <c r="A664" s="1" t="s">
        <v>2911</v>
      </c>
      <c r="B664" s="1" t="s">
        <v>150</v>
      </c>
      <c r="C664" s="1" t="s">
        <v>2892</v>
      </c>
      <c r="D664" s="2">
        <v>1502535.15</v>
      </c>
      <c r="F664" s="2">
        <v>657722.6</v>
      </c>
      <c r="G664" s="2">
        <v>126941.97</v>
      </c>
      <c r="H664" s="2">
        <f t="shared" si="10"/>
        <v>2287199.72</v>
      </c>
    </row>
    <row r="665" spans="1:8">
      <c r="A665" s="1" t="s">
        <v>2911</v>
      </c>
      <c r="B665" s="1" t="s">
        <v>151</v>
      </c>
      <c r="C665" s="1" t="s">
        <v>2892</v>
      </c>
      <c r="H665" s="2">
        <f t="shared" si="10"/>
        <v>0</v>
      </c>
    </row>
    <row r="666" spans="1:8">
      <c r="A666" s="1" t="s">
        <v>2911</v>
      </c>
      <c r="B666" s="1" t="s">
        <v>152</v>
      </c>
      <c r="C666" s="1" t="s">
        <v>2892</v>
      </c>
      <c r="H666" s="2">
        <f t="shared" si="10"/>
        <v>0</v>
      </c>
    </row>
    <row r="667" spans="1:8">
      <c r="A667" s="1" t="s">
        <v>2911</v>
      </c>
      <c r="B667" s="1" t="s">
        <v>153</v>
      </c>
      <c r="C667" s="1" t="s">
        <v>2892</v>
      </c>
      <c r="H667" s="2">
        <f t="shared" si="10"/>
        <v>0</v>
      </c>
    </row>
    <row r="668" spans="1:8">
      <c r="A668" s="1" t="s">
        <v>2911</v>
      </c>
      <c r="B668" s="1" t="s">
        <v>154</v>
      </c>
      <c r="C668" s="1" t="s">
        <v>2892</v>
      </c>
      <c r="H668" s="2">
        <f t="shared" si="10"/>
        <v>0</v>
      </c>
    </row>
    <row r="669" spans="1:8">
      <c r="A669" s="1" t="s">
        <v>2911</v>
      </c>
      <c r="B669" s="1" t="s">
        <v>155</v>
      </c>
      <c r="C669" s="1" t="s">
        <v>2892</v>
      </c>
      <c r="H669" s="2">
        <f t="shared" si="10"/>
        <v>0</v>
      </c>
    </row>
    <row r="670" spans="1:8">
      <c r="A670" s="1" t="s">
        <v>2911</v>
      </c>
      <c r="B670" s="1" t="s">
        <v>156</v>
      </c>
      <c r="C670" s="1" t="s">
        <v>2892</v>
      </c>
      <c r="H670" s="2">
        <f t="shared" si="10"/>
        <v>0</v>
      </c>
    </row>
    <row r="671" spans="1:8">
      <c r="A671" s="1" t="s">
        <v>2911</v>
      </c>
      <c r="B671" s="1" t="s">
        <v>157</v>
      </c>
      <c r="C671" s="1" t="s">
        <v>2892</v>
      </c>
      <c r="H671" s="2">
        <f t="shared" si="10"/>
        <v>0</v>
      </c>
    </row>
    <row r="672" spans="1:8">
      <c r="A672" s="1" t="s">
        <v>2911</v>
      </c>
      <c r="B672" s="1" t="s">
        <v>158</v>
      </c>
      <c r="C672" s="1" t="s">
        <v>2892</v>
      </c>
      <c r="H672" s="2">
        <f t="shared" si="10"/>
        <v>0</v>
      </c>
    </row>
    <row r="673" spans="1:8">
      <c r="A673" s="1" t="s">
        <v>2911</v>
      </c>
      <c r="B673" s="1" t="s">
        <v>159</v>
      </c>
      <c r="C673" s="1" t="s">
        <v>2892</v>
      </c>
      <c r="H673" s="2">
        <f t="shared" si="10"/>
        <v>0</v>
      </c>
    </row>
    <row r="674" spans="1:8">
      <c r="A674" s="1" t="s">
        <v>2911</v>
      </c>
      <c r="B674" s="1" t="s">
        <v>148</v>
      </c>
      <c r="C674" s="1" t="s">
        <v>2899</v>
      </c>
      <c r="D674" s="2">
        <v>614994.97</v>
      </c>
      <c r="F674" s="2">
        <v>650813.57</v>
      </c>
      <c r="G674" s="2">
        <v>9111.93</v>
      </c>
      <c r="H674" s="2">
        <f t="shared" si="10"/>
        <v>1274920.47</v>
      </c>
    </row>
    <row r="675" spans="1:8">
      <c r="A675" s="1" t="s">
        <v>2911</v>
      </c>
      <c r="B675" s="1" t="s">
        <v>149</v>
      </c>
      <c r="C675" s="1" t="s">
        <v>2899</v>
      </c>
      <c r="D675" s="2">
        <v>1304603.95</v>
      </c>
      <c r="F675" s="2">
        <v>359626.26</v>
      </c>
      <c r="G675" s="2">
        <v>53018.34</v>
      </c>
      <c r="H675" s="2">
        <f t="shared" si="10"/>
        <v>1717248.55</v>
      </c>
    </row>
    <row r="676" spans="1:8">
      <c r="A676" s="1" t="s">
        <v>2911</v>
      </c>
      <c r="B676" s="1" t="s">
        <v>150</v>
      </c>
      <c r="C676" s="1" t="s">
        <v>2899</v>
      </c>
      <c r="D676" s="2">
        <v>1487180.05</v>
      </c>
      <c r="F676" s="2">
        <v>646453</v>
      </c>
      <c r="G676" s="2">
        <v>118169.2</v>
      </c>
      <c r="H676" s="2">
        <f t="shared" si="10"/>
        <v>2251802.25</v>
      </c>
    </row>
    <row r="677" spans="1:8">
      <c r="A677" s="1" t="s">
        <v>2911</v>
      </c>
      <c r="B677" s="1" t="s">
        <v>151</v>
      </c>
      <c r="C677" s="1" t="s">
        <v>2899</v>
      </c>
      <c r="H677" s="2">
        <f t="shared" si="10"/>
        <v>0</v>
      </c>
    </row>
    <row r="678" spans="1:8">
      <c r="A678" s="1" t="s">
        <v>2911</v>
      </c>
      <c r="B678" s="1" t="s">
        <v>152</v>
      </c>
      <c r="C678" s="1" t="s">
        <v>2899</v>
      </c>
      <c r="H678" s="2">
        <f t="shared" si="10"/>
        <v>0</v>
      </c>
    </row>
    <row r="679" spans="1:8">
      <c r="A679" s="1" t="s">
        <v>2911</v>
      </c>
      <c r="B679" s="1" t="s">
        <v>153</v>
      </c>
      <c r="C679" s="1" t="s">
        <v>2899</v>
      </c>
      <c r="H679" s="2">
        <f t="shared" si="10"/>
        <v>0</v>
      </c>
    </row>
    <row r="680" spans="1:8">
      <c r="A680" s="1" t="s">
        <v>2911</v>
      </c>
      <c r="B680" s="1" t="s">
        <v>154</v>
      </c>
      <c r="C680" s="1" t="s">
        <v>2899</v>
      </c>
      <c r="H680" s="2">
        <f t="shared" si="10"/>
        <v>0</v>
      </c>
    </row>
    <row r="681" spans="1:8">
      <c r="A681" s="1" t="s">
        <v>2911</v>
      </c>
      <c r="B681" s="1" t="s">
        <v>155</v>
      </c>
      <c r="C681" s="1" t="s">
        <v>2899</v>
      </c>
      <c r="H681" s="2">
        <f t="shared" si="10"/>
        <v>0</v>
      </c>
    </row>
    <row r="682" spans="1:8">
      <c r="A682" s="1" t="s">
        <v>2911</v>
      </c>
      <c r="B682" s="1" t="s">
        <v>156</v>
      </c>
      <c r="C682" s="1" t="s">
        <v>2899</v>
      </c>
      <c r="H682" s="2">
        <f t="shared" si="10"/>
        <v>0</v>
      </c>
    </row>
    <row r="683" spans="1:8">
      <c r="A683" s="1" t="s">
        <v>2911</v>
      </c>
      <c r="B683" s="1" t="s">
        <v>157</v>
      </c>
      <c r="C683" s="1" t="s">
        <v>2899</v>
      </c>
      <c r="H683" s="2">
        <f t="shared" si="10"/>
        <v>0</v>
      </c>
    </row>
    <row r="684" spans="1:8">
      <c r="A684" s="1" t="s">
        <v>2911</v>
      </c>
      <c r="B684" s="1" t="s">
        <v>158</v>
      </c>
      <c r="C684" s="1" t="s">
        <v>2899</v>
      </c>
      <c r="H684" s="2">
        <f t="shared" si="10"/>
        <v>0</v>
      </c>
    </row>
    <row r="685" spans="1:8">
      <c r="A685" s="1" t="s">
        <v>2911</v>
      </c>
      <c r="B685" s="1" t="s">
        <v>159</v>
      </c>
      <c r="C685" s="1" t="s">
        <v>2899</v>
      </c>
      <c r="H685" s="2">
        <f t="shared" si="10"/>
        <v>0</v>
      </c>
    </row>
    <row r="686" spans="1:8">
      <c r="A686" s="1" t="s">
        <v>2911</v>
      </c>
      <c r="B686" s="1" t="s">
        <v>148</v>
      </c>
      <c r="C686" s="1" t="s">
        <v>2896</v>
      </c>
      <c r="D686" s="2">
        <v>849028.75</v>
      </c>
      <c r="E686" s="2">
        <v>0</v>
      </c>
      <c r="F686" s="2">
        <v>1758435.18</v>
      </c>
      <c r="G686" s="2">
        <v>0</v>
      </c>
      <c r="H686" s="2">
        <f t="shared" si="10"/>
        <v>2607463.93</v>
      </c>
    </row>
    <row r="687" spans="1:8">
      <c r="A687" s="1" t="s">
        <v>2911</v>
      </c>
      <c r="B687" s="1" t="s">
        <v>149</v>
      </c>
      <c r="C687" s="1" t="s">
        <v>2896</v>
      </c>
      <c r="D687" s="2">
        <v>855826.67</v>
      </c>
      <c r="F687" s="2">
        <v>2355590.07</v>
      </c>
      <c r="G687" s="2">
        <v>61254.75</v>
      </c>
      <c r="H687" s="2">
        <f t="shared" si="10"/>
        <v>3272671.49</v>
      </c>
    </row>
    <row r="688" spans="1:8">
      <c r="A688" s="1" t="s">
        <v>2911</v>
      </c>
      <c r="B688" s="1" t="s">
        <v>150</v>
      </c>
      <c r="C688" s="1" t="s">
        <v>2896</v>
      </c>
      <c r="D688" s="2">
        <v>414433.9</v>
      </c>
      <c r="F688" s="2">
        <v>1967942.35</v>
      </c>
      <c r="G688" s="2">
        <v>0</v>
      </c>
      <c r="H688" s="2">
        <f t="shared" si="10"/>
        <v>2382376.25</v>
      </c>
    </row>
    <row r="689" spans="1:8">
      <c r="A689" s="1" t="s">
        <v>2911</v>
      </c>
      <c r="B689" s="1" t="s">
        <v>151</v>
      </c>
      <c r="C689" s="1" t="s">
        <v>2896</v>
      </c>
      <c r="H689" s="2">
        <f t="shared" si="10"/>
        <v>0</v>
      </c>
    </row>
    <row r="690" spans="1:8">
      <c r="A690" s="1" t="s">
        <v>2911</v>
      </c>
      <c r="B690" s="1" t="s">
        <v>152</v>
      </c>
      <c r="C690" s="1" t="s">
        <v>2896</v>
      </c>
      <c r="H690" s="2">
        <f t="shared" si="10"/>
        <v>0</v>
      </c>
    </row>
    <row r="691" spans="1:8">
      <c r="A691" s="1" t="s">
        <v>2911</v>
      </c>
      <c r="B691" s="1" t="s">
        <v>153</v>
      </c>
      <c r="C691" s="1" t="s">
        <v>2896</v>
      </c>
      <c r="H691" s="2">
        <f t="shared" si="10"/>
        <v>0</v>
      </c>
    </row>
    <row r="692" spans="1:8">
      <c r="A692" s="1" t="s">
        <v>2911</v>
      </c>
      <c r="B692" s="1" t="s">
        <v>154</v>
      </c>
      <c r="C692" s="1" t="s">
        <v>2896</v>
      </c>
      <c r="H692" s="2">
        <f t="shared" si="10"/>
        <v>0</v>
      </c>
    </row>
    <row r="693" spans="1:8">
      <c r="A693" s="1" t="s">
        <v>2911</v>
      </c>
      <c r="B693" s="1" t="s">
        <v>155</v>
      </c>
      <c r="C693" s="1" t="s">
        <v>2896</v>
      </c>
      <c r="H693" s="2">
        <f t="shared" si="10"/>
        <v>0</v>
      </c>
    </row>
    <row r="694" spans="1:8">
      <c r="A694" s="1" t="s">
        <v>2911</v>
      </c>
      <c r="B694" s="1" t="s">
        <v>156</v>
      </c>
      <c r="C694" s="1" t="s">
        <v>2896</v>
      </c>
      <c r="H694" s="2">
        <f t="shared" si="10"/>
        <v>0</v>
      </c>
    </row>
    <row r="695" spans="1:8">
      <c r="A695" s="1" t="s">
        <v>2911</v>
      </c>
      <c r="B695" s="1" t="s">
        <v>157</v>
      </c>
      <c r="C695" s="1" t="s">
        <v>2896</v>
      </c>
      <c r="H695" s="2">
        <f t="shared" si="10"/>
        <v>0</v>
      </c>
    </row>
    <row r="696" spans="1:8">
      <c r="A696" s="1" t="s">
        <v>2911</v>
      </c>
      <c r="B696" s="1" t="s">
        <v>158</v>
      </c>
      <c r="C696" s="1" t="s">
        <v>2896</v>
      </c>
      <c r="H696" s="2">
        <f t="shared" si="10"/>
        <v>0</v>
      </c>
    </row>
    <row r="697" spans="1:8">
      <c r="A697" s="1" t="s">
        <v>2911</v>
      </c>
      <c r="B697" s="1" t="s">
        <v>159</v>
      </c>
      <c r="C697" s="1" t="s">
        <v>2896</v>
      </c>
      <c r="H697" s="2">
        <f t="shared" si="10"/>
        <v>0</v>
      </c>
    </row>
    <row r="698" spans="1:8">
      <c r="A698" s="1" t="s">
        <v>2911</v>
      </c>
      <c r="B698" s="1" t="s">
        <v>148</v>
      </c>
      <c r="C698" s="1" t="s">
        <v>2893</v>
      </c>
      <c r="D698" s="2">
        <v>804391.2</v>
      </c>
      <c r="E698" s="2">
        <v>0</v>
      </c>
      <c r="F698" s="2">
        <v>2536686.05</v>
      </c>
      <c r="G698" s="2">
        <v>0</v>
      </c>
      <c r="H698" s="2">
        <f t="shared" si="10"/>
        <v>3341077.25</v>
      </c>
    </row>
    <row r="699" spans="1:8">
      <c r="A699" s="1" t="s">
        <v>2911</v>
      </c>
      <c r="B699" s="1" t="s">
        <v>149</v>
      </c>
      <c r="C699" s="1" t="s">
        <v>2893</v>
      </c>
      <c r="D699" s="2">
        <v>811781.31</v>
      </c>
      <c r="F699" s="2">
        <v>3307133.27</v>
      </c>
      <c r="G699" s="2">
        <v>58055.08</v>
      </c>
      <c r="H699" s="2">
        <f t="shared" si="10"/>
        <v>4176969.66</v>
      </c>
    </row>
    <row r="700" spans="1:8">
      <c r="A700" s="1" t="s">
        <v>2911</v>
      </c>
      <c r="B700" s="1" t="s">
        <v>150</v>
      </c>
      <c r="C700" s="1" t="s">
        <v>2893</v>
      </c>
      <c r="D700" s="2">
        <v>393080.08</v>
      </c>
      <c r="F700" s="2">
        <v>2645557.71</v>
      </c>
      <c r="G700" s="2">
        <v>0</v>
      </c>
      <c r="H700" s="2">
        <f t="shared" ref="H700:H763" si="11">SUM(D700:G700)</f>
        <v>3038637.79</v>
      </c>
    </row>
    <row r="701" spans="1:8">
      <c r="A701" s="1" t="s">
        <v>2911</v>
      </c>
      <c r="B701" s="1" t="s">
        <v>151</v>
      </c>
      <c r="C701" s="1" t="s">
        <v>2893</v>
      </c>
      <c r="H701" s="2">
        <f t="shared" si="11"/>
        <v>0</v>
      </c>
    </row>
    <row r="702" spans="1:8">
      <c r="A702" s="1" t="s">
        <v>2911</v>
      </c>
      <c r="B702" s="1" t="s">
        <v>152</v>
      </c>
      <c r="C702" s="1" t="s">
        <v>2893</v>
      </c>
      <c r="F702" s="2"/>
      <c r="H702" s="2">
        <f t="shared" si="11"/>
        <v>0</v>
      </c>
    </row>
    <row r="703" spans="1:8">
      <c r="A703" s="1" t="s">
        <v>2911</v>
      </c>
      <c r="B703" s="1" t="s">
        <v>153</v>
      </c>
      <c r="C703" s="1" t="s">
        <v>2893</v>
      </c>
      <c r="H703" s="2">
        <f t="shared" si="11"/>
        <v>0</v>
      </c>
    </row>
    <row r="704" spans="1:8">
      <c r="A704" s="1" t="s">
        <v>2911</v>
      </c>
      <c r="B704" s="1" t="s">
        <v>154</v>
      </c>
      <c r="C704" s="1" t="s">
        <v>2893</v>
      </c>
      <c r="H704" s="2">
        <f t="shared" si="11"/>
        <v>0</v>
      </c>
    </row>
    <row r="705" spans="1:8">
      <c r="A705" s="1" t="s">
        <v>2911</v>
      </c>
      <c r="B705" s="1" t="s">
        <v>155</v>
      </c>
      <c r="C705" s="1" t="s">
        <v>2893</v>
      </c>
      <c r="H705" s="2">
        <f t="shared" si="11"/>
        <v>0</v>
      </c>
    </row>
    <row r="706" spans="1:8">
      <c r="A706" s="1" t="s">
        <v>2911</v>
      </c>
      <c r="B706" s="1" t="s">
        <v>156</v>
      </c>
      <c r="C706" s="1" t="s">
        <v>2893</v>
      </c>
      <c r="H706" s="2">
        <f t="shared" si="11"/>
        <v>0</v>
      </c>
    </row>
    <row r="707" spans="1:8">
      <c r="A707" s="1" t="s">
        <v>2911</v>
      </c>
      <c r="B707" s="1" t="s">
        <v>157</v>
      </c>
      <c r="C707" s="1" t="s">
        <v>2893</v>
      </c>
      <c r="H707" s="2">
        <f t="shared" si="11"/>
        <v>0</v>
      </c>
    </row>
    <row r="708" spans="1:8">
      <c r="A708" s="1" t="s">
        <v>2911</v>
      </c>
      <c r="B708" s="1" t="s">
        <v>158</v>
      </c>
      <c r="C708" s="1" t="s">
        <v>2893</v>
      </c>
      <c r="H708" s="2">
        <f t="shared" si="11"/>
        <v>0</v>
      </c>
    </row>
    <row r="709" spans="1:8">
      <c r="A709" s="1" t="s">
        <v>2911</v>
      </c>
      <c r="B709" s="1" t="s">
        <v>159</v>
      </c>
      <c r="C709" s="1" t="s">
        <v>2893</v>
      </c>
      <c r="H709" s="2">
        <f t="shared" si="11"/>
        <v>0</v>
      </c>
    </row>
    <row r="710" spans="1:8">
      <c r="A710" s="1" t="s">
        <v>2911</v>
      </c>
      <c r="B710" s="1" t="s">
        <v>148</v>
      </c>
      <c r="C710" s="1" t="s">
        <v>2902</v>
      </c>
      <c r="D710" s="2">
        <v>0</v>
      </c>
      <c r="F710" s="2">
        <v>802353.35</v>
      </c>
      <c r="G710" s="2">
        <v>0</v>
      </c>
      <c r="H710" s="2">
        <f t="shared" si="11"/>
        <v>802353.35</v>
      </c>
    </row>
    <row r="711" spans="1:8">
      <c r="A711" s="1" t="s">
        <v>2911</v>
      </c>
      <c r="B711" s="1" t="s">
        <v>149</v>
      </c>
      <c r="C711" s="1" t="s">
        <v>2902</v>
      </c>
      <c r="D711" s="2">
        <v>0</v>
      </c>
      <c r="F711" s="2">
        <v>945191.33</v>
      </c>
      <c r="G711" s="2">
        <v>0</v>
      </c>
      <c r="H711" s="2">
        <f t="shared" si="11"/>
        <v>945191.33</v>
      </c>
    </row>
    <row r="712" spans="1:8">
      <c r="A712" s="1" t="s">
        <v>2911</v>
      </c>
      <c r="B712" s="1" t="s">
        <v>150</v>
      </c>
      <c r="C712" s="1" t="s">
        <v>2902</v>
      </c>
      <c r="D712" s="2">
        <v>0</v>
      </c>
      <c r="F712" s="2">
        <v>650293.09</v>
      </c>
      <c r="G712" s="2">
        <v>0</v>
      </c>
      <c r="H712" s="2">
        <f t="shared" si="11"/>
        <v>650293.09</v>
      </c>
    </row>
    <row r="713" spans="1:8">
      <c r="A713" s="1" t="s">
        <v>2911</v>
      </c>
      <c r="B713" s="1" t="s">
        <v>151</v>
      </c>
      <c r="C713" s="1" t="s">
        <v>2902</v>
      </c>
      <c r="H713" s="2">
        <f t="shared" si="11"/>
        <v>0</v>
      </c>
    </row>
    <row r="714" spans="1:8">
      <c r="A714" s="1" t="s">
        <v>2911</v>
      </c>
      <c r="B714" s="1" t="s">
        <v>152</v>
      </c>
      <c r="C714" s="1" t="s">
        <v>2902</v>
      </c>
      <c r="H714" s="2">
        <f t="shared" si="11"/>
        <v>0</v>
      </c>
    </row>
    <row r="715" spans="1:8">
      <c r="A715" s="1" t="s">
        <v>2911</v>
      </c>
      <c r="B715" s="1" t="s">
        <v>153</v>
      </c>
      <c r="C715" s="1" t="s">
        <v>2902</v>
      </c>
      <c r="H715" s="2">
        <f t="shared" si="11"/>
        <v>0</v>
      </c>
    </row>
    <row r="716" spans="1:8">
      <c r="A716" s="1" t="s">
        <v>2911</v>
      </c>
      <c r="B716" s="1" t="s">
        <v>154</v>
      </c>
      <c r="C716" s="1" t="s">
        <v>2902</v>
      </c>
      <c r="H716" s="2">
        <f t="shared" si="11"/>
        <v>0</v>
      </c>
    </row>
    <row r="717" spans="1:8">
      <c r="A717" s="1" t="s">
        <v>2911</v>
      </c>
      <c r="B717" s="1" t="s">
        <v>155</v>
      </c>
      <c r="C717" s="1" t="s">
        <v>2902</v>
      </c>
      <c r="H717" s="2">
        <f t="shared" si="11"/>
        <v>0</v>
      </c>
    </row>
    <row r="718" spans="1:8">
      <c r="A718" s="1" t="s">
        <v>2911</v>
      </c>
      <c r="B718" s="1" t="s">
        <v>156</v>
      </c>
      <c r="C718" s="1" t="s">
        <v>2902</v>
      </c>
      <c r="H718" s="2">
        <f t="shared" si="11"/>
        <v>0</v>
      </c>
    </row>
    <row r="719" spans="1:8">
      <c r="A719" s="1" t="s">
        <v>2911</v>
      </c>
      <c r="B719" s="1" t="s">
        <v>157</v>
      </c>
      <c r="C719" s="1" t="s">
        <v>2902</v>
      </c>
      <c r="H719" s="2">
        <f t="shared" si="11"/>
        <v>0</v>
      </c>
    </row>
    <row r="720" spans="1:8">
      <c r="A720" s="1" t="s">
        <v>2911</v>
      </c>
      <c r="B720" s="1" t="s">
        <v>158</v>
      </c>
      <c r="C720" s="1" t="s">
        <v>2902</v>
      </c>
      <c r="H720" s="2">
        <f t="shared" si="11"/>
        <v>0</v>
      </c>
    </row>
    <row r="721" spans="1:8">
      <c r="A721" s="1" t="s">
        <v>2911</v>
      </c>
      <c r="B721" s="1" t="s">
        <v>159</v>
      </c>
      <c r="C721" s="1" t="s">
        <v>2902</v>
      </c>
      <c r="H721" s="2">
        <f t="shared" si="11"/>
        <v>0</v>
      </c>
    </row>
    <row r="722" spans="1:8">
      <c r="A722" s="1" t="s">
        <v>2911</v>
      </c>
      <c r="B722" s="1" t="s">
        <v>148</v>
      </c>
      <c r="C722" s="1" t="s">
        <v>2900</v>
      </c>
      <c r="H722" s="2">
        <f t="shared" si="11"/>
        <v>0</v>
      </c>
    </row>
    <row r="723" spans="1:8">
      <c r="A723" s="1" t="s">
        <v>2911</v>
      </c>
      <c r="B723" s="1" t="s">
        <v>149</v>
      </c>
      <c r="C723" s="1" t="s">
        <v>2900</v>
      </c>
      <c r="H723" s="2">
        <f t="shared" si="11"/>
        <v>0</v>
      </c>
    </row>
    <row r="724" spans="1:8">
      <c r="A724" s="1" t="s">
        <v>2911</v>
      </c>
      <c r="B724" s="1" t="s">
        <v>150</v>
      </c>
      <c r="C724" s="1" t="s">
        <v>2900</v>
      </c>
      <c r="H724" s="2">
        <f t="shared" si="11"/>
        <v>0</v>
      </c>
    </row>
    <row r="725" spans="1:8">
      <c r="A725" s="1" t="s">
        <v>2911</v>
      </c>
      <c r="B725" s="1" t="s">
        <v>151</v>
      </c>
      <c r="C725" s="1" t="s">
        <v>2900</v>
      </c>
      <c r="H725" s="2">
        <f t="shared" si="11"/>
        <v>0</v>
      </c>
    </row>
    <row r="726" spans="1:8">
      <c r="A726" s="1" t="s">
        <v>2911</v>
      </c>
      <c r="B726" s="1" t="s">
        <v>152</v>
      </c>
      <c r="C726" s="1" t="s">
        <v>2900</v>
      </c>
      <c r="H726" s="2">
        <f t="shared" si="11"/>
        <v>0</v>
      </c>
    </row>
    <row r="727" spans="1:8">
      <c r="A727" s="1" t="s">
        <v>2911</v>
      </c>
      <c r="B727" s="1" t="s">
        <v>153</v>
      </c>
      <c r="C727" s="1" t="s">
        <v>2900</v>
      </c>
      <c r="H727" s="2">
        <f t="shared" si="11"/>
        <v>0</v>
      </c>
    </row>
    <row r="728" spans="1:8">
      <c r="A728" s="1" t="s">
        <v>2911</v>
      </c>
      <c r="B728" s="1" t="s">
        <v>154</v>
      </c>
      <c r="C728" s="1" t="s">
        <v>2900</v>
      </c>
      <c r="H728" s="2">
        <f t="shared" si="11"/>
        <v>0</v>
      </c>
    </row>
    <row r="729" spans="1:8">
      <c r="A729" s="1" t="s">
        <v>2911</v>
      </c>
      <c r="B729" s="1" t="s">
        <v>155</v>
      </c>
      <c r="C729" s="1" t="s">
        <v>2900</v>
      </c>
      <c r="H729" s="2">
        <f t="shared" si="11"/>
        <v>0</v>
      </c>
    </row>
    <row r="730" spans="1:8">
      <c r="A730" s="1" t="s">
        <v>2911</v>
      </c>
      <c r="B730" s="1" t="s">
        <v>156</v>
      </c>
      <c r="C730" s="1" t="s">
        <v>2900</v>
      </c>
      <c r="H730" s="2">
        <f t="shared" si="11"/>
        <v>0</v>
      </c>
    </row>
    <row r="731" spans="1:8">
      <c r="A731" s="1" t="s">
        <v>2911</v>
      </c>
      <c r="B731" s="1" t="s">
        <v>157</v>
      </c>
      <c r="C731" s="1" t="s">
        <v>2900</v>
      </c>
      <c r="H731" s="2">
        <f t="shared" si="11"/>
        <v>0</v>
      </c>
    </row>
    <row r="732" spans="1:8">
      <c r="A732" s="1" t="s">
        <v>2911</v>
      </c>
      <c r="B732" s="1" t="s">
        <v>158</v>
      </c>
      <c r="C732" s="1" t="s">
        <v>2900</v>
      </c>
      <c r="H732" s="2">
        <f t="shared" si="11"/>
        <v>0</v>
      </c>
    </row>
    <row r="733" spans="1:8">
      <c r="A733" s="1" t="s">
        <v>2911</v>
      </c>
      <c r="B733" s="1" t="s">
        <v>159</v>
      </c>
      <c r="C733" s="1" t="s">
        <v>2900</v>
      </c>
      <c r="H733" s="2">
        <f t="shared" si="11"/>
        <v>0</v>
      </c>
    </row>
    <row r="734" spans="1:8">
      <c r="A734" s="1" t="s">
        <v>2911</v>
      </c>
      <c r="B734" s="1" t="s">
        <v>148</v>
      </c>
      <c r="C734" s="1" t="s">
        <v>2931</v>
      </c>
      <c r="D734" s="2">
        <v>0</v>
      </c>
      <c r="F734" s="2">
        <v>75396.93</v>
      </c>
      <c r="G734" s="2">
        <v>0</v>
      </c>
      <c r="H734" s="2">
        <f t="shared" si="11"/>
        <v>75396.93</v>
      </c>
    </row>
    <row r="735" spans="1:8">
      <c r="A735" s="1" t="s">
        <v>2911</v>
      </c>
      <c r="B735" s="1" t="s">
        <v>149</v>
      </c>
      <c r="C735" s="1" t="s">
        <v>2931</v>
      </c>
      <c r="D735" s="2">
        <v>0</v>
      </c>
      <c r="F735" s="2">
        <v>781067.47</v>
      </c>
      <c r="G735" s="2">
        <v>0</v>
      </c>
      <c r="H735" s="2">
        <f t="shared" si="11"/>
        <v>781067.47</v>
      </c>
    </row>
    <row r="736" spans="1:8">
      <c r="A736" s="1" t="s">
        <v>2911</v>
      </c>
      <c r="B736" s="1" t="s">
        <v>150</v>
      </c>
      <c r="C736" s="1" t="s">
        <v>2931</v>
      </c>
      <c r="D736" s="2">
        <v>0</v>
      </c>
      <c r="F736" s="2">
        <v>574013.84</v>
      </c>
      <c r="G736" s="2">
        <v>0</v>
      </c>
      <c r="H736" s="2">
        <f t="shared" si="11"/>
        <v>574013.84</v>
      </c>
    </row>
    <row r="737" spans="1:8">
      <c r="A737" s="1" t="s">
        <v>2911</v>
      </c>
      <c r="B737" s="1" t="s">
        <v>151</v>
      </c>
      <c r="C737" s="1" t="s">
        <v>2931</v>
      </c>
      <c r="H737" s="2">
        <f t="shared" si="11"/>
        <v>0</v>
      </c>
    </row>
    <row r="738" spans="1:8">
      <c r="A738" s="1" t="s">
        <v>2911</v>
      </c>
      <c r="B738" s="1" t="s">
        <v>152</v>
      </c>
      <c r="C738" s="1" t="s">
        <v>2931</v>
      </c>
      <c r="H738" s="2">
        <f t="shared" si="11"/>
        <v>0</v>
      </c>
    </row>
    <row r="739" spans="1:8">
      <c r="A739" s="1" t="s">
        <v>2911</v>
      </c>
      <c r="B739" s="1" t="s">
        <v>153</v>
      </c>
      <c r="C739" s="1" t="s">
        <v>2931</v>
      </c>
      <c r="H739" s="2">
        <f t="shared" si="11"/>
        <v>0</v>
      </c>
    </row>
    <row r="740" spans="1:8">
      <c r="A740" s="1" t="s">
        <v>2911</v>
      </c>
      <c r="B740" s="1" t="s">
        <v>154</v>
      </c>
      <c r="C740" s="1" t="s">
        <v>2931</v>
      </c>
      <c r="H740" s="2">
        <f t="shared" si="11"/>
        <v>0</v>
      </c>
    </row>
    <row r="741" spans="1:8">
      <c r="A741" s="1" t="s">
        <v>2911</v>
      </c>
      <c r="B741" s="1" t="s">
        <v>155</v>
      </c>
      <c r="C741" s="1" t="s">
        <v>2931</v>
      </c>
      <c r="H741" s="2">
        <f t="shared" si="11"/>
        <v>0</v>
      </c>
    </row>
    <row r="742" spans="1:8">
      <c r="A742" s="1" t="s">
        <v>2911</v>
      </c>
      <c r="B742" s="1" t="s">
        <v>156</v>
      </c>
      <c r="C742" s="1" t="s">
        <v>2931</v>
      </c>
      <c r="H742" s="2">
        <f t="shared" si="11"/>
        <v>0</v>
      </c>
    </row>
    <row r="743" spans="1:8">
      <c r="A743" s="1" t="s">
        <v>2911</v>
      </c>
      <c r="B743" s="1" t="s">
        <v>157</v>
      </c>
      <c r="C743" s="1" t="s">
        <v>2931</v>
      </c>
      <c r="H743" s="2">
        <f t="shared" si="11"/>
        <v>0</v>
      </c>
    </row>
    <row r="744" spans="1:8">
      <c r="A744" s="1" t="s">
        <v>2911</v>
      </c>
      <c r="B744" s="1" t="s">
        <v>158</v>
      </c>
      <c r="C744" s="1" t="s">
        <v>2931</v>
      </c>
      <c r="H744" s="2">
        <f t="shared" si="11"/>
        <v>0</v>
      </c>
    </row>
    <row r="745" spans="1:8">
      <c r="A745" s="1" t="s">
        <v>2911</v>
      </c>
      <c r="B745" s="1" t="s">
        <v>159</v>
      </c>
      <c r="C745" s="1" t="s">
        <v>2931</v>
      </c>
      <c r="H745" s="2">
        <f t="shared" si="11"/>
        <v>0</v>
      </c>
    </row>
    <row r="746" spans="1:8">
      <c r="A746" s="1" t="s">
        <v>2911</v>
      </c>
      <c r="B746" s="1" t="s">
        <v>148</v>
      </c>
      <c r="C746" s="1" t="s">
        <v>2926</v>
      </c>
      <c r="D746" s="2">
        <v>0</v>
      </c>
      <c r="G746" s="2">
        <v>162.23</v>
      </c>
      <c r="H746" s="2">
        <f t="shared" si="11"/>
        <v>162.23</v>
      </c>
    </row>
    <row r="747" spans="1:8">
      <c r="A747" s="1" t="s">
        <v>2911</v>
      </c>
      <c r="B747" s="1" t="s">
        <v>149</v>
      </c>
      <c r="C747" s="1" t="s">
        <v>2926</v>
      </c>
      <c r="D747" s="2">
        <v>0</v>
      </c>
      <c r="G747" s="2">
        <v>856.23</v>
      </c>
      <c r="H747" s="2">
        <f t="shared" si="11"/>
        <v>856.23</v>
      </c>
    </row>
    <row r="748" spans="1:8">
      <c r="A748" s="1" t="s">
        <v>2911</v>
      </c>
      <c r="B748" s="1" t="s">
        <v>150</v>
      </c>
      <c r="C748" s="1" t="s">
        <v>2926</v>
      </c>
      <c r="D748" s="2">
        <v>0</v>
      </c>
      <c r="G748" s="2">
        <v>1756.11</v>
      </c>
      <c r="H748" s="2">
        <f t="shared" si="11"/>
        <v>1756.11</v>
      </c>
    </row>
    <row r="749" spans="1:8">
      <c r="A749" s="1" t="s">
        <v>2911</v>
      </c>
      <c r="B749" s="1" t="s">
        <v>151</v>
      </c>
      <c r="C749" s="1" t="s">
        <v>2926</v>
      </c>
      <c r="H749" s="2">
        <f t="shared" si="11"/>
        <v>0</v>
      </c>
    </row>
    <row r="750" spans="1:8">
      <c r="A750" s="1" t="s">
        <v>2911</v>
      </c>
      <c r="B750" s="1" t="s">
        <v>152</v>
      </c>
      <c r="C750" s="1" t="s">
        <v>2926</v>
      </c>
      <c r="H750" s="2">
        <f t="shared" si="11"/>
        <v>0</v>
      </c>
    </row>
    <row r="751" spans="1:8">
      <c r="A751" s="1" t="s">
        <v>2911</v>
      </c>
      <c r="B751" s="1" t="s">
        <v>153</v>
      </c>
      <c r="C751" s="1" t="s">
        <v>2926</v>
      </c>
      <c r="H751" s="2">
        <f t="shared" si="11"/>
        <v>0</v>
      </c>
    </row>
    <row r="752" spans="1:8">
      <c r="A752" s="1" t="s">
        <v>2911</v>
      </c>
      <c r="B752" s="1" t="s">
        <v>154</v>
      </c>
      <c r="C752" s="1" t="s">
        <v>2926</v>
      </c>
      <c r="H752" s="2">
        <f t="shared" si="11"/>
        <v>0</v>
      </c>
    </row>
    <row r="753" spans="1:8">
      <c r="A753" s="1" t="s">
        <v>2911</v>
      </c>
      <c r="B753" s="1" t="s">
        <v>155</v>
      </c>
      <c r="C753" s="1" t="s">
        <v>2926</v>
      </c>
      <c r="H753" s="2">
        <f t="shared" si="11"/>
        <v>0</v>
      </c>
    </row>
    <row r="754" spans="1:8">
      <c r="A754" s="1" t="s">
        <v>2911</v>
      </c>
      <c r="B754" s="1" t="s">
        <v>156</v>
      </c>
      <c r="C754" s="1" t="s">
        <v>2926</v>
      </c>
      <c r="H754" s="2">
        <f t="shared" si="11"/>
        <v>0</v>
      </c>
    </row>
    <row r="755" spans="1:8">
      <c r="A755" s="1" t="s">
        <v>2911</v>
      </c>
      <c r="B755" s="1" t="s">
        <v>157</v>
      </c>
      <c r="C755" s="1" t="s">
        <v>2926</v>
      </c>
      <c r="H755" s="2">
        <f t="shared" si="11"/>
        <v>0</v>
      </c>
    </row>
    <row r="756" spans="1:8">
      <c r="A756" s="1" t="s">
        <v>2911</v>
      </c>
      <c r="B756" s="1" t="s">
        <v>158</v>
      </c>
      <c r="C756" s="1" t="s">
        <v>2926</v>
      </c>
      <c r="H756" s="2">
        <f t="shared" si="11"/>
        <v>0</v>
      </c>
    </row>
    <row r="757" spans="1:8">
      <c r="A757" s="1" t="s">
        <v>2911</v>
      </c>
      <c r="B757" s="1" t="s">
        <v>159</v>
      </c>
      <c r="C757" s="1" t="s">
        <v>2926</v>
      </c>
      <c r="H757" s="2">
        <f t="shared" si="11"/>
        <v>0</v>
      </c>
    </row>
    <row r="758" spans="1:8">
      <c r="A758" s="1" t="s">
        <v>2911</v>
      </c>
      <c r="B758" s="1" t="s">
        <v>148</v>
      </c>
      <c r="C758" s="1" t="s">
        <v>347</v>
      </c>
      <c r="H758" s="2">
        <f t="shared" si="11"/>
        <v>0</v>
      </c>
    </row>
    <row r="759" spans="1:8">
      <c r="A759" s="1" t="s">
        <v>2911</v>
      </c>
      <c r="B759" s="1" t="s">
        <v>149</v>
      </c>
      <c r="C759" s="1" t="s">
        <v>347</v>
      </c>
      <c r="D759" s="2">
        <v>0</v>
      </c>
      <c r="F759" s="2">
        <v>462987.1</v>
      </c>
      <c r="G759" s="2">
        <v>0</v>
      </c>
      <c r="H759" s="2">
        <f t="shared" si="11"/>
        <v>462987.1</v>
      </c>
    </row>
    <row r="760" spans="1:8">
      <c r="A760" s="1" t="s">
        <v>2911</v>
      </c>
      <c r="B760" s="1" t="s">
        <v>150</v>
      </c>
      <c r="C760" s="1" t="s">
        <v>347</v>
      </c>
      <c r="D760" s="2">
        <v>0</v>
      </c>
      <c r="F760" s="2">
        <v>1090858.16</v>
      </c>
      <c r="G760" s="2">
        <v>0</v>
      </c>
      <c r="H760" s="2">
        <f t="shared" si="11"/>
        <v>1090858.16</v>
      </c>
    </row>
    <row r="761" spans="1:8">
      <c r="A761" s="1" t="s">
        <v>2911</v>
      </c>
      <c r="B761" s="1" t="s">
        <v>151</v>
      </c>
      <c r="C761" s="1" t="s">
        <v>347</v>
      </c>
      <c r="H761" s="2">
        <f t="shared" si="11"/>
        <v>0</v>
      </c>
    </row>
    <row r="762" spans="1:8">
      <c r="A762" s="1" t="s">
        <v>2911</v>
      </c>
      <c r="B762" s="1" t="s">
        <v>152</v>
      </c>
      <c r="C762" s="1" t="s">
        <v>347</v>
      </c>
      <c r="H762" s="2">
        <f t="shared" si="11"/>
        <v>0</v>
      </c>
    </row>
    <row r="763" spans="1:8">
      <c r="A763" s="1" t="s">
        <v>2911</v>
      </c>
      <c r="B763" s="1" t="s">
        <v>153</v>
      </c>
      <c r="C763" s="1" t="s">
        <v>347</v>
      </c>
      <c r="H763" s="2">
        <f t="shared" si="11"/>
        <v>0</v>
      </c>
    </row>
    <row r="764" spans="1:8">
      <c r="A764" s="1" t="s">
        <v>2911</v>
      </c>
      <c r="B764" s="1" t="s">
        <v>154</v>
      </c>
      <c r="C764" s="1" t="s">
        <v>347</v>
      </c>
      <c r="H764" s="2">
        <f t="shared" ref="H764:H827" si="12">SUM(D764:G764)</f>
        <v>0</v>
      </c>
    </row>
    <row r="765" spans="1:8">
      <c r="A765" s="1" t="s">
        <v>2911</v>
      </c>
      <c r="B765" s="1" t="s">
        <v>155</v>
      </c>
      <c r="C765" s="1" t="s">
        <v>347</v>
      </c>
      <c r="H765" s="2">
        <f t="shared" si="12"/>
        <v>0</v>
      </c>
    </row>
    <row r="766" spans="1:8">
      <c r="A766" s="1" t="s">
        <v>2911</v>
      </c>
      <c r="B766" s="1" t="s">
        <v>156</v>
      </c>
      <c r="C766" s="1" t="s">
        <v>347</v>
      </c>
      <c r="H766" s="2">
        <f t="shared" si="12"/>
        <v>0</v>
      </c>
    </row>
    <row r="767" spans="1:8">
      <c r="A767" s="1" t="s">
        <v>2911</v>
      </c>
      <c r="B767" s="1" t="s">
        <v>157</v>
      </c>
      <c r="C767" s="1" t="s">
        <v>347</v>
      </c>
      <c r="H767" s="2">
        <f t="shared" si="12"/>
        <v>0</v>
      </c>
    </row>
    <row r="768" spans="1:8">
      <c r="A768" s="1" t="s">
        <v>2911</v>
      </c>
      <c r="B768" s="1" t="s">
        <v>158</v>
      </c>
      <c r="C768" s="1" t="s">
        <v>347</v>
      </c>
      <c r="H768" s="2">
        <f t="shared" si="12"/>
        <v>0</v>
      </c>
    </row>
    <row r="769" spans="1:8">
      <c r="A769" s="1" t="s">
        <v>2911</v>
      </c>
      <c r="B769" s="1" t="s">
        <v>159</v>
      </c>
      <c r="C769" s="1" t="s">
        <v>347</v>
      </c>
      <c r="H769" s="2">
        <f t="shared" si="12"/>
        <v>0</v>
      </c>
    </row>
    <row r="770" spans="1:8">
      <c r="A770" s="1" t="s">
        <v>2912</v>
      </c>
      <c r="B770" s="1" t="s">
        <v>148</v>
      </c>
      <c r="C770" s="1" t="s">
        <v>2892</v>
      </c>
      <c r="D770" s="2">
        <v>31214193.1</v>
      </c>
      <c r="E770" s="2">
        <v>50.1</v>
      </c>
      <c r="F770" s="2">
        <v>43134486.56</v>
      </c>
      <c r="G770" s="2">
        <v>55204.38</v>
      </c>
      <c r="H770" s="2">
        <f t="shared" si="12"/>
        <v>74403934.14</v>
      </c>
    </row>
    <row r="771" spans="1:8">
      <c r="A771" s="1" t="s">
        <v>2912</v>
      </c>
      <c r="B771" s="1" t="s">
        <v>149</v>
      </c>
      <c r="C771" s="1" t="s">
        <v>2892</v>
      </c>
      <c r="D771" s="2">
        <v>17208834</v>
      </c>
      <c r="E771" s="2">
        <v>50.1</v>
      </c>
      <c r="F771" s="2">
        <v>41140868.41</v>
      </c>
      <c r="G771" s="2">
        <v>2592.72</v>
      </c>
      <c r="H771" s="2">
        <f t="shared" si="12"/>
        <v>58352345.23</v>
      </c>
    </row>
    <row r="772" spans="1:8">
      <c r="A772" s="1" t="s">
        <v>2912</v>
      </c>
      <c r="B772" s="1" t="s">
        <v>150</v>
      </c>
      <c r="C772" s="1" t="s">
        <v>2892</v>
      </c>
      <c r="D772" s="2">
        <v>17709776.48</v>
      </c>
      <c r="F772" s="2">
        <v>56551902.45</v>
      </c>
      <c r="G772" s="2">
        <v>2927.92</v>
      </c>
      <c r="H772" s="2">
        <f t="shared" si="12"/>
        <v>74264606.85</v>
      </c>
    </row>
    <row r="773" spans="1:8">
      <c r="A773" s="1" t="s">
        <v>2912</v>
      </c>
      <c r="B773" s="1" t="s">
        <v>151</v>
      </c>
      <c r="C773" s="1" t="s">
        <v>2892</v>
      </c>
      <c r="H773" s="2">
        <f t="shared" si="12"/>
        <v>0</v>
      </c>
    </row>
    <row r="774" spans="1:8">
      <c r="A774" s="1" t="s">
        <v>2912</v>
      </c>
      <c r="B774" s="1" t="s">
        <v>152</v>
      </c>
      <c r="C774" s="1" t="s">
        <v>2892</v>
      </c>
      <c r="H774" s="2">
        <f t="shared" si="12"/>
        <v>0</v>
      </c>
    </row>
    <row r="775" spans="1:8">
      <c r="A775" s="1" t="s">
        <v>2912</v>
      </c>
      <c r="B775" s="1" t="s">
        <v>153</v>
      </c>
      <c r="C775" s="1" t="s">
        <v>2892</v>
      </c>
      <c r="H775" s="2">
        <f t="shared" si="12"/>
        <v>0</v>
      </c>
    </row>
    <row r="776" spans="1:8">
      <c r="A776" s="1" t="s">
        <v>2912</v>
      </c>
      <c r="B776" s="1" t="s">
        <v>154</v>
      </c>
      <c r="C776" s="1" t="s">
        <v>2892</v>
      </c>
      <c r="H776" s="2">
        <f t="shared" si="12"/>
        <v>0</v>
      </c>
    </row>
    <row r="777" spans="1:8">
      <c r="A777" s="1" t="s">
        <v>2912</v>
      </c>
      <c r="B777" s="1" t="s">
        <v>155</v>
      </c>
      <c r="C777" s="1" t="s">
        <v>2892</v>
      </c>
      <c r="H777" s="2">
        <f t="shared" si="12"/>
        <v>0</v>
      </c>
    </row>
    <row r="778" spans="1:8">
      <c r="A778" s="1" t="s">
        <v>2912</v>
      </c>
      <c r="B778" s="1" t="s">
        <v>156</v>
      </c>
      <c r="C778" s="1" t="s">
        <v>2892</v>
      </c>
      <c r="H778" s="2">
        <f t="shared" si="12"/>
        <v>0</v>
      </c>
    </row>
    <row r="779" spans="1:8">
      <c r="A779" s="1" t="s">
        <v>2912</v>
      </c>
      <c r="B779" s="1" t="s">
        <v>157</v>
      </c>
      <c r="C779" s="1" t="s">
        <v>2892</v>
      </c>
      <c r="H779" s="2">
        <f t="shared" si="12"/>
        <v>0</v>
      </c>
    </row>
    <row r="780" spans="1:8">
      <c r="A780" s="1" t="s">
        <v>2912</v>
      </c>
      <c r="B780" s="1" t="s">
        <v>158</v>
      </c>
      <c r="C780" s="1" t="s">
        <v>2892</v>
      </c>
      <c r="H780" s="2">
        <f t="shared" si="12"/>
        <v>0</v>
      </c>
    </row>
    <row r="781" spans="1:8">
      <c r="A781" s="1" t="s">
        <v>2912</v>
      </c>
      <c r="B781" s="1" t="s">
        <v>159</v>
      </c>
      <c r="C781" s="1" t="s">
        <v>2892</v>
      </c>
      <c r="H781" s="2">
        <f t="shared" si="12"/>
        <v>0</v>
      </c>
    </row>
    <row r="782" spans="1:8">
      <c r="A782" s="1" t="s">
        <v>2912</v>
      </c>
      <c r="B782" s="1" t="s">
        <v>148</v>
      </c>
      <c r="C782" s="1" t="s">
        <v>2899</v>
      </c>
      <c r="D782" s="2">
        <v>31232204.1</v>
      </c>
      <c r="E782" s="2">
        <v>49</v>
      </c>
      <c r="F782" s="2">
        <v>43055872.16</v>
      </c>
      <c r="G782" s="2">
        <v>55072.28</v>
      </c>
      <c r="H782" s="2">
        <f t="shared" si="12"/>
        <v>74343197.54</v>
      </c>
    </row>
    <row r="783" spans="1:8">
      <c r="A783" s="1" t="s">
        <v>2912</v>
      </c>
      <c r="B783" s="1" t="s">
        <v>149</v>
      </c>
      <c r="C783" s="1" t="s">
        <v>2899</v>
      </c>
      <c r="D783" s="2">
        <v>17262227.47</v>
      </c>
      <c r="E783" s="2">
        <v>49</v>
      </c>
      <c r="F783" s="2">
        <v>41090537.91</v>
      </c>
      <c r="G783" s="2">
        <v>2144.33</v>
      </c>
      <c r="H783" s="2">
        <f t="shared" si="12"/>
        <v>58354958.71</v>
      </c>
    </row>
    <row r="784" spans="1:8">
      <c r="A784" s="1" t="s">
        <v>2912</v>
      </c>
      <c r="B784" s="1" t="s">
        <v>150</v>
      </c>
      <c r="C784" s="1" t="s">
        <v>2899</v>
      </c>
      <c r="D784" s="2">
        <v>17990630.1</v>
      </c>
      <c r="F784" s="2">
        <v>56333873.92</v>
      </c>
      <c r="G784" s="2">
        <v>2927.92</v>
      </c>
      <c r="H784" s="2">
        <f t="shared" si="12"/>
        <v>74327431.94</v>
      </c>
    </row>
    <row r="785" spans="1:8">
      <c r="A785" s="1" t="s">
        <v>2912</v>
      </c>
      <c r="B785" s="1" t="s">
        <v>151</v>
      </c>
      <c r="C785" s="1" t="s">
        <v>2899</v>
      </c>
      <c r="H785" s="2">
        <f t="shared" si="12"/>
        <v>0</v>
      </c>
    </row>
    <row r="786" spans="1:8">
      <c r="A786" s="1" t="s">
        <v>2912</v>
      </c>
      <c r="B786" s="1" t="s">
        <v>152</v>
      </c>
      <c r="C786" s="1" t="s">
        <v>2899</v>
      </c>
      <c r="H786" s="2">
        <f t="shared" si="12"/>
        <v>0</v>
      </c>
    </row>
    <row r="787" spans="1:8">
      <c r="A787" s="1" t="s">
        <v>2912</v>
      </c>
      <c r="B787" s="1" t="s">
        <v>153</v>
      </c>
      <c r="C787" s="1" t="s">
        <v>2899</v>
      </c>
      <c r="H787" s="2">
        <f t="shared" si="12"/>
        <v>0</v>
      </c>
    </row>
    <row r="788" spans="1:8">
      <c r="A788" s="1" t="s">
        <v>2912</v>
      </c>
      <c r="B788" s="1" t="s">
        <v>154</v>
      </c>
      <c r="C788" s="1" t="s">
        <v>2899</v>
      </c>
      <c r="H788" s="2">
        <f t="shared" si="12"/>
        <v>0</v>
      </c>
    </row>
    <row r="789" spans="1:8">
      <c r="A789" s="1" t="s">
        <v>2912</v>
      </c>
      <c r="B789" s="1" t="s">
        <v>155</v>
      </c>
      <c r="C789" s="1" t="s">
        <v>2899</v>
      </c>
      <c r="H789" s="2">
        <f t="shared" si="12"/>
        <v>0</v>
      </c>
    </row>
    <row r="790" spans="1:8">
      <c r="A790" s="1" t="s">
        <v>2912</v>
      </c>
      <c r="B790" s="1" t="s">
        <v>156</v>
      </c>
      <c r="C790" s="1" t="s">
        <v>2899</v>
      </c>
      <c r="H790" s="2">
        <f t="shared" si="12"/>
        <v>0</v>
      </c>
    </row>
    <row r="791" spans="1:8">
      <c r="A791" s="1" t="s">
        <v>2912</v>
      </c>
      <c r="B791" s="1" t="s">
        <v>157</v>
      </c>
      <c r="C791" s="1" t="s">
        <v>2899</v>
      </c>
      <c r="H791" s="2">
        <f t="shared" si="12"/>
        <v>0</v>
      </c>
    </row>
    <row r="792" spans="1:8">
      <c r="A792" s="1" t="s">
        <v>2912</v>
      </c>
      <c r="B792" s="1" t="s">
        <v>158</v>
      </c>
      <c r="C792" s="1" t="s">
        <v>2899</v>
      </c>
      <c r="H792" s="2">
        <f t="shared" si="12"/>
        <v>0</v>
      </c>
    </row>
    <row r="793" spans="1:8">
      <c r="A793" s="1" t="s">
        <v>2912</v>
      </c>
      <c r="B793" s="1" t="s">
        <v>159</v>
      </c>
      <c r="C793" s="1" t="s">
        <v>2899</v>
      </c>
      <c r="H793" s="2">
        <f t="shared" si="12"/>
        <v>0</v>
      </c>
    </row>
    <row r="794" spans="1:8">
      <c r="A794" s="1" t="s">
        <v>2912</v>
      </c>
      <c r="B794" s="1" t="s">
        <v>148</v>
      </c>
      <c r="C794" s="1" t="s">
        <v>2896</v>
      </c>
      <c r="D794" s="2">
        <v>59738.76</v>
      </c>
      <c r="F794" s="2">
        <v>3661.15</v>
      </c>
      <c r="G794" s="2">
        <v>0</v>
      </c>
      <c r="H794" s="2">
        <f t="shared" si="12"/>
        <v>63399.91</v>
      </c>
    </row>
    <row r="795" spans="1:8">
      <c r="A795" s="1" t="s">
        <v>2912</v>
      </c>
      <c r="B795" s="1" t="s">
        <v>149</v>
      </c>
      <c r="C795" s="1" t="s">
        <v>2896</v>
      </c>
      <c r="D795" s="2">
        <v>13015.22</v>
      </c>
      <c r="F795" s="2">
        <v>473321.52</v>
      </c>
      <c r="G795" s="2">
        <v>0</v>
      </c>
      <c r="H795" s="2">
        <f t="shared" si="12"/>
        <v>486336.74</v>
      </c>
    </row>
    <row r="796" spans="1:8">
      <c r="A796" s="1" t="s">
        <v>2912</v>
      </c>
      <c r="B796" s="1" t="s">
        <v>150</v>
      </c>
      <c r="C796" s="1" t="s">
        <v>2896</v>
      </c>
      <c r="D796" s="2">
        <v>16779.12</v>
      </c>
      <c r="F796" s="2">
        <v>1508.07</v>
      </c>
      <c r="G796" s="2">
        <v>0</v>
      </c>
      <c r="H796" s="2">
        <f t="shared" si="12"/>
        <v>18287.19</v>
      </c>
    </row>
    <row r="797" spans="1:8">
      <c r="A797" s="1" t="s">
        <v>2912</v>
      </c>
      <c r="B797" s="1" t="s">
        <v>151</v>
      </c>
      <c r="C797" s="1" t="s">
        <v>2896</v>
      </c>
      <c r="H797" s="2">
        <f t="shared" si="12"/>
        <v>0</v>
      </c>
    </row>
    <row r="798" spans="1:8">
      <c r="A798" s="1" t="s">
        <v>2912</v>
      </c>
      <c r="B798" s="1" t="s">
        <v>152</v>
      </c>
      <c r="C798" s="1" t="s">
        <v>2896</v>
      </c>
      <c r="H798" s="2">
        <f t="shared" si="12"/>
        <v>0</v>
      </c>
    </row>
    <row r="799" spans="1:8">
      <c r="A799" s="1" t="s">
        <v>2912</v>
      </c>
      <c r="B799" s="1" t="s">
        <v>153</v>
      </c>
      <c r="C799" s="1" t="s">
        <v>2896</v>
      </c>
      <c r="H799" s="2">
        <f t="shared" si="12"/>
        <v>0</v>
      </c>
    </row>
    <row r="800" spans="1:8">
      <c r="A800" s="1" t="s">
        <v>2912</v>
      </c>
      <c r="B800" s="1" t="s">
        <v>154</v>
      </c>
      <c r="C800" s="1" t="s">
        <v>2896</v>
      </c>
      <c r="H800" s="2">
        <f t="shared" si="12"/>
        <v>0</v>
      </c>
    </row>
    <row r="801" spans="1:8">
      <c r="A801" s="1" t="s">
        <v>2912</v>
      </c>
      <c r="B801" s="1" t="s">
        <v>155</v>
      </c>
      <c r="C801" s="1" t="s">
        <v>2896</v>
      </c>
      <c r="H801" s="2">
        <f t="shared" si="12"/>
        <v>0</v>
      </c>
    </row>
    <row r="802" spans="1:8">
      <c r="A802" s="1" t="s">
        <v>2912</v>
      </c>
      <c r="B802" s="1" t="s">
        <v>156</v>
      </c>
      <c r="C802" s="1" t="s">
        <v>2896</v>
      </c>
      <c r="H802" s="2">
        <f t="shared" si="12"/>
        <v>0</v>
      </c>
    </row>
    <row r="803" spans="1:8">
      <c r="A803" s="1" t="s">
        <v>2912</v>
      </c>
      <c r="B803" s="1" t="s">
        <v>157</v>
      </c>
      <c r="C803" s="1" t="s">
        <v>2896</v>
      </c>
      <c r="H803" s="2">
        <f t="shared" si="12"/>
        <v>0</v>
      </c>
    </row>
    <row r="804" spans="1:8">
      <c r="A804" s="1" t="s">
        <v>2912</v>
      </c>
      <c r="B804" s="1" t="s">
        <v>158</v>
      </c>
      <c r="C804" s="1" t="s">
        <v>2896</v>
      </c>
      <c r="H804" s="2">
        <f t="shared" si="12"/>
        <v>0</v>
      </c>
    </row>
    <row r="805" spans="1:8">
      <c r="A805" s="1" t="s">
        <v>2912</v>
      </c>
      <c r="B805" s="1" t="s">
        <v>159</v>
      </c>
      <c r="C805" s="1" t="s">
        <v>2896</v>
      </c>
      <c r="H805" s="2">
        <f t="shared" si="12"/>
        <v>0</v>
      </c>
    </row>
    <row r="806" spans="1:8">
      <c r="A806" s="1" t="s">
        <v>2912</v>
      </c>
      <c r="B806" s="1" t="s">
        <v>148</v>
      </c>
      <c r="C806" s="1" t="s">
        <v>2893</v>
      </c>
      <c r="D806" s="2">
        <v>45850.12</v>
      </c>
      <c r="F806" s="2">
        <v>3880.8</v>
      </c>
      <c r="G806" s="2">
        <v>0</v>
      </c>
      <c r="H806" s="2">
        <f t="shared" si="12"/>
        <v>49730.92</v>
      </c>
    </row>
    <row r="807" spans="1:8">
      <c r="A807" s="1" t="s">
        <v>2912</v>
      </c>
      <c r="B807" s="1" t="s">
        <v>149</v>
      </c>
      <c r="C807" s="1" t="s">
        <v>2893</v>
      </c>
      <c r="D807" s="2">
        <v>9229.78</v>
      </c>
      <c r="F807" s="2">
        <v>473418.91</v>
      </c>
      <c r="G807" s="2">
        <v>0</v>
      </c>
      <c r="H807" s="2">
        <f t="shared" si="12"/>
        <v>482648.69</v>
      </c>
    </row>
    <row r="808" spans="1:8">
      <c r="A808" s="1" t="s">
        <v>2912</v>
      </c>
      <c r="B808" s="1" t="s">
        <v>150</v>
      </c>
      <c r="C808" s="1" t="s">
        <v>2893</v>
      </c>
      <c r="D808" s="2">
        <v>14025.84</v>
      </c>
      <c r="F808" s="2">
        <v>1598.52</v>
      </c>
      <c r="G808" s="2">
        <v>0</v>
      </c>
      <c r="H808" s="2">
        <f t="shared" si="12"/>
        <v>15624.36</v>
      </c>
    </row>
    <row r="809" spans="1:8">
      <c r="A809" s="1" t="s">
        <v>2912</v>
      </c>
      <c r="B809" s="1" t="s">
        <v>151</v>
      </c>
      <c r="C809" s="1" t="s">
        <v>2893</v>
      </c>
      <c r="H809" s="2">
        <f t="shared" si="12"/>
        <v>0</v>
      </c>
    </row>
    <row r="810" spans="1:8">
      <c r="A810" s="1" t="s">
        <v>2912</v>
      </c>
      <c r="B810" s="1" t="s">
        <v>152</v>
      </c>
      <c r="C810" s="1" t="s">
        <v>2893</v>
      </c>
      <c r="H810" s="2">
        <f t="shared" si="12"/>
        <v>0</v>
      </c>
    </row>
    <row r="811" spans="1:8">
      <c r="A811" s="1" t="s">
        <v>2912</v>
      </c>
      <c r="B811" s="1" t="s">
        <v>153</v>
      </c>
      <c r="C811" s="1" t="s">
        <v>2893</v>
      </c>
      <c r="H811" s="2">
        <f t="shared" si="12"/>
        <v>0</v>
      </c>
    </row>
    <row r="812" spans="1:8">
      <c r="A812" s="1" t="s">
        <v>2912</v>
      </c>
      <c r="B812" s="1" t="s">
        <v>154</v>
      </c>
      <c r="C812" s="1" t="s">
        <v>2893</v>
      </c>
      <c r="H812" s="2">
        <f t="shared" si="12"/>
        <v>0</v>
      </c>
    </row>
    <row r="813" spans="1:8">
      <c r="A813" s="1" t="s">
        <v>2912</v>
      </c>
      <c r="B813" s="1" t="s">
        <v>155</v>
      </c>
      <c r="C813" s="1" t="s">
        <v>2893</v>
      </c>
      <c r="H813" s="2">
        <f t="shared" si="12"/>
        <v>0</v>
      </c>
    </row>
    <row r="814" spans="1:8">
      <c r="A814" s="1" t="s">
        <v>2912</v>
      </c>
      <c r="B814" s="1" t="s">
        <v>156</v>
      </c>
      <c r="C814" s="1" t="s">
        <v>2893</v>
      </c>
      <c r="H814" s="2">
        <f t="shared" si="12"/>
        <v>0</v>
      </c>
    </row>
    <row r="815" spans="1:8">
      <c r="A815" s="1" t="s">
        <v>2912</v>
      </c>
      <c r="B815" s="1" t="s">
        <v>157</v>
      </c>
      <c r="C815" s="1" t="s">
        <v>2893</v>
      </c>
      <c r="H815" s="2">
        <f t="shared" si="12"/>
        <v>0</v>
      </c>
    </row>
    <row r="816" spans="1:8">
      <c r="A816" s="1" t="s">
        <v>2912</v>
      </c>
      <c r="B816" s="1" t="s">
        <v>158</v>
      </c>
      <c r="C816" s="1" t="s">
        <v>2893</v>
      </c>
      <c r="H816" s="2">
        <f t="shared" si="12"/>
        <v>0</v>
      </c>
    </row>
    <row r="817" spans="1:8">
      <c r="A817" s="1" t="s">
        <v>2912</v>
      </c>
      <c r="B817" s="1" t="s">
        <v>159</v>
      </c>
      <c r="C817" s="1" t="s">
        <v>2893</v>
      </c>
      <c r="H817" s="2">
        <f t="shared" si="12"/>
        <v>0</v>
      </c>
    </row>
    <row r="818" spans="1:8">
      <c r="A818" s="1" t="s">
        <v>2912</v>
      </c>
      <c r="B818" s="1" t="s">
        <v>148</v>
      </c>
      <c r="C818" s="1" t="s">
        <v>2902</v>
      </c>
      <c r="D818" s="16">
        <v>32067.06</v>
      </c>
      <c r="E818" s="16"/>
      <c r="F818" s="16"/>
      <c r="G818" s="16">
        <v>0</v>
      </c>
      <c r="H818" s="2">
        <f t="shared" si="12"/>
        <v>32067.06</v>
      </c>
    </row>
    <row r="819" spans="1:8">
      <c r="A819" s="1" t="s">
        <v>2912</v>
      </c>
      <c r="B819" s="1" t="s">
        <v>149</v>
      </c>
      <c r="C819" s="1" t="s">
        <v>2902</v>
      </c>
      <c r="D819" s="16">
        <v>24021.82</v>
      </c>
      <c r="E819" s="16"/>
      <c r="F819" s="16"/>
      <c r="G819" s="16">
        <v>0</v>
      </c>
      <c r="H819" s="2">
        <f t="shared" si="12"/>
        <v>24021.82</v>
      </c>
    </row>
    <row r="820" spans="1:8">
      <c r="A820" s="1" t="s">
        <v>2912</v>
      </c>
      <c r="B820" s="1" t="s">
        <v>150</v>
      </c>
      <c r="C820" s="1" t="s">
        <v>2902</v>
      </c>
      <c r="D820" s="16">
        <v>21042.1</v>
      </c>
      <c r="E820" s="16"/>
      <c r="F820" s="16"/>
      <c r="G820" s="16">
        <v>0</v>
      </c>
      <c r="H820" s="2">
        <f t="shared" si="12"/>
        <v>21042.1</v>
      </c>
    </row>
    <row r="821" spans="1:8">
      <c r="A821" s="1" t="s">
        <v>2912</v>
      </c>
      <c r="B821" s="1" t="s">
        <v>151</v>
      </c>
      <c r="C821" s="1" t="s">
        <v>2902</v>
      </c>
      <c r="D821" s="16"/>
      <c r="E821" s="16"/>
      <c r="F821" s="16"/>
      <c r="G821" s="16"/>
      <c r="H821" s="2">
        <f t="shared" si="12"/>
        <v>0</v>
      </c>
    </row>
    <row r="822" spans="1:8">
      <c r="A822" s="1" t="s">
        <v>2912</v>
      </c>
      <c r="B822" s="1" t="s">
        <v>152</v>
      </c>
      <c r="C822" s="1" t="s">
        <v>2902</v>
      </c>
      <c r="D822" s="16"/>
      <c r="E822" s="16"/>
      <c r="F822" s="16"/>
      <c r="G822" s="16"/>
      <c r="H822" s="2">
        <f t="shared" si="12"/>
        <v>0</v>
      </c>
    </row>
    <row r="823" spans="1:8">
      <c r="A823" s="1" t="s">
        <v>2912</v>
      </c>
      <c r="B823" s="1" t="s">
        <v>153</v>
      </c>
      <c r="C823" s="1" t="s">
        <v>2902</v>
      </c>
      <c r="D823" s="16"/>
      <c r="E823" s="16"/>
      <c r="F823" s="16"/>
      <c r="G823" s="16"/>
      <c r="H823" s="2">
        <f t="shared" si="12"/>
        <v>0</v>
      </c>
    </row>
    <row r="824" spans="1:8">
      <c r="A824" s="1" t="s">
        <v>2912</v>
      </c>
      <c r="B824" s="1" t="s">
        <v>154</v>
      </c>
      <c r="C824" s="1" t="s">
        <v>2902</v>
      </c>
      <c r="D824" s="16"/>
      <c r="E824" s="16"/>
      <c r="F824" s="16"/>
      <c r="G824" s="16"/>
      <c r="H824" s="2">
        <f t="shared" si="12"/>
        <v>0</v>
      </c>
    </row>
    <row r="825" spans="1:8">
      <c r="A825" s="1" t="s">
        <v>2912</v>
      </c>
      <c r="B825" s="1" t="s">
        <v>155</v>
      </c>
      <c r="C825" s="1" t="s">
        <v>2902</v>
      </c>
      <c r="D825" s="16"/>
      <c r="E825" s="16"/>
      <c r="F825" s="16"/>
      <c r="G825" s="16"/>
      <c r="H825" s="2">
        <f t="shared" si="12"/>
        <v>0</v>
      </c>
    </row>
    <row r="826" spans="1:8">
      <c r="A826" s="1" t="s">
        <v>2912</v>
      </c>
      <c r="B826" s="1" t="s">
        <v>156</v>
      </c>
      <c r="C826" s="1" t="s">
        <v>2902</v>
      </c>
      <c r="D826" s="16"/>
      <c r="E826" s="16"/>
      <c r="F826" s="16"/>
      <c r="G826" s="16"/>
      <c r="H826" s="2">
        <f t="shared" si="12"/>
        <v>0</v>
      </c>
    </row>
    <row r="827" spans="1:8">
      <c r="A827" s="1" t="s">
        <v>2912</v>
      </c>
      <c r="B827" s="1" t="s">
        <v>157</v>
      </c>
      <c r="C827" s="1" t="s">
        <v>2902</v>
      </c>
      <c r="D827" s="16"/>
      <c r="E827" s="16"/>
      <c r="F827" s="16"/>
      <c r="G827" s="16"/>
      <c r="H827" s="2">
        <f t="shared" si="12"/>
        <v>0</v>
      </c>
    </row>
    <row r="828" spans="1:8">
      <c r="A828" s="1" t="s">
        <v>2912</v>
      </c>
      <c r="B828" s="1" t="s">
        <v>158</v>
      </c>
      <c r="C828" s="1" t="s">
        <v>2902</v>
      </c>
      <c r="D828" s="16"/>
      <c r="E828" s="16"/>
      <c r="F828" s="16"/>
      <c r="G828" s="16"/>
      <c r="H828" s="2">
        <f t="shared" ref="H828:H891" si="13">SUM(D828:G828)</f>
        <v>0</v>
      </c>
    </row>
    <row r="829" spans="1:8">
      <c r="A829" s="1" t="s">
        <v>2912</v>
      </c>
      <c r="B829" s="1" t="s">
        <v>159</v>
      </c>
      <c r="C829" s="1" t="s">
        <v>2902</v>
      </c>
      <c r="D829" s="16"/>
      <c r="E829" s="16"/>
      <c r="F829" s="16"/>
      <c r="G829" s="16"/>
      <c r="H829" s="2">
        <f t="shared" si="13"/>
        <v>0</v>
      </c>
    </row>
    <row r="830" spans="1:8">
      <c r="A830" s="1" t="s">
        <v>2912</v>
      </c>
      <c r="B830" s="1" t="s">
        <v>148</v>
      </c>
      <c r="C830" s="1" t="s">
        <v>2900</v>
      </c>
      <c r="D830" s="16"/>
      <c r="E830" s="16"/>
      <c r="F830" s="16"/>
      <c r="G830" s="16"/>
      <c r="H830" s="2">
        <f t="shared" si="13"/>
        <v>0</v>
      </c>
    </row>
    <row r="831" spans="1:8">
      <c r="A831" s="1" t="s">
        <v>2912</v>
      </c>
      <c r="B831" s="1" t="s">
        <v>149</v>
      </c>
      <c r="C831" s="1" t="s">
        <v>2900</v>
      </c>
      <c r="D831" s="16"/>
      <c r="E831" s="16"/>
      <c r="F831" s="16"/>
      <c r="G831" s="16"/>
      <c r="H831" s="2">
        <f t="shared" si="13"/>
        <v>0</v>
      </c>
    </row>
    <row r="832" spans="1:8">
      <c r="A832" s="1" t="s">
        <v>2912</v>
      </c>
      <c r="B832" s="1" t="s">
        <v>150</v>
      </c>
      <c r="C832" s="1" t="s">
        <v>2900</v>
      </c>
      <c r="D832" s="16"/>
      <c r="E832" s="16"/>
      <c r="F832" s="16"/>
      <c r="G832" s="16"/>
      <c r="H832" s="2">
        <f t="shared" si="13"/>
        <v>0</v>
      </c>
    </row>
    <row r="833" spans="1:8">
      <c r="A833" s="1" t="s">
        <v>2912</v>
      </c>
      <c r="B833" s="1" t="s">
        <v>151</v>
      </c>
      <c r="C833" s="1" t="s">
        <v>2900</v>
      </c>
      <c r="D833" s="16"/>
      <c r="E833" s="16"/>
      <c r="F833" s="16"/>
      <c r="G833" s="16"/>
      <c r="H833" s="2">
        <f t="shared" si="13"/>
        <v>0</v>
      </c>
    </row>
    <row r="834" spans="1:8">
      <c r="A834" s="1" t="s">
        <v>2912</v>
      </c>
      <c r="B834" s="1" t="s">
        <v>152</v>
      </c>
      <c r="C834" s="1" t="s">
        <v>2900</v>
      </c>
      <c r="D834" s="16"/>
      <c r="E834" s="16"/>
      <c r="F834" s="16"/>
      <c r="G834" s="16"/>
      <c r="H834" s="2">
        <f t="shared" si="13"/>
        <v>0</v>
      </c>
    </row>
    <row r="835" spans="1:8">
      <c r="A835" s="1" t="s">
        <v>2912</v>
      </c>
      <c r="B835" s="1" t="s">
        <v>153</v>
      </c>
      <c r="C835" s="1" t="s">
        <v>2900</v>
      </c>
      <c r="D835" s="16"/>
      <c r="E835" s="16"/>
      <c r="F835" s="16"/>
      <c r="G835" s="16"/>
      <c r="H835" s="2">
        <f t="shared" si="13"/>
        <v>0</v>
      </c>
    </row>
    <row r="836" spans="1:8">
      <c r="A836" s="1" t="s">
        <v>2912</v>
      </c>
      <c r="B836" s="1" t="s">
        <v>154</v>
      </c>
      <c r="C836" s="1" t="s">
        <v>2900</v>
      </c>
      <c r="D836" s="16"/>
      <c r="E836" s="16"/>
      <c r="F836" s="16"/>
      <c r="G836" s="16"/>
      <c r="H836" s="2">
        <f t="shared" si="13"/>
        <v>0</v>
      </c>
    </row>
    <row r="837" spans="1:8">
      <c r="A837" s="1" t="s">
        <v>2912</v>
      </c>
      <c r="B837" s="1" t="s">
        <v>155</v>
      </c>
      <c r="C837" s="1" t="s">
        <v>2900</v>
      </c>
      <c r="D837" s="16"/>
      <c r="E837" s="16"/>
      <c r="F837" s="16"/>
      <c r="G837" s="16"/>
      <c r="H837" s="2">
        <f t="shared" si="13"/>
        <v>0</v>
      </c>
    </row>
    <row r="838" spans="1:8">
      <c r="A838" s="1" t="s">
        <v>2912</v>
      </c>
      <c r="B838" s="1" t="s">
        <v>156</v>
      </c>
      <c r="C838" s="1" t="s">
        <v>2900</v>
      </c>
      <c r="D838" s="16"/>
      <c r="E838" s="16"/>
      <c r="F838" s="16"/>
      <c r="G838" s="16"/>
      <c r="H838" s="2">
        <f t="shared" si="13"/>
        <v>0</v>
      </c>
    </row>
    <row r="839" spans="1:8">
      <c r="A839" s="1" t="s">
        <v>2912</v>
      </c>
      <c r="B839" s="1" t="s">
        <v>157</v>
      </c>
      <c r="C839" s="1" t="s">
        <v>2900</v>
      </c>
      <c r="H839" s="2">
        <f t="shared" si="13"/>
        <v>0</v>
      </c>
    </row>
    <row r="840" spans="1:8">
      <c r="A840" s="1" t="s">
        <v>2912</v>
      </c>
      <c r="B840" s="1" t="s">
        <v>158</v>
      </c>
      <c r="C840" s="1" t="s">
        <v>2900</v>
      </c>
      <c r="H840" s="2">
        <f t="shared" si="13"/>
        <v>0</v>
      </c>
    </row>
    <row r="841" spans="1:8">
      <c r="A841" s="1" t="s">
        <v>2912</v>
      </c>
      <c r="B841" s="1" t="s">
        <v>159</v>
      </c>
      <c r="C841" s="1" t="s">
        <v>2900</v>
      </c>
      <c r="H841" s="2">
        <f t="shared" si="13"/>
        <v>0</v>
      </c>
    </row>
    <row r="842" spans="1:8">
      <c r="A842" s="1" t="s">
        <v>2912</v>
      </c>
      <c r="B842" s="1" t="s">
        <v>148</v>
      </c>
      <c r="C842" s="1" t="s">
        <v>2931</v>
      </c>
      <c r="H842" s="2">
        <f t="shared" si="13"/>
        <v>0</v>
      </c>
    </row>
    <row r="843" spans="1:8">
      <c r="A843" s="1" t="s">
        <v>2912</v>
      </c>
      <c r="B843" s="1" t="s">
        <v>149</v>
      </c>
      <c r="C843" s="1" t="s">
        <v>2931</v>
      </c>
      <c r="H843" s="2">
        <f t="shared" si="13"/>
        <v>0</v>
      </c>
    </row>
    <row r="844" spans="1:8">
      <c r="A844" s="1" t="s">
        <v>2912</v>
      </c>
      <c r="B844" s="1" t="s">
        <v>150</v>
      </c>
      <c r="C844" s="1" t="s">
        <v>2931</v>
      </c>
      <c r="H844" s="2">
        <f t="shared" si="13"/>
        <v>0</v>
      </c>
    </row>
    <row r="845" spans="1:8">
      <c r="A845" s="1" t="s">
        <v>2912</v>
      </c>
      <c r="B845" s="1" t="s">
        <v>151</v>
      </c>
      <c r="C845" s="1" t="s">
        <v>2931</v>
      </c>
      <c r="H845" s="2">
        <f t="shared" si="13"/>
        <v>0</v>
      </c>
    </row>
    <row r="846" spans="1:8">
      <c r="A846" s="1" t="s">
        <v>2912</v>
      </c>
      <c r="B846" s="1" t="s">
        <v>152</v>
      </c>
      <c r="C846" s="1" t="s">
        <v>2931</v>
      </c>
      <c r="H846" s="2">
        <f t="shared" si="13"/>
        <v>0</v>
      </c>
    </row>
    <row r="847" spans="1:8">
      <c r="A847" s="1" t="s">
        <v>2912</v>
      </c>
      <c r="B847" s="1" t="s">
        <v>153</v>
      </c>
      <c r="C847" s="1" t="s">
        <v>2931</v>
      </c>
      <c r="H847" s="2">
        <f t="shared" si="13"/>
        <v>0</v>
      </c>
    </row>
    <row r="848" spans="1:8">
      <c r="A848" s="1" t="s">
        <v>2912</v>
      </c>
      <c r="B848" s="1" t="s">
        <v>154</v>
      </c>
      <c r="C848" s="1" t="s">
        <v>2931</v>
      </c>
      <c r="H848" s="2">
        <f t="shared" si="13"/>
        <v>0</v>
      </c>
    </row>
    <row r="849" spans="1:8">
      <c r="A849" s="1" t="s">
        <v>2912</v>
      </c>
      <c r="B849" s="1" t="s">
        <v>155</v>
      </c>
      <c r="C849" s="1" t="s">
        <v>2931</v>
      </c>
      <c r="H849" s="2">
        <f t="shared" si="13"/>
        <v>0</v>
      </c>
    </row>
    <row r="850" spans="1:8">
      <c r="A850" s="1" t="s">
        <v>2912</v>
      </c>
      <c r="B850" s="1" t="s">
        <v>156</v>
      </c>
      <c r="C850" s="1" t="s">
        <v>2931</v>
      </c>
      <c r="H850" s="2">
        <f t="shared" si="13"/>
        <v>0</v>
      </c>
    </row>
    <row r="851" spans="1:8">
      <c r="A851" s="1" t="s">
        <v>2912</v>
      </c>
      <c r="B851" s="1" t="s">
        <v>157</v>
      </c>
      <c r="C851" s="1" t="s">
        <v>2931</v>
      </c>
      <c r="H851" s="2">
        <f t="shared" si="13"/>
        <v>0</v>
      </c>
    </row>
    <row r="852" spans="1:8">
      <c r="A852" s="1" t="s">
        <v>2912</v>
      </c>
      <c r="B852" s="1" t="s">
        <v>158</v>
      </c>
      <c r="C852" s="1" t="s">
        <v>2931</v>
      </c>
      <c r="H852" s="2">
        <f t="shared" si="13"/>
        <v>0</v>
      </c>
    </row>
    <row r="853" spans="1:8">
      <c r="A853" s="1" t="s">
        <v>2912</v>
      </c>
      <c r="B853" s="1" t="s">
        <v>159</v>
      </c>
      <c r="C853" s="1" t="s">
        <v>2931</v>
      </c>
      <c r="H853" s="2">
        <f t="shared" si="13"/>
        <v>0</v>
      </c>
    </row>
    <row r="854" spans="1:8">
      <c r="A854" s="1" t="s">
        <v>2912</v>
      </c>
      <c r="B854" s="1" t="s">
        <v>148</v>
      </c>
      <c r="C854" s="1" t="s">
        <v>2904</v>
      </c>
      <c r="H854" s="2">
        <f t="shared" si="13"/>
        <v>0</v>
      </c>
    </row>
    <row r="855" spans="1:8">
      <c r="A855" s="1" t="s">
        <v>2912</v>
      </c>
      <c r="B855" s="1" t="s">
        <v>149</v>
      </c>
      <c r="C855" s="1" t="s">
        <v>2904</v>
      </c>
      <c r="H855" s="2">
        <f t="shared" si="13"/>
        <v>0</v>
      </c>
    </row>
    <row r="856" spans="1:8">
      <c r="A856" s="1" t="s">
        <v>2912</v>
      </c>
      <c r="B856" s="1" t="s">
        <v>150</v>
      </c>
      <c r="C856" s="1" t="s">
        <v>2904</v>
      </c>
      <c r="H856" s="2">
        <f t="shared" si="13"/>
        <v>0</v>
      </c>
    </row>
    <row r="857" spans="1:8">
      <c r="A857" s="1" t="s">
        <v>2912</v>
      </c>
      <c r="B857" s="1" t="s">
        <v>151</v>
      </c>
      <c r="C857" s="1" t="s">
        <v>2904</v>
      </c>
      <c r="H857" s="2">
        <f t="shared" si="13"/>
        <v>0</v>
      </c>
    </row>
    <row r="858" spans="1:8">
      <c r="A858" s="1" t="s">
        <v>2912</v>
      </c>
      <c r="B858" s="1" t="s">
        <v>152</v>
      </c>
      <c r="C858" s="1" t="s">
        <v>2904</v>
      </c>
      <c r="H858" s="2">
        <f t="shared" si="13"/>
        <v>0</v>
      </c>
    </row>
    <row r="859" spans="1:8">
      <c r="A859" s="1" t="s">
        <v>2912</v>
      </c>
      <c r="B859" s="1" t="s">
        <v>153</v>
      </c>
      <c r="C859" s="1" t="s">
        <v>2904</v>
      </c>
      <c r="H859" s="2">
        <f t="shared" si="13"/>
        <v>0</v>
      </c>
    </row>
    <row r="860" spans="1:8">
      <c r="A860" s="1" t="s">
        <v>2912</v>
      </c>
      <c r="B860" s="1" t="s">
        <v>154</v>
      </c>
      <c r="C860" s="1" t="s">
        <v>2904</v>
      </c>
      <c r="H860" s="2">
        <f t="shared" si="13"/>
        <v>0</v>
      </c>
    </row>
    <row r="861" spans="1:8">
      <c r="A861" s="1" t="s">
        <v>2912</v>
      </c>
      <c r="B861" s="1" t="s">
        <v>155</v>
      </c>
      <c r="C861" s="1" t="s">
        <v>2904</v>
      </c>
      <c r="H861" s="2">
        <f t="shared" si="13"/>
        <v>0</v>
      </c>
    </row>
    <row r="862" spans="1:8">
      <c r="A862" s="1" t="s">
        <v>2912</v>
      </c>
      <c r="B862" s="1" t="s">
        <v>156</v>
      </c>
      <c r="C862" s="1" t="s">
        <v>2904</v>
      </c>
      <c r="H862" s="2">
        <f t="shared" si="13"/>
        <v>0</v>
      </c>
    </row>
    <row r="863" spans="1:8">
      <c r="A863" s="1" t="s">
        <v>2912</v>
      </c>
      <c r="B863" s="1" t="s">
        <v>157</v>
      </c>
      <c r="C863" s="1" t="s">
        <v>2904</v>
      </c>
      <c r="H863" s="2">
        <f t="shared" si="13"/>
        <v>0</v>
      </c>
    </row>
    <row r="864" spans="1:8">
      <c r="A864" s="1" t="s">
        <v>2912</v>
      </c>
      <c r="B864" s="1" t="s">
        <v>158</v>
      </c>
      <c r="C864" s="1" t="s">
        <v>2904</v>
      </c>
      <c r="H864" s="2">
        <f t="shared" si="13"/>
        <v>0</v>
      </c>
    </row>
    <row r="865" spans="1:8">
      <c r="A865" s="1" t="s">
        <v>2912</v>
      </c>
      <c r="B865" s="1" t="s">
        <v>159</v>
      </c>
      <c r="C865" s="1" t="s">
        <v>2904</v>
      </c>
      <c r="H865" s="2">
        <f t="shared" si="13"/>
        <v>0</v>
      </c>
    </row>
    <row r="866" spans="1:8">
      <c r="A866" s="1" t="s">
        <v>2912</v>
      </c>
      <c r="B866" s="1" t="s">
        <v>148</v>
      </c>
      <c r="C866" s="1" t="s">
        <v>1901</v>
      </c>
      <c r="H866" s="2">
        <f t="shared" si="13"/>
        <v>0</v>
      </c>
    </row>
    <row r="867" spans="1:8">
      <c r="A867" s="1" t="s">
        <v>2912</v>
      </c>
      <c r="B867" s="1" t="s">
        <v>149</v>
      </c>
      <c r="C867" s="1" t="s">
        <v>1901</v>
      </c>
      <c r="H867" s="2">
        <f t="shared" si="13"/>
        <v>0</v>
      </c>
    </row>
    <row r="868" spans="1:8">
      <c r="A868" s="1" t="s">
        <v>2912</v>
      </c>
      <c r="B868" s="1" t="s">
        <v>150</v>
      </c>
      <c r="C868" s="1" t="s">
        <v>1901</v>
      </c>
      <c r="H868" s="2">
        <f t="shared" si="13"/>
        <v>0</v>
      </c>
    </row>
    <row r="869" spans="1:8">
      <c r="A869" s="1" t="s">
        <v>2912</v>
      </c>
      <c r="B869" s="1" t="s">
        <v>151</v>
      </c>
      <c r="C869" s="1" t="s">
        <v>1901</v>
      </c>
      <c r="H869" s="2">
        <f t="shared" si="13"/>
        <v>0</v>
      </c>
    </row>
    <row r="870" spans="1:8">
      <c r="A870" s="1" t="s">
        <v>2912</v>
      </c>
      <c r="B870" s="1" t="s">
        <v>152</v>
      </c>
      <c r="C870" s="1" t="s">
        <v>1901</v>
      </c>
      <c r="H870" s="2">
        <f t="shared" si="13"/>
        <v>0</v>
      </c>
    </row>
    <row r="871" spans="1:8">
      <c r="A871" s="1" t="s">
        <v>2912</v>
      </c>
      <c r="B871" s="1" t="s">
        <v>153</v>
      </c>
      <c r="C871" s="1" t="s">
        <v>1901</v>
      </c>
      <c r="H871" s="2">
        <f t="shared" si="13"/>
        <v>0</v>
      </c>
    </row>
    <row r="872" spans="1:8">
      <c r="A872" s="1" t="s">
        <v>2912</v>
      </c>
      <c r="B872" s="1" t="s">
        <v>154</v>
      </c>
      <c r="C872" s="1" t="s">
        <v>1901</v>
      </c>
      <c r="H872" s="2">
        <f t="shared" si="13"/>
        <v>0</v>
      </c>
    </row>
    <row r="873" spans="1:8">
      <c r="A873" s="1" t="s">
        <v>2912</v>
      </c>
      <c r="B873" s="1" t="s">
        <v>155</v>
      </c>
      <c r="C873" s="1" t="s">
        <v>1901</v>
      </c>
      <c r="H873" s="2">
        <f t="shared" si="13"/>
        <v>0</v>
      </c>
    </row>
    <row r="874" spans="1:8">
      <c r="A874" s="1" t="s">
        <v>2912</v>
      </c>
      <c r="B874" s="1" t="s">
        <v>156</v>
      </c>
      <c r="C874" s="1" t="s">
        <v>1901</v>
      </c>
      <c r="H874" s="2">
        <f t="shared" si="13"/>
        <v>0</v>
      </c>
    </row>
    <row r="875" spans="1:8">
      <c r="A875" s="1" t="s">
        <v>2912</v>
      </c>
      <c r="B875" s="1" t="s">
        <v>157</v>
      </c>
      <c r="C875" s="1" t="s">
        <v>1901</v>
      </c>
      <c r="H875" s="2">
        <f t="shared" si="13"/>
        <v>0</v>
      </c>
    </row>
    <row r="876" spans="1:8">
      <c r="A876" s="1" t="s">
        <v>2912</v>
      </c>
      <c r="B876" s="1" t="s">
        <v>158</v>
      </c>
      <c r="C876" s="1" t="s">
        <v>1901</v>
      </c>
      <c r="H876" s="2">
        <f t="shared" si="13"/>
        <v>0</v>
      </c>
    </row>
    <row r="877" spans="1:8">
      <c r="A877" s="1" t="s">
        <v>2912</v>
      </c>
      <c r="B877" s="1" t="s">
        <v>159</v>
      </c>
      <c r="C877" s="1" t="s">
        <v>1901</v>
      </c>
      <c r="H877" s="2">
        <f t="shared" si="13"/>
        <v>0</v>
      </c>
    </row>
    <row r="878" spans="1:8">
      <c r="A878" s="1" t="s">
        <v>2912</v>
      </c>
      <c r="B878" s="1" t="s">
        <v>148</v>
      </c>
      <c r="C878" s="1" t="s">
        <v>2926</v>
      </c>
      <c r="H878" s="2">
        <f t="shared" si="13"/>
        <v>0</v>
      </c>
    </row>
    <row r="879" spans="1:8">
      <c r="A879" s="1" t="s">
        <v>2912</v>
      </c>
      <c r="B879" s="1" t="s">
        <v>149</v>
      </c>
      <c r="C879" s="1" t="s">
        <v>2926</v>
      </c>
      <c r="H879" s="2">
        <f t="shared" si="13"/>
        <v>0</v>
      </c>
    </row>
    <row r="880" spans="1:8">
      <c r="A880" s="1" t="s">
        <v>2912</v>
      </c>
      <c r="B880" s="1" t="s">
        <v>150</v>
      </c>
      <c r="C880" s="1" t="s">
        <v>2926</v>
      </c>
      <c r="H880" s="2">
        <f t="shared" si="13"/>
        <v>0</v>
      </c>
    </row>
    <row r="881" spans="1:8">
      <c r="A881" s="1" t="s">
        <v>2912</v>
      </c>
      <c r="B881" s="1" t="s">
        <v>151</v>
      </c>
      <c r="C881" s="1" t="s">
        <v>2926</v>
      </c>
      <c r="H881" s="2">
        <f t="shared" si="13"/>
        <v>0</v>
      </c>
    </row>
    <row r="882" spans="1:8">
      <c r="A882" s="1" t="s">
        <v>2912</v>
      </c>
      <c r="B882" s="1" t="s">
        <v>152</v>
      </c>
      <c r="C882" s="1" t="s">
        <v>2926</v>
      </c>
      <c r="H882" s="2">
        <f t="shared" si="13"/>
        <v>0</v>
      </c>
    </row>
    <row r="883" spans="1:8">
      <c r="A883" s="1" t="s">
        <v>2912</v>
      </c>
      <c r="B883" s="1" t="s">
        <v>153</v>
      </c>
      <c r="C883" s="1" t="s">
        <v>2926</v>
      </c>
      <c r="H883" s="2">
        <f t="shared" si="13"/>
        <v>0</v>
      </c>
    </row>
    <row r="884" spans="1:8">
      <c r="A884" s="1" t="s">
        <v>2912</v>
      </c>
      <c r="B884" s="1" t="s">
        <v>154</v>
      </c>
      <c r="C884" s="1" t="s">
        <v>2926</v>
      </c>
      <c r="H884" s="2">
        <f t="shared" si="13"/>
        <v>0</v>
      </c>
    </row>
    <row r="885" spans="1:8">
      <c r="A885" s="1" t="s">
        <v>2912</v>
      </c>
      <c r="B885" s="1" t="s">
        <v>155</v>
      </c>
      <c r="C885" s="1" t="s">
        <v>2926</v>
      </c>
      <c r="H885" s="2">
        <f t="shared" si="13"/>
        <v>0</v>
      </c>
    </row>
    <row r="886" spans="1:8">
      <c r="A886" s="1" t="s">
        <v>2912</v>
      </c>
      <c r="B886" s="1" t="s">
        <v>156</v>
      </c>
      <c r="C886" s="1" t="s">
        <v>2926</v>
      </c>
      <c r="H886" s="2">
        <f t="shared" si="13"/>
        <v>0</v>
      </c>
    </row>
    <row r="887" spans="1:8">
      <c r="A887" s="1" t="s">
        <v>2912</v>
      </c>
      <c r="B887" s="1" t="s">
        <v>157</v>
      </c>
      <c r="C887" s="1" t="s">
        <v>2926</v>
      </c>
      <c r="H887" s="2">
        <f t="shared" si="13"/>
        <v>0</v>
      </c>
    </row>
    <row r="888" spans="1:8">
      <c r="A888" s="1" t="s">
        <v>2912</v>
      </c>
      <c r="B888" s="1" t="s">
        <v>158</v>
      </c>
      <c r="C888" s="1" t="s">
        <v>2926</v>
      </c>
      <c r="H888" s="2">
        <f t="shared" si="13"/>
        <v>0</v>
      </c>
    </row>
    <row r="889" spans="1:8">
      <c r="A889" s="1" t="s">
        <v>2912</v>
      </c>
      <c r="B889" s="1" t="s">
        <v>159</v>
      </c>
      <c r="C889" s="1" t="s">
        <v>2926</v>
      </c>
      <c r="H889" s="2">
        <f t="shared" si="13"/>
        <v>0</v>
      </c>
    </row>
    <row r="890" spans="1:8">
      <c r="A890" s="1" t="s">
        <v>2913</v>
      </c>
      <c r="B890" s="1" t="s">
        <v>148</v>
      </c>
      <c r="C890" s="1" t="s">
        <v>2892</v>
      </c>
      <c r="D890" s="2">
        <v>5218.26</v>
      </c>
      <c r="E890" s="2">
        <v>2933667.41</v>
      </c>
      <c r="F890" s="2">
        <v>170100.22</v>
      </c>
      <c r="G890" s="2">
        <v>21927.55</v>
      </c>
      <c r="H890" s="2">
        <f t="shared" si="13"/>
        <v>3130913.44</v>
      </c>
    </row>
    <row r="891" spans="1:8">
      <c r="A891" s="1" t="s">
        <v>2913</v>
      </c>
      <c r="B891" s="1" t="s">
        <v>149</v>
      </c>
      <c r="C891" s="1" t="s">
        <v>2892</v>
      </c>
      <c r="D891" s="2">
        <v>4493.8</v>
      </c>
      <c r="F891" s="2">
        <v>518788.43</v>
      </c>
      <c r="G891" s="2">
        <v>11211.35</v>
      </c>
      <c r="H891" s="2">
        <f t="shared" si="13"/>
        <v>534493.58</v>
      </c>
    </row>
    <row r="892" spans="1:8">
      <c r="A892" s="1" t="s">
        <v>2913</v>
      </c>
      <c r="B892" s="1" t="s">
        <v>150</v>
      </c>
      <c r="C892" s="1" t="s">
        <v>2892</v>
      </c>
      <c r="D892" s="2">
        <v>7478.25</v>
      </c>
      <c r="F892" s="2">
        <v>970827.2</v>
      </c>
      <c r="G892" s="2">
        <v>14278.05</v>
      </c>
      <c r="H892" s="2">
        <f t="shared" ref="H892:H955" si="14">SUM(D892:G892)</f>
        <v>992583.5</v>
      </c>
    </row>
    <row r="893" spans="1:8">
      <c r="A893" s="1" t="s">
        <v>2913</v>
      </c>
      <c r="B893" s="1" t="s">
        <v>151</v>
      </c>
      <c r="C893" s="1" t="s">
        <v>2892</v>
      </c>
      <c r="H893" s="2">
        <f t="shared" si="14"/>
        <v>0</v>
      </c>
    </row>
    <row r="894" spans="1:8">
      <c r="A894" s="1" t="s">
        <v>2913</v>
      </c>
      <c r="B894" s="1" t="s">
        <v>152</v>
      </c>
      <c r="C894" s="1" t="s">
        <v>2892</v>
      </c>
      <c r="H894" s="2">
        <f t="shared" si="14"/>
        <v>0</v>
      </c>
    </row>
    <row r="895" spans="1:8">
      <c r="A895" s="1" t="s">
        <v>2913</v>
      </c>
      <c r="B895" s="1" t="s">
        <v>153</v>
      </c>
      <c r="C895" s="1" t="s">
        <v>2892</v>
      </c>
      <c r="H895" s="2">
        <f t="shared" si="14"/>
        <v>0</v>
      </c>
    </row>
    <row r="896" spans="1:8">
      <c r="A896" s="1" t="s">
        <v>2913</v>
      </c>
      <c r="B896" s="1" t="s">
        <v>154</v>
      </c>
      <c r="C896" s="1" t="s">
        <v>2892</v>
      </c>
      <c r="H896" s="2">
        <f t="shared" si="14"/>
        <v>0</v>
      </c>
    </row>
    <row r="897" spans="1:8">
      <c r="A897" s="1" t="s">
        <v>2913</v>
      </c>
      <c r="B897" s="1" t="s">
        <v>155</v>
      </c>
      <c r="C897" s="1" t="s">
        <v>2892</v>
      </c>
      <c r="H897" s="2">
        <f t="shared" si="14"/>
        <v>0</v>
      </c>
    </row>
    <row r="898" spans="1:8">
      <c r="A898" s="1" t="s">
        <v>2913</v>
      </c>
      <c r="B898" s="1" t="s">
        <v>156</v>
      </c>
      <c r="C898" s="1" t="s">
        <v>2892</v>
      </c>
      <c r="H898" s="2">
        <f t="shared" si="14"/>
        <v>0</v>
      </c>
    </row>
    <row r="899" spans="1:8">
      <c r="A899" s="1" t="s">
        <v>2913</v>
      </c>
      <c r="B899" s="1" t="s">
        <v>157</v>
      </c>
      <c r="C899" s="1" t="s">
        <v>2892</v>
      </c>
      <c r="H899" s="2">
        <f t="shared" si="14"/>
        <v>0</v>
      </c>
    </row>
    <row r="900" spans="1:8">
      <c r="A900" s="1" t="s">
        <v>2913</v>
      </c>
      <c r="B900" s="1" t="s">
        <v>158</v>
      </c>
      <c r="C900" s="1" t="s">
        <v>2892</v>
      </c>
      <c r="H900" s="2">
        <f t="shared" si="14"/>
        <v>0</v>
      </c>
    </row>
    <row r="901" spans="1:8">
      <c r="A901" s="1" t="s">
        <v>2913</v>
      </c>
      <c r="B901" s="1" t="s">
        <v>159</v>
      </c>
      <c r="C901" s="1" t="s">
        <v>2892</v>
      </c>
      <c r="H901" s="2">
        <f t="shared" si="14"/>
        <v>0</v>
      </c>
    </row>
    <row r="902" spans="1:8">
      <c r="A902" s="1" t="s">
        <v>2913</v>
      </c>
      <c r="B902" s="1" t="s">
        <v>148</v>
      </c>
      <c r="C902" s="1" t="s">
        <v>2899</v>
      </c>
      <c r="D902" s="2">
        <v>5099.3</v>
      </c>
      <c r="E902" s="2">
        <v>2915289.12</v>
      </c>
      <c r="F902" s="2">
        <v>169472.74</v>
      </c>
      <c r="G902" s="2">
        <v>21646.67</v>
      </c>
      <c r="H902" s="2">
        <f t="shared" si="14"/>
        <v>3111507.83</v>
      </c>
    </row>
    <row r="903" spans="1:8">
      <c r="A903" s="1" t="s">
        <v>2913</v>
      </c>
      <c r="B903" s="1" t="s">
        <v>149</v>
      </c>
      <c r="C903" s="1" t="s">
        <v>2899</v>
      </c>
      <c r="D903" s="2">
        <v>4438.6</v>
      </c>
      <c r="F903" s="2">
        <v>515078.14</v>
      </c>
      <c r="G903" s="2">
        <v>10545.09</v>
      </c>
      <c r="H903" s="2">
        <f t="shared" si="14"/>
        <v>530061.83</v>
      </c>
    </row>
    <row r="904" spans="1:8">
      <c r="A904" s="1" t="s">
        <v>2913</v>
      </c>
      <c r="B904" s="1" t="s">
        <v>150</v>
      </c>
      <c r="C904" s="1" t="s">
        <v>2899</v>
      </c>
      <c r="D904" s="2">
        <v>7419.34</v>
      </c>
      <c r="F904" s="2">
        <v>964739.7</v>
      </c>
      <c r="G904" s="2">
        <v>13304.3</v>
      </c>
      <c r="H904" s="2">
        <f t="shared" si="14"/>
        <v>985463.34</v>
      </c>
    </row>
    <row r="905" spans="1:8">
      <c r="A905" s="1" t="s">
        <v>2913</v>
      </c>
      <c r="B905" s="1" t="s">
        <v>151</v>
      </c>
      <c r="C905" s="1" t="s">
        <v>2899</v>
      </c>
      <c r="H905" s="2">
        <f t="shared" si="14"/>
        <v>0</v>
      </c>
    </row>
    <row r="906" spans="1:8">
      <c r="A906" s="1" t="s">
        <v>2913</v>
      </c>
      <c r="B906" s="1" t="s">
        <v>152</v>
      </c>
      <c r="C906" s="1" t="s">
        <v>2899</v>
      </c>
      <c r="H906" s="2">
        <f t="shared" si="14"/>
        <v>0</v>
      </c>
    </row>
    <row r="907" spans="1:8">
      <c r="A907" s="1" t="s">
        <v>2913</v>
      </c>
      <c r="B907" s="1" t="s">
        <v>153</v>
      </c>
      <c r="C907" s="1" t="s">
        <v>2899</v>
      </c>
      <c r="H907" s="2">
        <f t="shared" si="14"/>
        <v>0</v>
      </c>
    </row>
    <row r="908" spans="1:8">
      <c r="A908" s="1" t="s">
        <v>2913</v>
      </c>
      <c r="B908" s="1" t="s">
        <v>154</v>
      </c>
      <c r="C908" s="1" t="s">
        <v>2899</v>
      </c>
      <c r="H908" s="2">
        <f t="shared" si="14"/>
        <v>0</v>
      </c>
    </row>
    <row r="909" spans="1:8">
      <c r="A909" s="1" t="s">
        <v>2913</v>
      </c>
      <c r="B909" s="1" t="s">
        <v>155</v>
      </c>
      <c r="C909" s="1" t="s">
        <v>2899</v>
      </c>
      <c r="H909" s="2">
        <f t="shared" si="14"/>
        <v>0</v>
      </c>
    </row>
    <row r="910" spans="1:8">
      <c r="A910" s="1" t="s">
        <v>2913</v>
      </c>
      <c r="B910" s="1" t="s">
        <v>156</v>
      </c>
      <c r="C910" s="1" t="s">
        <v>2899</v>
      </c>
      <c r="H910" s="2">
        <f t="shared" si="14"/>
        <v>0</v>
      </c>
    </row>
    <row r="911" spans="1:8">
      <c r="A911" s="1" t="s">
        <v>2913</v>
      </c>
      <c r="B911" s="1" t="s">
        <v>157</v>
      </c>
      <c r="C911" s="1" t="s">
        <v>2899</v>
      </c>
      <c r="H911" s="2">
        <f t="shared" si="14"/>
        <v>0</v>
      </c>
    </row>
    <row r="912" spans="1:8">
      <c r="A912" s="1" t="s">
        <v>2913</v>
      </c>
      <c r="B912" s="1" t="s">
        <v>158</v>
      </c>
      <c r="C912" s="1" t="s">
        <v>2899</v>
      </c>
      <c r="H912" s="2">
        <f t="shared" si="14"/>
        <v>0</v>
      </c>
    </row>
    <row r="913" spans="1:8">
      <c r="A913" s="1" t="s">
        <v>2913</v>
      </c>
      <c r="B913" s="1" t="s">
        <v>159</v>
      </c>
      <c r="C913" s="1" t="s">
        <v>2899</v>
      </c>
      <c r="H913" s="2">
        <f t="shared" si="14"/>
        <v>0</v>
      </c>
    </row>
    <row r="914" spans="1:8">
      <c r="A914" s="1" t="s">
        <v>2913</v>
      </c>
      <c r="B914" s="1" t="s">
        <v>148</v>
      </c>
      <c r="C914" s="1" t="s">
        <v>2896</v>
      </c>
      <c r="D914" s="2">
        <v>0</v>
      </c>
      <c r="F914" s="2">
        <v>6.37</v>
      </c>
      <c r="G914" s="2">
        <v>212.26</v>
      </c>
      <c r="H914" s="2">
        <f t="shared" si="14"/>
        <v>218.63</v>
      </c>
    </row>
    <row r="915" spans="1:8">
      <c r="A915" s="1" t="s">
        <v>2913</v>
      </c>
      <c r="B915" s="1" t="s">
        <v>149</v>
      </c>
      <c r="C915" s="1" t="s">
        <v>2896</v>
      </c>
      <c r="D915" s="2">
        <v>0</v>
      </c>
      <c r="G915" s="2">
        <v>454.22</v>
      </c>
      <c r="H915" s="2">
        <f t="shared" si="14"/>
        <v>454.22</v>
      </c>
    </row>
    <row r="916" spans="1:8">
      <c r="A916" s="1" t="s">
        <v>2913</v>
      </c>
      <c r="B916" s="1" t="s">
        <v>150</v>
      </c>
      <c r="C916" s="1" t="s">
        <v>2896</v>
      </c>
      <c r="D916" s="2">
        <v>0</v>
      </c>
      <c r="G916" s="2">
        <v>2313.66</v>
      </c>
      <c r="H916" s="2">
        <f t="shared" si="14"/>
        <v>2313.66</v>
      </c>
    </row>
    <row r="917" spans="1:8">
      <c r="A917" s="1" t="s">
        <v>2913</v>
      </c>
      <c r="B917" s="1" t="s">
        <v>151</v>
      </c>
      <c r="C917" s="1" t="s">
        <v>2896</v>
      </c>
      <c r="H917" s="2">
        <f t="shared" si="14"/>
        <v>0</v>
      </c>
    </row>
    <row r="918" spans="1:8">
      <c r="A918" s="1" t="s">
        <v>2913</v>
      </c>
      <c r="B918" s="1" t="s">
        <v>152</v>
      </c>
      <c r="C918" s="1" t="s">
        <v>2896</v>
      </c>
      <c r="H918" s="2">
        <f t="shared" si="14"/>
        <v>0</v>
      </c>
    </row>
    <row r="919" spans="1:8">
      <c r="A919" s="1" t="s">
        <v>2913</v>
      </c>
      <c r="B919" s="1" t="s">
        <v>153</v>
      </c>
      <c r="C919" s="1" t="s">
        <v>2896</v>
      </c>
      <c r="H919" s="2">
        <f t="shared" si="14"/>
        <v>0</v>
      </c>
    </row>
    <row r="920" spans="1:8">
      <c r="A920" s="1" t="s">
        <v>2913</v>
      </c>
      <c r="B920" s="1" t="s">
        <v>154</v>
      </c>
      <c r="C920" s="1" t="s">
        <v>2896</v>
      </c>
      <c r="H920" s="2">
        <f t="shared" si="14"/>
        <v>0</v>
      </c>
    </row>
    <row r="921" spans="1:8">
      <c r="A921" s="1" t="s">
        <v>2913</v>
      </c>
      <c r="B921" s="1" t="s">
        <v>155</v>
      </c>
      <c r="C921" s="1" t="s">
        <v>2896</v>
      </c>
      <c r="H921" s="2">
        <f t="shared" si="14"/>
        <v>0</v>
      </c>
    </row>
    <row r="922" spans="1:8">
      <c r="A922" s="1" t="s">
        <v>2913</v>
      </c>
      <c r="B922" s="1" t="s">
        <v>156</v>
      </c>
      <c r="C922" s="1" t="s">
        <v>2896</v>
      </c>
      <c r="H922" s="2">
        <f t="shared" si="14"/>
        <v>0</v>
      </c>
    </row>
    <row r="923" spans="1:8">
      <c r="A923" s="1" t="s">
        <v>2913</v>
      </c>
      <c r="B923" s="1" t="s">
        <v>157</v>
      </c>
      <c r="C923" s="1" t="s">
        <v>2896</v>
      </c>
      <c r="H923" s="2">
        <f t="shared" si="14"/>
        <v>0</v>
      </c>
    </row>
    <row r="924" spans="1:8">
      <c r="A924" s="1" t="s">
        <v>2913</v>
      </c>
      <c r="B924" s="1" t="s">
        <v>158</v>
      </c>
      <c r="C924" s="1" t="s">
        <v>2896</v>
      </c>
      <c r="H924" s="2">
        <f t="shared" si="14"/>
        <v>0</v>
      </c>
    </row>
    <row r="925" spans="1:8">
      <c r="A925" s="1" t="s">
        <v>2913</v>
      </c>
      <c r="B925" s="1" t="s">
        <v>159</v>
      </c>
      <c r="C925" s="1" t="s">
        <v>2896</v>
      </c>
      <c r="H925" s="2">
        <f t="shared" si="14"/>
        <v>0</v>
      </c>
    </row>
    <row r="926" spans="1:8">
      <c r="A926" s="1" t="s">
        <v>2913</v>
      </c>
      <c r="B926" s="1" t="s">
        <v>148</v>
      </c>
      <c r="C926" s="1" t="s">
        <v>2893</v>
      </c>
      <c r="D926" s="2">
        <v>0</v>
      </c>
      <c r="F926" s="2">
        <v>4.25</v>
      </c>
      <c r="G926" s="2">
        <v>201.65</v>
      </c>
      <c r="H926" s="2">
        <f t="shared" si="14"/>
        <v>205.9</v>
      </c>
    </row>
    <row r="927" spans="1:8">
      <c r="A927" s="1" t="s">
        <v>2913</v>
      </c>
      <c r="B927" s="1" t="s">
        <v>149</v>
      </c>
      <c r="C927" s="1" t="s">
        <v>2893</v>
      </c>
      <c r="D927" s="2">
        <v>0</v>
      </c>
      <c r="G927" s="2">
        <v>431.49</v>
      </c>
      <c r="H927" s="2">
        <f t="shared" si="14"/>
        <v>431.49</v>
      </c>
    </row>
    <row r="928" spans="1:8">
      <c r="A928" s="1" t="s">
        <v>2913</v>
      </c>
      <c r="B928" s="1" t="s">
        <v>150</v>
      </c>
      <c r="C928" s="1" t="s">
        <v>2893</v>
      </c>
      <c r="D928" s="2">
        <v>0</v>
      </c>
      <c r="G928" s="2">
        <v>2197.87</v>
      </c>
      <c r="H928" s="2">
        <f t="shared" si="14"/>
        <v>2197.87</v>
      </c>
    </row>
    <row r="929" spans="1:8">
      <c r="A929" s="1" t="s">
        <v>2913</v>
      </c>
      <c r="B929" s="1" t="s">
        <v>151</v>
      </c>
      <c r="C929" s="1" t="s">
        <v>2893</v>
      </c>
      <c r="H929" s="2">
        <f t="shared" si="14"/>
        <v>0</v>
      </c>
    </row>
    <row r="930" spans="1:8">
      <c r="A930" s="1" t="s">
        <v>2913</v>
      </c>
      <c r="B930" s="1" t="s">
        <v>152</v>
      </c>
      <c r="C930" s="1" t="s">
        <v>2893</v>
      </c>
      <c r="H930" s="2">
        <f t="shared" si="14"/>
        <v>0</v>
      </c>
    </row>
    <row r="931" spans="1:8">
      <c r="A931" s="1" t="s">
        <v>2913</v>
      </c>
      <c r="B931" s="1" t="s">
        <v>153</v>
      </c>
      <c r="C931" s="1" t="s">
        <v>2893</v>
      </c>
      <c r="H931" s="2">
        <f t="shared" si="14"/>
        <v>0</v>
      </c>
    </row>
    <row r="932" spans="1:8">
      <c r="A932" s="1" t="s">
        <v>2913</v>
      </c>
      <c r="B932" s="1" t="s">
        <v>154</v>
      </c>
      <c r="C932" s="1" t="s">
        <v>2893</v>
      </c>
      <c r="H932" s="2">
        <f t="shared" si="14"/>
        <v>0</v>
      </c>
    </row>
    <row r="933" spans="1:8">
      <c r="A933" s="1" t="s">
        <v>2913</v>
      </c>
      <c r="B933" s="1" t="s">
        <v>155</v>
      </c>
      <c r="C933" s="1" t="s">
        <v>2893</v>
      </c>
      <c r="H933" s="2">
        <f t="shared" si="14"/>
        <v>0</v>
      </c>
    </row>
    <row r="934" spans="1:8">
      <c r="A934" s="1" t="s">
        <v>2913</v>
      </c>
      <c r="B934" s="1" t="s">
        <v>156</v>
      </c>
      <c r="C934" s="1" t="s">
        <v>2893</v>
      </c>
      <c r="H934" s="2">
        <f t="shared" si="14"/>
        <v>0</v>
      </c>
    </row>
    <row r="935" spans="1:8">
      <c r="A935" s="1" t="s">
        <v>2913</v>
      </c>
      <c r="B935" s="1" t="s">
        <v>157</v>
      </c>
      <c r="C935" s="1" t="s">
        <v>2893</v>
      </c>
      <c r="H935" s="2">
        <f t="shared" si="14"/>
        <v>0</v>
      </c>
    </row>
    <row r="936" spans="1:8">
      <c r="A936" s="1" t="s">
        <v>2913</v>
      </c>
      <c r="B936" s="1" t="s">
        <v>158</v>
      </c>
      <c r="C936" s="1" t="s">
        <v>2893</v>
      </c>
      <c r="H936" s="2">
        <f t="shared" si="14"/>
        <v>0</v>
      </c>
    </row>
    <row r="937" spans="1:8">
      <c r="A937" s="1" t="s">
        <v>2913</v>
      </c>
      <c r="B937" s="1" t="s">
        <v>159</v>
      </c>
      <c r="C937" s="1" t="s">
        <v>2893</v>
      </c>
      <c r="H937" s="2">
        <f t="shared" si="14"/>
        <v>0</v>
      </c>
    </row>
    <row r="938" spans="1:8">
      <c r="A938" s="1" t="s">
        <v>2913</v>
      </c>
      <c r="B938" s="1" t="s">
        <v>148</v>
      </c>
      <c r="C938" s="1" t="s">
        <v>2900</v>
      </c>
      <c r="H938" s="2">
        <f t="shared" si="14"/>
        <v>0</v>
      </c>
    </row>
    <row r="939" spans="1:8">
      <c r="A939" s="1" t="s">
        <v>2913</v>
      </c>
      <c r="B939" s="1" t="s">
        <v>149</v>
      </c>
      <c r="C939" s="1" t="s">
        <v>2900</v>
      </c>
      <c r="H939" s="2">
        <f t="shared" si="14"/>
        <v>0</v>
      </c>
    </row>
    <row r="940" spans="1:8">
      <c r="A940" s="1" t="s">
        <v>2913</v>
      </c>
      <c r="B940" s="1" t="s">
        <v>150</v>
      </c>
      <c r="C940" s="1" t="s">
        <v>2900</v>
      </c>
      <c r="H940" s="2">
        <f t="shared" si="14"/>
        <v>0</v>
      </c>
    </row>
    <row r="941" spans="1:8">
      <c r="A941" s="1" t="s">
        <v>2913</v>
      </c>
      <c r="B941" s="1" t="s">
        <v>151</v>
      </c>
      <c r="C941" s="1" t="s">
        <v>2900</v>
      </c>
      <c r="H941" s="2">
        <f t="shared" si="14"/>
        <v>0</v>
      </c>
    </row>
    <row r="942" spans="1:8">
      <c r="A942" s="1" t="s">
        <v>2913</v>
      </c>
      <c r="B942" s="1" t="s">
        <v>152</v>
      </c>
      <c r="C942" s="1" t="s">
        <v>2900</v>
      </c>
      <c r="H942" s="2">
        <f t="shared" si="14"/>
        <v>0</v>
      </c>
    </row>
    <row r="943" spans="1:8">
      <c r="A943" s="1" t="s">
        <v>2913</v>
      </c>
      <c r="B943" s="1" t="s">
        <v>153</v>
      </c>
      <c r="C943" s="1" t="s">
        <v>2900</v>
      </c>
      <c r="H943" s="2">
        <f t="shared" si="14"/>
        <v>0</v>
      </c>
    </row>
    <row r="944" spans="1:8">
      <c r="A944" s="1" t="s">
        <v>2913</v>
      </c>
      <c r="B944" s="1" t="s">
        <v>154</v>
      </c>
      <c r="C944" s="1" t="s">
        <v>2900</v>
      </c>
      <c r="H944" s="2">
        <f t="shared" si="14"/>
        <v>0</v>
      </c>
    </row>
    <row r="945" spans="1:8">
      <c r="A945" s="1" t="s">
        <v>2913</v>
      </c>
      <c r="B945" s="1" t="s">
        <v>155</v>
      </c>
      <c r="C945" s="1" t="s">
        <v>2900</v>
      </c>
      <c r="H945" s="2">
        <f t="shared" si="14"/>
        <v>0</v>
      </c>
    </row>
    <row r="946" spans="1:8">
      <c r="A946" s="1" t="s">
        <v>2913</v>
      </c>
      <c r="B946" s="1" t="s">
        <v>156</v>
      </c>
      <c r="C946" s="1" t="s">
        <v>2900</v>
      </c>
      <c r="H946" s="2">
        <f t="shared" si="14"/>
        <v>0</v>
      </c>
    </row>
    <row r="947" spans="1:8">
      <c r="A947" s="1" t="s">
        <v>2913</v>
      </c>
      <c r="B947" s="1" t="s">
        <v>157</v>
      </c>
      <c r="C947" s="1" t="s">
        <v>2900</v>
      </c>
      <c r="H947" s="2">
        <f t="shared" si="14"/>
        <v>0</v>
      </c>
    </row>
    <row r="948" spans="1:8">
      <c r="A948" s="1" t="s">
        <v>2913</v>
      </c>
      <c r="B948" s="1" t="s">
        <v>158</v>
      </c>
      <c r="C948" s="1" t="s">
        <v>2900</v>
      </c>
      <c r="H948" s="2">
        <f t="shared" si="14"/>
        <v>0</v>
      </c>
    </row>
    <row r="949" spans="1:8">
      <c r="A949" s="1" t="s">
        <v>2913</v>
      </c>
      <c r="B949" s="1" t="s">
        <v>159</v>
      </c>
      <c r="C949" s="1" t="s">
        <v>2900</v>
      </c>
      <c r="H949" s="2">
        <f t="shared" si="14"/>
        <v>0</v>
      </c>
    </row>
    <row r="950" spans="1:8">
      <c r="A950" s="1" t="s">
        <v>2914</v>
      </c>
      <c r="B950" s="1" t="s">
        <v>148</v>
      </c>
      <c r="C950" s="1" t="s">
        <v>2892</v>
      </c>
      <c r="D950" s="2">
        <v>30899262.65</v>
      </c>
      <c r="F950" s="2">
        <v>22934879.3</v>
      </c>
      <c r="G950" s="2">
        <v>0</v>
      </c>
      <c r="H950" s="2">
        <f t="shared" si="14"/>
        <v>53834141.95</v>
      </c>
    </row>
    <row r="951" spans="1:8">
      <c r="A951" s="1" t="s">
        <v>2914</v>
      </c>
      <c r="B951" s="1" t="s">
        <v>149</v>
      </c>
      <c r="C951" s="1" t="s">
        <v>2892</v>
      </c>
      <c r="D951" s="2">
        <v>39540277.36</v>
      </c>
      <c r="F951" s="2">
        <v>16726923.11</v>
      </c>
      <c r="G951" s="2">
        <v>0</v>
      </c>
      <c r="H951" s="2">
        <f t="shared" si="14"/>
        <v>56267200.47</v>
      </c>
    </row>
    <row r="952" spans="1:8">
      <c r="A952" s="1" t="s">
        <v>2914</v>
      </c>
      <c r="B952" s="1" t="s">
        <v>150</v>
      </c>
      <c r="C952" s="1" t="s">
        <v>2892</v>
      </c>
      <c r="D952" s="2">
        <v>32771993.63</v>
      </c>
      <c r="F952" s="2">
        <v>15536993.22</v>
      </c>
      <c r="G952" s="2">
        <v>0</v>
      </c>
      <c r="H952" s="2">
        <f t="shared" si="14"/>
        <v>48308986.85</v>
      </c>
    </row>
    <row r="953" spans="1:8">
      <c r="A953" s="1" t="s">
        <v>2914</v>
      </c>
      <c r="B953" s="1" t="s">
        <v>151</v>
      </c>
      <c r="C953" s="1" t="s">
        <v>2892</v>
      </c>
      <c r="H953" s="2">
        <f t="shared" si="14"/>
        <v>0</v>
      </c>
    </row>
    <row r="954" spans="1:8">
      <c r="A954" s="1" t="s">
        <v>2914</v>
      </c>
      <c r="B954" s="1" t="s">
        <v>152</v>
      </c>
      <c r="C954" s="1" t="s">
        <v>2892</v>
      </c>
      <c r="H954" s="2">
        <f t="shared" si="14"/>
        <v>0</v>
      </c>
    </row>
    <row r="955" spans="1:8">
      <c r="A955" s="1" t="s">
        <v>2914</v>
      </c>
      <c r="B955" s="1" t="s">
        <v>153</v>
      </c>
      <c r="C955" s="1" t="s">
        <v>2892</v>
      </c>
      <c r="H955" s="2">
        <f t="shared" si="14"/>
        <v>0</v>
      </c>
    </row>
    <row r="956" spans="1:8">
      <c r="A956" s="1" t="s">
        <v>2914</v>
      </c>
      <c r="B956" s="1" t="s">
        <v>154</v>
      </c>
      <c r="C956" s="1" t="s">
        <v>2892</v>
      </c>
      <c r="H956" s="2">
        <f t="shared" ref="H956:H1019" si="15">SUM(D956:G956)</f>
        <v>0</v>
      </c>
    </row>
    <row r="957" spans="1:8">
      <c r="A957" s="1" t="s">
        <v>2914</v>
      </c>
      <c r="B957" s="1" t="s">
        <v>155</v>
      </c>
      <c r="C957" s="1" t="s">
        <v>2892</v>
      </c>
      <c r="H957" s="2">
        <f t="shared" si="15"/>
        <v>0</v>
      </c>
    </row>
    <row r="958" spans="1:8">
      <c r="A958" s="1" t="s">
        <v>2914</v>
      </c>
      <c r="B958" s="1" t="s">
        <v>156</v>
      </c>
      <c r="C958" s="1" t="s">
        <v>2892</v>
      </c>
      <c r="H958" s="2">
        <f t="shared" si="15"/>
        <v>0</v>
      </c>
    </row>
    <row r="959" spans="1:8">
      <c r="A959" s="1" t="s">
        <v>2914</v>
      </c>
      <c r="B959" s="1" t="s">
        <v>157</v>
      </c>
      <c r="C959" s="1" t="s">
        <v>2892</v>
      </c>
      <c r="H959" s="2">
        <f t="shared" si="15"/>
        <v>0</v>
      </c>
    </row>
    <row r="960" spans="1:8">
      <c r="A960" s="1" t="s">
        <v>2914</v>
      </c>
      <c r="B960" s="1" t="s">
        <v>158</v>
      </c>
      <c r="C960" s="1" t="s">
        <v>2892</v>
      </c>
      <c r="H960" s="2">
        <f t="shared" si="15"/>
        <v>0</v>
      </c>
    </row>
    <row r="961" spans="1:8">
      <c r="A961" s="1" t="s">
        <v>2914</v>
      </c>
      <c r="B961" s="1" t="s">
        <v>159</v>
      </c>
      <c r="C961" s="1" t="s">
        <v>2892</v>
      </c>
      <c r="H961" s="2">
        <f t="shared" si="15"/>
        <v>0</v>
      </c>
    </row>
    <row r="962" spans="1:8">
      <c r="A962" s="1" t="s">
        <v>2914</v>
      </c>
      <c r="B962" s="1" t="s">
        <v>148</v>
      </c>
      <c r="C962" s="1" t="s">
        <v>2899</v>
      </c>
      <c r="D962" s="2">
        <v>32044287.138</v>
      </c>
      <c r="F962" s="2">
        <v>23174450.4016</v>
      </c>
      <c r="G962" s="2">
        <v>0</v>
      </c>
      <c r="H962" s="2">
        <f t="shared" si="15"/>
        <v>55218737.5396</v>
      </c>
    </row>
    <row r="963" spans="1:8">
      <c r="A963" s="1" t="s">
        <v>2914</v>
      </c>
      <c r="B963" s="1" t="s">
        <v>149</v>
      </c>
      <c r="C963" s="1" t="s">
        <v>2899</v>
      </c>
      <c r="D963" s="2">
        <v>40410608.405</v>
      </c>
      <c r="F963" s="2">
        <v>16933115.376</v>
      </c>
      <c r="H963" s="2">
        <f t="shared" si="15"/>
        <v>57343723.781</v>
      </c>
    </row>
    <row r="964" spans="1:8">
      <c r="A964" s="1" t="s">
        <v>2914</v>
      </c>
      <c r="B964" s="1" t="s">
        <v>150</v>
      </c>
      <c r="C964" s="1" t="s">
        <v>2899</v>
      </c>
      <c r="D964" s="2">
        <v>33207301</v>
      </c>
      <c r="F964" s="2">
        <v>15591087.4654</v>
      </c>
      <c r="G964" s="2">
        <v>0</v>
      </c>
      <c r="H964" s="2">
        <f t="shared" si="15"/>
        <v>48798388.4654</v>
      </c>
    </row>
    <row r="965" spans="1:8">
      <c r="A965" s="1" t="s">
        <v>2914</v>
      </c>
      <c r="B965" s="1" t="s">
        <v>151</v>
      </c>
      <c r="C965" s="1" t="s">
        <v>2899</v>
      </c>
      <c r="H965" s="2">
        <f t="shared" si="15"/>
        <v>0</v>
      </c>
    </row>
    <row r="966" spans="1:8">
      <c r="A966" s="1" t="s">
        <v>2914</v>
      </c>
      <c r="B966" s="1" t="s">
        <v>152</v>
      </c>
      <c r="C966" s="1" t="s">
        <v>2899</v>
      </c>
      <c r="H966" s="2">
        <f t="shared" si="15"/>
        <v>0</v>
      </c>
    </row>
    <row r="967" spans="1:8">
      <c r="A967" s="1" t="s">
        <v>2914</v>
      </c>
      <c r="B967" s="1" t="s">
        <v>153</v>
      </c>
      <c r="C967" s="1" t="s">
        <v>2899</v>
      </c>
      <c r="H967" s="2">
        <f t="shared" si="15"/>
        <v>0</v>
      </c>
    </row>
    <row r="968" spans="1:8">
      <c r="A968" s="1" t="s">
        <v>2914</v>
      </c>
      <c r="B968" s="1" t="s">
        <v>154</v>
      </c>
      <c r="C968" s="1" t="s">
        <v>2899</v>
      </c>
      <c r="H968" s="2">
        <f t="shared" si="15"/>
        <v>0</v>
      </c>
    </row>
    <row r="969" spans="1:8">
      <c r="A969" s="1" t="s">
        <v>2914</v>
      </c>
      <c r="B969" s="1" t="s">
        <v>155</v>
      </c>
      <c r="C969" s="1" t="s">
        <v>2899</v>
      </c>
      <c r="H969" s="2">
        <f t="shared" si="15"/>
        <v>0</v>
      </c>
    </row>
    <row r="970" spans="1:8">
      <c r="A970" s="1" t="s">
        <v>2914</v>
      </c>
      <c r="B970" s="1" t="s">
        <v>156</v>
      </c>
      <c r="C970" s="1" t="s">
        <v>2899</v>
      </c>
      <c r="H970" s="2">
        <f t="shared" si="15"/>
        <v>0</v>
      </c>
    </row>
    <row r="971" spans="1:8">
      <c r="A971" s="1" t="s">
        <v>2914</v>
      </c>
      <c r="B971" s="1" t="s">
        <v>157</v>
      </c>
      <c r="C971" s="1" t="s">
        <v>2899</v>
      </c>
      <c r="H971" s="2">
        <f t="shared" si="15"/>
        <v>0</v>
      </c>
    </row>
    <row r="972" spans="1:8">
      <c r="A972" s="1" t="s">
        <v>2914</v>
      </c>
      <c r="B972" s="1" t="s">
        <v>158</v>
      </c>
      <c r="C972" s="1" t="s">
        <v>2899</v>
      </c>
      <c r="H972" s="2">
        <f t="shared" si="15"/>
        <v>0</v>
      </c>
    </row>
    <row r="973" spans="1:8">
      <c r="A973" s="1" t="s">
        <v>2914</v>
      </c>
      <c r="B973" s="1" t="s">
        <v>159</v>
      </c>
      <c r="C973" s="1" t="s">
        <v>2899</v>
      </c>
      <c r="H973" s="2">
        <f t="shared" si="15"/>
        <v>0</v>
      </c>
    </row>
    <row r="974" spans="1:8">
      <c r="A974" s="1" t="s">
        <v>2914</v>
      </c>
      <c r="B974" s="1" t="s">
        <v>148</v>
      </c>
      <c r="C974" s="1" t="s">
        <v>2896</v>
      </c>
      <c r="H974" s="2">
        <f t="shared" si="15"/>
        <v>0</v>
      </c>
    </row>
    <row r="975" spans="1:8">
      <c r="A975" s="1" t="s">
        <v>2914</v>
      </c>
      <c r="B975" s="1" t="s">
        <v>149</v>
      </c>
      <c r="C975" s="1" t="s">
        <v>2896</v>
      </c>
      <c r="H975" s="2">
        <f t="shared" si="15"/>
        <v>0</v>
      </c>
    </row>
    <row r="976" spans="1:8">
      <c r="A976" s="1" t="s">
        <v>2914</v>
      </c>
      <c r="B976" s="1" t="s">
        <v>150</v>
      </c>
      <c r="C976" s="1" t="s">
        <v>2896</v>
      </c>
      <c r="H976" s="2">
        <f t="shared" si="15"/>
        <v>0</v>
      </c>
    </row>
    <row r="977" spans="1:8">
      <c r="A977" s="1" t="s">
        <v>2914</v>
      </c>
      <c r="B977" s="1" t="s">
        <v>151</v>
      </c>
      <c r="C977" s="1" t="s">
        <v>2896</v>
      </c>
      <c r="H977" s="2">
        <f t="shared" si="15"/>
        <v>0</v>
      </c>
    </row>
    <row r="978" spans="1:8">
      <c r="A978" s="1" t="s">
        <v>2914</v>
      </c>
      <c r="B978" s="1" t="s">
        <v>152</v>
      </c>
      <c r="C978" s="1" t="s">
        <v>2896</v>
      </c>
      <c r="H978" s="2">
        <f t="shared" si="15"/>
        <v>0</v>
      </c>
    </row>
    <row r="979" spans="1:8">
      <c r="A979" s="1" t="s">
        <v>2914</v>
      </c>
      <c r="B979" s="1" t="s">
        <v>153</v>
      </c>
      <c r="C979" s="1" t="s">
        <v>2896</v>
      </c>
      <c r="H979" s="2">
        <f t="shared" si="15"/>
        <v>0</v>
      </c>
    </row>
    <row r="980" spans="1:8">
      <c r="A980" s="1" t="s">
        <v>2914</v>
      </c>
      <c r="B980" s="1" t="s">
        <v>154</v>
      </c>
      <c r="C980" s="1" t="s">
        <v>2896</v>
      </c>
      <c r="H980" s="2">
        <f t="shared" si="15"/>
        <v>0</v>
      </c>
    </row>
    <row r="981" spans="1:8">
      <c r="A981" s="1" t="s">
        <v>2914</v>
      </c>
      <c r="B981" s="1" t="s">
        <v>155</v>
      </c>
      <c r="C981" s="1" t="s">
        <v>2896</v>
      </c>
      <c r="H981" s="2">
        <f t="shared" si="15"/>
        <v>0</v>
      </c>
    </row>
    <row r="982" spans="1:8">
      <c r="A982" s="1" t="s">
        <v>2914</v>
      </c>
      <c r="B982" s="1" t="s">
        <v>156</v>
      </c>
      <c r="C982" s="1" t="s">
        <v>2896</v>
      </c>
      <c r="H982" s="2">
        <f t="shared" si="15"/>
        <v>0</v>
      </c>
    </row>
    <row r="983" spans="1:8">
      <c r="A983" s="1" t="s">
        <v>2914</v>
      </c>
      <c r="B983" s="1" t="s">
        <v>157</v>
      </c>
      <c r="C983" s="1" t="s">
        <v>2896</v>
      </c>
      <c r="H983" s="2">
        <f t="shared" si="15"/>
        <v>0</v>
      </c>
    </row>
    <row r="984" spans="1:8">
      <c r="A984" s="1" t="s">
        <v>2914</v>
      </c>
      <c r="B984" s="1" t="s">
        <v>158</v>
      </c>
      <c r="C984" s="1" t="s">
        <v>2896</v>
      </c>
      <c r="H984" s="2">
        <f t="shared" si="15"/>
        <v>0</v>
      </c>
    </row>
    <row r="985" spans="1:8">
      <c r="A985" s="1" t="s">
        <v>2914</v>
      </c>
      <c r="B985" s="1" t="s">
        <v>159</v>
      </c>
      <c r="C985" s="1" t="s">
        <v>2896</v>
      </c>
      <c r="H985" s="2">
        <f t="shared" si="15"/>
        <v>0</v>
      </c>
    </row>
    <row r="986" spans="1:8">
      <c r="A986" s="1" t="s">
        <v>2914</v>
      </c>
      <c r="B986" s="1" t="s">
        <v>148</v>
      </c>
      <c r="C986" s="1" t="s">
        <v>2893</v>
      </c>
      <c r="H986" s="2">
        <f t="shared" si="15"/>
        <v>0</v>
      </c>
    </row>
    <row r="987" spans="1:8">
      <c r="A987" s="1" t="s">
        <v>2914</v>
      </c>
      <c r="B987" s="1" t="s">
        <v>149</v>
      </c>
      <c r="C987" s="1" t="s">
        <v>2893</v>
      </c>
      <c r="H987" s="2">
        <f t="shared" si="15"/>
        <v>0</v>
      </c>
    </row>
    <row r="988" spans="1:8">
      <c r="A988" s="1" t="s">
        <v>2914</v>
      </c>
      <c r="B988" s="1" t="s">
        <v>150</v>
      </c>
      <c r="C988" s="1" t="s">
        <v>2893</v>
      </c>
      <c r="H988" s="2">
        <f t="shared" si="15"/>
        <v>0</v>
      </c>
    </row>
    <row r="989" spans="1:8">
      <c r="A989" s="1" t="s">
        <v>2914</v>
      </c>
      <c r="B989" s="1" t="s">
        <v>151</v>
      </c>
      <c r="C989" s="1" t="s">
        <v>2893</v>
      </c>
      <c r="H989" s="2">
        <f t="shared" si="15"/>
        <v>0</v>
      </c>
    </row>
    <row r="990" spans="1:8">
      <c r="A990" s="1" t="s">
        <v>2914</v>
      </c>
      <c r="B990" s="1" t="s">
        <v>152</v>
      </c>
      <c r="C990" s="1" t="s">
        <v>2893</v>
      </c>
      <c r="H990" s="2">
        <f t="shared" si="15"/>
        <v>0</v>
      </c>
    </row>
    <row r="991" spans="1:8">
      <c r="A991" s="1" t="s">
        <v>2914</v>
      </c>
      <c r="B991" s="1" t="s">
        <v>153</v>
      </c>
      <c r="C991" s="1" t="s">
        <v>2893</v>
      </c>
      <c r="H991" s="2">
        <f t="shared" si="15"/>
        <v>0</v>
      </c>
    </row>
    <row r="992" spans="1:8">
      <c r="A992" s="1" t="s">
        <v>2914</v>
      </c>
      <c r="B992" s="1" t="s">
        <v>154</v>
      </c>
      <c r="C992" s="1" t="s">
        <v>2893</v>
      </c>
      <c r="H992" s="2">
        <f t="shared" si="15"/>
        <v>0</v>
      </c>
    </row>
    <row r="993" spans="1:8">
      <c r="A993" s="1" t="s">
        <v>2914</v>
      </c>
      <c r="B993" s="1" t="s">
        <v>155</v>
      </c>
      <c r="C993" s="1" t="s">
        <v>2893</v>
      </c>
      <c r="H993" s="2">
        <f t="shared" si="15"/>
        <v>0</v>
      </c>
    </row>
    <row r="994" spans="1:8">
      <c r="A994" s="1" t="s">
        <v>2914</v>
      </c>
      <c r="B994" s="1" t="s">
        <v>156</v>
      </c>
      <c r="C994" s="1" t="s">
        <v>2893</v>
      </c>
      <c r="H994" s="2">
        <f t="shared" si="15"/>
        <v>0</v>
      </c>
    </row>
    <row r="995" spans="1:8">
      <c r="A995" s="1" t="s">
        <v>2914</v>
      </c>
      <c r="B995" s="1" t="s">
        <v>157</v>
      </c>
      <c r="C995" s="1" t="s">
        <v>2893</v>
      </c>
      <c r="H995" s="2">
        <f t="shared" si="15"/>
        <v>0</v>
      </c>
    </row>
    <row r="996" spans="1:8">
      <c r="A996" s="1" t="s">
        <v>2914</v>
      </c>
      <c r="B996" s="1" t="s">
        <v>158</v>
      </c>
      <c r="C996" s="1" t="s">
        <v>2893</v>
      </c>
      <c r="H996" s="2">
        <f t="shared" si="15"/>
        <v>0</v>
      </c>
    </row>
    <row r="997" spans="1:8">
      <c r="A997" s="1" t="s">
        <v>2914</v>
      </c>
      <c r="B997" s="1" t="s">
        <v>159</v>
      </c>
      <c r="C997" s="1" t="s">
        <v>2893</v>
      </c>
      <c r="H997" s="2">
        <f t="shared" si="15"/>
        <v>0</v>
      </c>
    </row>
    <row r="998" spans="1:8">
      <c r="A998" s="1" t="s">
        <v>2914</v>
      </c>
      <c r="B998" s="1" t="s">
        <v>148</v>
      </c>
      <c r="C998" s="1" t="s">
        <v>2902</v>
      </c>
      <c r="D998" s="2">
        <v>2024879.58</v>
      </c>
      <c r="F998" s="2">
        <v>2701794.87</v>
      </c>
      <c r="H998" s="2">
        <f t="shared" si="15"/>
        <v>4726674.45</v>
      </c>
    </row>
    <row r="999" spans="1:8">
      <c r="A999" s="1" t="s">
        <v>2914</v>
      </c>
      <c r="B999" s="1" t="s">
        <v>149</v>
      </c>
      <c r="C999" s="1" t="s">
        <v>2902</v>
      </c>
      <c r="D999" s="2">
        <v>0</v>
      </c>
      <c r="F999" s="2">
        <v>3133424.72</v>
      </c>
      <c r="G999" s="2">
        <v>0</v>
      </c>
      <c r="H999" s="2">
        <f t="shared" si="15"/>
        <v>3133424.72</v>
      </c>
    </row>
    <row r="1000" spans="1:8">
      <c r="A1000" s="1" t="s">
        <v>2914</v>
      </c>
      <c r="B1000" s="1" t="s">
        <v>150</v>
      </c>
      <c r="C1000" s="1" t="s">
        <v>2902</v>
      </c>
      <c r="D1000" s="2">
        <v>1390286.79</v>
      </c>
      <c r="F1000" s="2">
        <v>2663792.17</v>
      </c>
      <c r="G1000" s="2">
        <v>0</v>
      </c>
      <c r="H1000" s="2">
        <f t="shared" si="15"/>
        <v>4054078.96</v>
      </c>
    </row>
    <row r="1001" spans="1:8">
      <c r="A1001" s="1" t="s">
        <v>2914</v>
      </c>
      <c r="B1001" s="1" t="s">
        <v>151</v>
      </c>
      <c r="C1001" s="1" t="s">
        <v>2902</v>
      </c>
      <c r="H1001" s="2">
        <f t="shared" si="15"/>
        <v>0</v>
      </c>
    </row>
    <row r="1002" spans="1:8">
      <c r="A1002" s="1" t="s">
        <v>2914</v>
      </c>
      <c r="B1002" s="1" t="s">
        <v>152</v>
      </c>
      <c r="C1002" s="1" t="s">
        <v>2902</v>
      </c>
      <c r="H1002" s="2">
        <f t="shared" si="15"/>
        <v>0</v>
      </c>
    </row>
    <row r="1003" spans="1:8">
      <c r="A1003" s="1" t="s">
        <v>2914</v>
      </c>
      <c r="B1003" s="1" t="s">
        <v>153</v>
      </c>
      <c r="C1003" s="1" t="s">
        <v>2902</v>
      </c>
      <c r="H1003" s="2">
        <f t="shared" si="15"/>
        <v>0</v>
      </c>
    </row>
    <row r="1004" spans="1:8">
      <c r="A1004" s="1" t="s">
        <v>2914</v>
      </c>
      <c r="B1004" s="1" t="s">
        <v>154</v>
      </c>
      <c r="C1004" s="1" t="s">
        <v>2902</v>
      </c>
      <c r="H1004" s="2">
        <f t="shared" si="15"/>
        <v>0</v>
      </c>
    </row>
    <row r="1005" spans="1:8">
      <c r="A1005" s="1" t="s">
        <v>2914</v>
      </c>
      <c r="B1005" s="1" t="s">
        <v>155</v>
      </c>
      <c r="C1005" s="1" t="s">
        <v>2902</v>
      </c>
      <c r="H1005" s="2">
        <f t="shared" si="15"/>
        <v>0</v>
      </c>
    </row>
    <row r="1006" spans="1:8">
      <c r="A1006" s="1" t="s">
        <v>2914</v>
      </c>
      <c r="B1006" s="1" t="s">
        <v>156</v>
      </c>
      <c r="C1006" s="1" t="s">
        <v>2902</v>
      </c>
      <c r="H1006" s="2">
        <f t="shared" si="15"/>
        <v>0</v>
      </c>
    </row>
    <row r="1007" spans="1:8">
      <c r="A1007" s="1" t="s">
        <v>2914</v>
      </c>
      <c r="B1007" s="1" t="s">
        <v>157</v>
      </c>
      <c r="C1007" s="1" t="s">
        <v>2902</v>
      </c>
      <c r="H1007" s="2">
        <f t="shared" si="15"/>
        <v>0</v>
      </c>
    </row>
    <row r="1008" spans="1:8">
      <c r="A1008" s="1" t="s">
        <v>2914</v>
      </c>
      <c r="B1008" s="1" t="s">
        <v>158</v>
      </c>
      <c r="C1008" s="1" t="s">
        <v>2902</v>
      </c>
      <c r="H1008" s="2">
        <f t="shared" si="15"/>
        <v>0</v>
      </c>
    </row>
    <row r="1009" spans="1:8">
      <c r="A1009" s="1" t="s">
        <v>2914</v>
      </c>
      <c r="B1009" s="1" t="s">
        <v>159</v>
      </c>
      <c r="C1009" s="1" t="s">
        <v>2902</v>
      </c>
      <c r="H1009" s="2">
        <f t="shared" si="15"/>
        <v>0</v>
      </c>
    </row>
    <row r="1010" spans="1:8">
      <c r="A1010" s="1" t="s">
        <v>2914</v>
      </c>
      <c r="B1010" s="1" t="s">
        <v>148</v>
      </c>
      <c r="C1010" s="1" t="s">
        <v>2900</v>
      </c>
      <c r="H1010" s="2">
        <f t="shared" si="15"/>
        <v>0</v>
      </c>
    </row>
    <row r="1011" spans="1:8">
      <c r="A1011" s="1" t="s">
        <v>2914</v>
      </c>
      <c r="B1011" s="1" t="s">
        <v>149</v>
      </c>
      <c r="C1011" s="1" t="s">
        <v>2900</v>
      </c>
      <c r="D1011" s="2">
        <v>0</v>
      </c>
      <c r="F1011" s="2">
        <v>213645.21</v>
      </c>
      <c r="G1011" s="2">
        <v>0</v>
      </c>
      <c r="H1011" s="2">
        <f t="shared" si="15"/>
        <v>213645.21</v>
      </c>
    </row>
    <row r="1012" spans="1:8">
      <c r="A1012" s="1" t="s">
        <v>2914</v>
      </c>
      <c r="B1012" s="1" t="s">
        <v>150</v>
      </c>
      <c r="C1012" s="1" t="s">
        <v>2900</v>
      </c>
      <c r="D1012" s="2">
        <v>0</v>
      </c>
      <c r="F1012" s="2">
        <v>1079537.41</v>
      </c>
      <c r="G1012" s="2">
        <v>0</v>
      </c>
      <c r="H1012" s="2">
        <f t="shared" si="15"/>
        <v>1079537.41</v>
      </c>
    </row>
    <row r="1013" spans="1:8">
      <c r="A1013" s="1" t="s">
        <v>2914</v>
      </c>
      <c r="B1013" s="1" t="s">
        <v>151</v>
      </c>
      <c r="C1013" s="1" t="s">
        <v>2900</v>
      </c>
      <c r="H1013" s="2">
        <f t="shared" si="15"/>
        <v>0</v>
      </c>
    </row>
    <row r="1014" spans="1:8">
      <c r="A1014" s="1" t="s">
        <v>2914</v>
      </c>
      <c r="B1014" s="1" t="s">
        <v>152</v>
      </c>
      <c r="C1014" s="1" t="s">
        <v>2900</v>
      </c>
      <c r="H1014" s="2">
        <f t="shared" si="15"/>
        <v>0</v>
      </c>
    </row>
    <row r="1015" spans="1:8">
      <c r="A1015" s="1" t="s">
        <v>2914</v>
      </c>
      <c r="B1015" s="1" t="s">
        <v>153</v>
      </c>
      <c r="C1015" s="1" t="s">
        <v>2900</v>
      </c>
      <c r="H1015" s="2">
        <f t="shared" si="15"/>
        <v>0</v>
      </c>
    </row>
    <row r="1016" spans="1:8">
      <c r="A1016" s="1" t="s">
        <v>2914</v>
      </c>
      <c r="B1016" s="1" t="s">
        <v>154</v>
      </c>
      <c r="C1016" s="1" t="s">
        <v>2900</v>
      </c>
      <c r="H1016" s="2">
        <f t="shared" si="15"/>
        <v>0</v>
      </c>
    </row>
    <row r="1017" spans="1:8">
      <c r="A1017" s="1" t="s">
        <v>2914</v>
      </c>
      <c r="B1017" s="1" t="s">
        <v>155</v>
      </c>
      <c r="C1017" s="1" t="s">
        <v>2900</v>
      </c>
      <c r="H1017" s="2">
        <f t="shared" si="15"/>
        <v>0</v>
      </c>
    </row>
    <row r="1018" spans="1:8">
      <c r="A1018" s="1" t="s">
        <v>2914</v>
      </c>
      <c r="B1018" s="1" t="s">
        <v>156</v>
      </c>
      <c r="C1018" s="1" t="s">
        <v>2900</v>
      </c>
      <c r="H1018" s="2">
        <f t="shared" si="15"/>
        <v>0</v>
      </c>
    </row>
    <row r="1019" spans="1:8">
      <c r="A1019" s="1" t="s">
        <v>2914</v>
      </c>
      <c r="B1019" s="1" t="s">
        <v>157</v>
      </c>
      <c r="C1019" s="1" t="s">
        <v>2900</v>
      </c>
      <c r="H1019" s="2">
        <f t="shared" si="15"/>
        <v>0</v>
      </c>
    </row>
    <row r="1020" spans="1:8">
      <c r="A1020" s="1" t="s">
        <v>2914</v>
      </c>
      <c r="B1020" s="1" t="s">
        <v>158</v>
      </c>
      <c r="C1020" s="1" t="s">
        <v>2900</v>
      </c>
      <c r="H1020" s="2">
        <f t="shared" ref="H1020:H1083" si="16">SUM(D1020:G1020)</f>
        <v>0</v>
      </c>
    </row>
    <row r="1021" spans="1:8">
      <c r="A1021" s="1" t="s">
        <v>2914</v>
      </c>
      <c r="B1021" s="1" t="s">
        <v>159</v>
      </c>
      <c r="C1021" s="1" t="s">
        <v>2900</v>
      </c>
      <c r="H1021" s="2">
        <f t="shared" si="16"/>
        <v>0</v>
      </c>
    </row>
    <row r="1022" spans="1:8">
      <c r="A1022" s="1" t="s">
        <v>2914</v>
      </c>
      <c r="B1022" s="1" t="s">
        <v>148</v>
      </c>
      <c r="C1022" s="1" t="s">
        <v>2931</v>
      </c>
      <c r="D1022" s="2">
        <v>-33978.45</v>
      </c>
      <c r="G1022" s="2">
        <v>0</v>
      </c>
      <c r="H1022" s="2">
        <f t="shared" si="16"/>
        <v>-33978.45</v>
      </c>
    </row>
    <row r="1023" spans="1:8">
      <c r="A1023" s="1" t="s">
        <v>2914</v>
      </c>
      <c r="B1023" s="1" t="s">
        <v>149</v>
      </c>
      <c r="C1023" s="1" t="s">
        <v>2931</v>
      </c>
      <c r="D1023" s="2">
        <v>5630804.24</v>
      </c>
      <c r="G1023" s="2">
        <v>0</v>
      </c>
      <c r="H1023" s="2">
        <f t="shared" si="16"/>
        <v>5630804.24</v>
      </c>
    </row>
    <row r="1024" spans="1:8">
      <c r="A1024" s="1" t="s">
        <v>2914</v>
      </c>
      <c r="B1024" s="1" t="s">
        <v>150</v>
      </c>
      <c r="C1024" s="1" t="s">
        <v>2931</v>
      </c>
      <c r="D1024" s="2">
        <v>488277.18</v>
      </c>
      <c r="G1024" s="2">
        <v>0</v>
      </c>
      <c r="H1024" s="2">
        <f t="shared" si="16"/>
        <v>488277.18</v>
      </c>
    </row>
    <row r="1025" spans="1:8">
      <c r="A1025" s="1" t="s">
        <v>2914</v>
      </c>
      <c r="B1025" s="1" t="s">
        <v>151</v>
      </c>
      <c r="C1025" s="1" t="s">
        <v>2931</v>
      </c>
      <c r="H1025" s="2">
        <f t="shared" si="16"/>
        <v>0</v>
      </c>
    </row>
    <row r="1026" spans="1:8">
      <c r="A1026" s="1" t="s">
        <v>2914</v>
      </c>
      <c r="B1026" s="1" t="s">
        <v>152</v>
      </c>
      <c r="C1026" s="1" t="s">
        <v>2931</v>
      </c>
      <c r="H1026" s="2">
        <f t="shared" si="16"/>
        <v>0</v>
      </c>
    </row>
    <row r="1027" spans="1:8">
      <c r="A1027" s="1" t="s">
        <v>2914</v>
      </c>
      <c r="B1027" s="1" t="s">
        <v>153</v>
      </c>
      <c r="C1027" s="1" t="s">
        <v>2931</v>
      </c>
      <c r="H1027" s="2">
        <f t="shared" si="16"/>
        <v>0</v>
      </c>
    </row>
    <row r="1028" spans="1:8">
      <c r="A1028" s="1" t="s">
        <v>2914</v>
      </c>
      <c r="B1028" s="1" t="s">
        <v>154</v>
      </c>
      <c r="C1028" s="1" t="s">
        <v>2931</v>
      </c>
      <c r="H1028" s="2">
        <f t="shared" si="16"/>
        <v>0</v>
      </c>
    </row>
    <row r="1029" spans="1:8">
      <c r="A1029" s="1" t="s">
        <v>2914</v>
      </c>
      <c r="B1029" s="1" t="s">
        <v>155</v>
      </c>
      <c r="C1029" s="1" t="s">
        <v>2931</v>
      </c>
      <c r="H1029" s="2">
        <f t="shared" si="16"/>
        <v>0</v>
      </c>
    </row>
    <row r="1030" spans="1:8">
      <c r="A1030" s="1" t="s">
        <v>2914</v>
      </c>
      <c r="B1030" s="1" t="s">
        <v>156</v>
      </c>
      <c r="C1030" s="1" t="s">
        <v>2931</v>
      </c>
      <c r="H1030" s="2">
        <f t="shared" si="16"/>
        <v>0</v>
      </c>
    </row>
    <row r="1031" spans="1:8">
      <c r="A1031" s="1" t="s">
        <v>2914</v>
      </c>
      <c r="B1031" s="1" t="s">
        <v>157</v>
      </c>
      <c r="C1031" s="1" t="s">
        <v>2931</v>
      </c>
      <c r="H1031" s="2">
        <f t="shared" si="16"/>
        <v>0</v>
      </c>
    </row>
    <row r="1032" spans="1:8">
      <c r="A1032" s="1" t="s">
        <v>2914</v>
      </c>
      <c r="B1032" s="1" t="s">
        <v>158</v>
      </c>
      <c r="C1032" s="1" t="s">
        <v>2931</v>
      </c>
      <c r="H1032" s="2">
        <f t="shared" si="16"/>
        <v>0</v>
      </c>
    </row>
    <row r="1033" spans="1:8">
      <c r="A1033" s="1" t="s">
        <v>2914</v>
      </c>
      <c r="B1033" s="1" t="s">
        <v>159</v>
      </c>
      <c r="C1033" s="1" t="s">
        <v>2931</v>
      </c>
      <c r="H1033" s="2">
        <f t="shared" si="16"/>
        <v>0</v>
      </c>
    </row>
    <row r="1034" spans="1:8">
      <c r="A1034" s="1" t="s">
        <v>2914</v>
      </c>
      <c r="B1034" s="1" t="s">
        <v>148</v>
      </c>
      <c r="C1034" s="1" t="s">
        <v>1901</v>
      </c>
      <c r="D1034" s="2">
        <v>448787.65</v>
      </c>
      <c r="G1034" s="2">
        <v>0</v>
      </c>
      <c r="H1034" s="2">
        <f t="shared" si="16"/>
        <v>448787.65</v>
      </c>
    </row>
    <row r="1035" spans="1:8">
      <c r="A1035" s="1" t="s">
        <v>2914</v>
      </c>
      <c r="B1035" s="1" t="s">
        <v>149</v>
      </c>
      <c r="C1035" s="1" t="s">
        <v>1901</v>
      </c>
      <c r="D1035" s="2">
        <v>891859.57</v>
      </c>
      <c r="G1035" s="2">
        <v>0</v>
      </c>
      <c r="H1035" s="2">
        <f t="shared" si="16"/>
        <v>891859.57</v>
      </c>
    </row>
    <row r="1036" spans="1:8">
      <c r="A1036" s="1" t="s">
        <v>2914</v>
      </c>
      <c r="B1036" s="1" t="s">
        <v>150</v>
      </c>
      <c r="C1036" s="1" t="s">
        <v>1901</v>
      </c>
      <c r="D1036" s="2">
        <v>264605.46</v>
      </c>
      <c r="G1036" s="2">
        <v>0</v>
      </c>
      <c r="H1036" s="2">
        <f t="shared" si="16"/>
        <v>264605.46</v>
      </c>
    </row>
    <row r="1037" spans="1:8">
      <c r="A1037" s="1" t="s">
        <v>2914</v>
      </c>
      <c r="B1037" s="1" t="s">
        <v>151</v>
      </c>
      <c r="C1037" s="1" t="s">
        <v>1901</v>
      </c>
      <c r="H1037" s="2">
        <f t="shared" si="16"/>
        <v>0</v>
      </c>
    </row>
    <row r="1038" spans="1:8">
      <c r="A1038" s="1" t="s">
        <v>2914</v>
      </c>
      <c r="B1038" s="1" t="s">
        <v>152</v>
      </c>
      <c r="C1038" s="1" t="s">
        <v>1901</v>
      </c>
      <c r="H1038" s="2">
        <f t="shared" si="16"/>
        <v>0</v>
      </c>
    </row>
    <row r="1039" spans="1:8">
      <c r="A1039" s="1" t="s">
        <v>2914</v>
      </c>
      <c r="B1039" s="1" t="s">
        <v>153</v>
      </c>
      <c r="C1039" s="1" t="s">
        <v>1901</v>
      </c>
      <c r="H1039" s="2">
        <f t="shared" si="16"/>
        <v>0</v>
      </c>
    </row>
    <row r="1040" spans="1:8">
      <c r="A1040" s="1" t="s">
        <v>2914</v>
      </c>
      <c r="B1040" s="1" t="s">
        <v>154</v>
      </c>
      <c r="C1040" s="1" t="s">
        <v>1901</v>
      </c>
      <c r="H1040" s="2">
        <f t="shared" si="16"/>
        <v>0</v>
      </c>
    </row>
    <row r="1041" spans="1:8">
      <c r="A1041" s="1" t="s">
        <v>2914</v>
      </c>
      <c r="B1041" s="1" t="s">
        <v>155</v>
      </c>
      <c r="C1041" s="1" t="s">
        <v>1901</v>
      </c>
      <c r="H1041" s="2">
        <f t="shared" si="16"/>
        <v>0</v>
      </c>
    </row>
    <row r="1042" spans="1:8">
      <c r="A1042" s="1" t="s">
        <v>2914</v>
      </c>
      <c r="B1042" s="1" t="s">
        <v>156</v>
      </c>
      <c r="C1042" s="1" t="s">
        <v>1901</v>
      </c>
      <c r="H1042" s="2">
        <f t="shared" si="16"/>
        <v>0</v>
      </c>
    </row>
    <row r="1043" spans="1:8">
      <c r="A1043" s="1" t="s">
        <v>2914</v>
      </c>
      <c r="B1043" s="1" t="s">
        <v>157</v>
      </c>
      <c r="C1043" s="1" t="s">
        <v>1901</v>
      </c>
      <c r="H1043" s="2">
        <f t="shared" si="16"/>
        <v>0</v>
      </c>
    </row>
    <row r="1044" spans="1:8">
      <c r="A1044" s="1" t="s">
        <v>2914</v>
      </c>
      <c r="B1044" s="1" t="s">
        <v>158</v>
      </c>
      <c r="C1044" s="1" t="s">
        <v>1901</v>
      </c>
      <c r="H1044" s="2">
        <f t="shared" si="16"/>
        <v>0</v>
      </c>
    </row>
    <row r="1045" spans="1:8">
      <c r="A1045" s="1" t="s">
        <v>2914</v>
      </c>
      <c r="B1045" s="1" t="s">
        <v>159</v>
      </c>
      <c r="C1045" s="1" t="s">
        <v>1901</v>
      </c>
      <c r="H1045" s="2">
        <f t="shared" si="16"/>
        <v>0</v>
      </c>
    </row>
    <row r="1046" spans="1:8">
      <c r="A1046" s="1" t="s">
        <v>2915</v>
      </c>
      <c r="B1046" s="1" t="s">
        <v>148</v>
      </c>
      <c r="C1046" s="1" t="s">
        <v>2892</v>
      </c>
      <c r="D1046" s="17">
        <v>30520</v>
      </c>
      <c r="E1046" s="17"/>
      <c r="F1046" s="17">
        <v>5629835.15</v>
      </c>
      <c r="G1046" s="17">
        <v>65957.54</v>
      </c>
      <c r="H1046" s="2">
        <f t="shared" si="16"/>
        <v>5726312.69</v>
      </c>
    </row>
    <row r="1047" spans="1:8">
      <c r="A1047" s="1" t="s">
        <v>2915</v>
      </c>
      <c r="B1047" s="1" t="s">
        <v>149</v>
      </c>
      <c r="C1047" s="1" t="s">
        <v>2892</v>
      </c>
      <c r="D1047" s="2">
        <v>45260.18</v>
      </c>
      <c r="F1047" s="2">
        <v>2029962.78</v>
      </c>
      <c r="G1047" s="2">
        <v>3085.5</v>
      </c>
      <c r="H1047" s="2">
        <f t="shared" si="16"/>
        <v>2078308.46</v>
      </c>
    </row>
    <row r="1048" spans="1:8">
      <c r="A1048" s="1" t="s">
        <v>2915</v>
      </c>
      <c r="B1048" s="1" t="s">
        <v>150</v>
      </c>
      <c r="C1048" s="1" t="s">
        <v>2892</v>
      </c>
      <c r="D1048" s="2">
        <v>78631.15</v>
      </c>
      <c r="F1048" s="2">
        <v>1847700.19</v>
      </c>
      <c r="G1048" s="2">
        <v>86095</v>
      </c>
      <c r="H1048" s="2">
        <f t="shared" si="16"/>
        <v>2012426.34</v>
      </c>
    </row>
    <row r="1049" spans="1:8">
      <c r="A1049" s="1" t="s">
        <v>2915</v>
      </c>
      <c r="B1049" s="1" t="s">
        <v>151</v>
      </c>
      <c r="C1049" s="1" t="s">
        <v>2892</v>
      </c>
      <c r="H1049" s="2">
        <f t="shared" si="16"/>
        <v>0</v>
      </c>
    </row>
    <row r="1050" spans="1:8">
      <c r="A1050" s="1" t="s">
        <v>2915</v>
      </c>
      <c r="B1050" s="1" t="s">
        <v>152</v>
      </c>
      <c r="C1050" s="1" t="s">
        <v>2892</v>
      </c>
      <c r="H1050" s="2">
        <f t="shared" si="16"/>
        <v>0</v>
      </c>
    </row>
    <row r="1051" spans="1:8">
      <c r="A1051" s="1" t="s">
        <v>2915</v>
      </c>
      <c r="B1051" s="1" t="s">
        <v>153</v>
      </c>
      <c r="C1051" s="1" t="s">
        <v>2892</v>
      </c>
      <c r="H1051" s="2">
        <f t="shared" si="16"/>
        <v>0</v>
      </c>
    </row>
    <row r="1052" spans="1:8">
      <c r="A1052" s="1" t="s">
        <v>2915</v>
      </c>
      <c r="B1052" s="1" t="s">
        <v>154</v>
      </c>
      <c r="C1052" s="1" t="s">
        <v>2892</v>
      </c>
      <c r="H1052" s="2">
        <f t="shared" si="16"/>
        <v>0</v>
      </c>
    </row>
    <row r="1053" spans="1:8">
      <c r="A1053" s="1" t="s">
        <v>2915</v>
      </c>
      <c r="B1053" s="1" t="s">
        <v>155</v>
      </c>
      <c r="C1053" s="1" t="s">
        <v>2892</v>
      </c>
      <c r="H1053" s="2">
        <f t="shared" si="16"/>
        <v>0</v>
      </c>
    </row>
    <row r="1054" spans="1:8">
      <c r="A1054" s="1" t="s">
        <v>2915</v>
      </c>
      <c r="B1054" s="1" t="s">
        <v>156</v>
      </c>
      <c r="C1054" s="1" t="s">
        <v>2892</v>
      </c>
      <c r="H1054" s="2">
        <f t="shared" si="16"/>
        <v>0</v>
      </c>
    </row>
    <row r="1055" spans="1:8">
      <c r="A1055" s="1" t="s">
        <v>2915</v>
      </c>
      <c r="B1055" s="1" t="s">
        <v>157</v>
      </c>
      <c r="C1055" s="1" t="s">
        <v>2892</v>
      </c>
      <c r="H1055" s="2">
        <f t="shared" si="16"/>
        <v>0</v>
      </c>
    </row>
    <row r="1056" spans="1:8">
      <c r="A1056" s="1" t="s">
        <v>2915</v>
      </c>
      <c r="B1056" s="1" t="s">
        <v>158</v>
      </c>
      <c r="C1056" s="1" t="s">
        <v>2892</v>
      </c>
      <c r="H1056" s="2">
        <f t="shared" si="16"/>
        <v>0</v>
      </c>
    </row>
    <row r="1057" spans="1:8">
      <c r="A1057" s="1" t="s">
        <v>2915</v>
      </c>
      <c r="B1057" s="1" t="s">
        <v>159</v>
      </c>
      <c r="C1057" s="1" t="s">
        <v>2892</v>
      </c>
      <c r="H1057" s="2">
        <f t="shared" si="16"/>
        <v>0</v>
      </c>
    </row>
    <row r="1058" spans="1:8">
      <c r="A1058" s="1" t="s">
        <v>2915</v>
      </c>
      <c r="B1058" s="1" t="s">
        <v>148</v>
      </c>
      <c r="C1058" s="1" t="s">
        <v>2899</v>
      </c>
      <c r="D1058" s="2">
        <v>24427.92</v>
      </c>
      <c r="F1058" s="2">
        <v>5406014.6</v>
      </c>
      <c r="G1058" s="2">
        <v>65405.19</v>
      </c>
      <c r="H1058" s="2">
        <f t="shared" si="16"/>
        <v>5495847.71</v>
      </c>
    </row>
    <row r="1059" spans="1:8">
      <c r="A1059" s="1" t="s">
        <v>2915</v>
      </c>
      <c r="B1059" s="1" t="s">
        <v>149</v>
      </c>
      <c r="C1059" s="1" t="s">
        <v>2899</v>
      </c>
      <c r="D1059" s="2">
        <v>37340.64</v>
      </c>
      <c r="F1059" s="2">
        <v>1779839.5316</v>
      </c>
      <c r="G1059" s="2">
        <v>20077.46</v>
      </c>
      <c r="H1059" s="2">
        <f t="shared" si="16"/>
        <v>1837257.6316</v>
      </c>
    </row>
    <row r="1060" spans="1:8">
      <c r="A1060" s="1" t="s">
        <v>2915</v>
      </c>
      <c r="B1060" s="1" t="s">
        <v>150</v>
      </c>
      <c r="C1060" s="1" t="s">
        <v>2899</v>
      </c>
      <c r="D1060" s="2">
        <v>61996.6</v>
      </c>
      <c r="F1060" s="2">
        <v>1607139.641</v>
      </c>
      <c r="G1060" s="2">
        <v>82214.3258</v>
      </c>
      <c r="H1060" s="2">
        <f t="shared" si="16"/>
        <v>1751350.5668</v>
      </c>
    </row>
    <row r="1061" spans="1:8">
      <c r="A1061" s="1" t="s">
        <v>2915</v>
      </c>
      <c r="B1061" s="1" t="s">
        <v>151</v>
      </c>
      <c r="C1061" s="1" t="s">
        <v>2899</v>
      </c>
      <c r="H1061" s="2">
        <f t="shared" si="16"/>
        <v>0</v>
      </c>
    </row>
    <row r="1062" spans="1:8">
      <c r="A1062" s="1" t="s">
        <v>2915</v>
      </c>
      <c r="B1062" s="1" t="s">
        <v>152</v>
      </c>
      <c r="C1062" s="1" t="s">
        <v>2899</v>
      </c>
      <c r="H1062" s="2">
        <f t="shared" si="16"/>
        <v>0</v>
      </c>
    </row>
    <row r="1063" spans="1:8">
      <c r="A1063" s="1" t="s">
        <v>2915</v>
      </c>
      <c r="B1063" s="1" t="s">
        <v>153</v>
      </c>
      <c r="C1063" s="1" t="s">
        <v>2899</v>
      </c>
      <c r="H1063" s="2">
        <f t="shared" si="16"/>
        <v>0</v>
      </c>
    </row>
    <row r="1064" spans="1:8">
      <c r="A1064" s="1" t="s">
        <v>2915</v>
      </c>
      <c r="B1064" s="1" t="s">
        <v>154</v>
      </c>
      <c r="C1064" s="1" t="s">
        <v>2899</v>
      </c>
      <c r="H1064" s="2">
        <f t="shared" si="16"/>
        <v>0</v>
      </c>
    </row>
    <row r="1065" spans="1:8">
      <c r="A1065" s="1" t="s">
        <v>2915</v>
      </c>
      <c r="B1065" s="1" t="s">
        <v>155</v>
      </c>
      <c r="C1065" s="1" t="s">
        <v>2899</v>
      </c>
      <c r="H1065" s="2">
        <f t="shared" si="16"/>
        <v>0</v>
      </c>
    </row>
    <row r="1066" spans="1:8">
      <c r="A1066" s="1" t="s">
        <v>2915</v>
      </c>
      <c r="B1066" s="1" t="s">
        <v>156</v>
      </c>
      <c r="C1066" s="1" t="s">
        <v>2899</v>
      </c>
      <c r="H1066" s="2">
        <f t="shared" si="16"/>
        <v>0</v>
      </c>
    </row>
    <row r="1067" spans="1:8">
      <c r="A1067" s="1" t="s">
        <v>2915</v>
      </c>
      <c r="B1067" s="1" t="s">
        <v>157</v>
      </c>
      <c r="C1067" s="1" t="s">
        <v>2899</v>
      </c>
      <c r="H1067" s="2">
        <f t="shared" si="16"/>
        <v>0</v>
      </c>
    </row>
    <row r="1068" spans="1:8">
      <c r="A1068" s="1" t="s">
        <v>2915</v>
      </c>
      <c r="B1068" s="1" t="s">
        <v>158</v>
      </c>
      <c r="C1068" s="1" t="s">
        <v>2899</v>
      </c>
      <c r="H1068" s="2">
        <f t="shared" si="16"/>
        <v>0</v>
      </c>
    </row>
    <row r="1069" spans="1:8">
      <c r="A1069" s="1" t="s">
        <v>2915</v>
      </c>
      <c r="B1069" s="1" t="s">
        <v>159</v>
      </c>
      <c r="C1069" s="1" t="s">
        <v>2899</v>
      </c>
      <c r="H1069" s="2">
        <f t="shared" si="16"/>
        <v>0</v>
      </c>
    </row>
    <row r="1070" spans="1:8">
      <c r="A1070" s="1" t="s">
        <v>2915</v>
      </c>
      <c r="B1070" s="1" t="s">
        <v>148</v>
      </c>
      <c r="C1070" s="1" t="s">
        <v>2896</v>
      </c>
      <c r="D1070" s="2">
        <v>10204.91</v>
      </c>
      <c r="F1070" s="2">
        <v>15586.74</v>
      </c>
      <c r="G1070" s="2">
        <v>54681.61</v>
      </c>
      <c r="H1070" s="2">
        <f t="shared" si="16"/>
        <v>80473.26</v>
      </c>
    </row>
    <row r="1071" spans="1:8">
      <c r="A1071" s="1" t="s">
        <v>2915</v>
      </c>
      <c r="B1071" s="1" t="s">
        <v>149</v>
      </c>
      <c r="C1071" s="1" t="s">
        <v>2896</v>
      </c>
      <c r="D1071" s="2">
        <v>7913.38</v>
      </c>
      <c r="F1071" s="2">
        <v>74550.43</v>
      </c>
      <c r="G1071" s="2">
        <v>0</v>
      </c>
      <c r="H1071" s="2">
        <f t="shared" si="16"/>
        <v>82463.81</v>
      </c>
    </row>
    <row r="1072" spans="1:8">
      <c r="A1072" s="1" t="s">
        <v>2915</v>
      </c>
      <c r="B1072" s="1" t="s">
        <v>150</v>
      </c>
      <c r="C1072" s="1" t="s">
        <v>2896</v>
      </c>
      <c r="D1072" s="2">
        <v>5681.31</v>
      </c>
      <c r="F1072" s="2">
        <v>1969642.34</v>
      </c>
      <c r="G1072" s="2">
        <v>129504.72</v>
      </c>
      <c r="H1072" s="2">
        <f t="shared" si="16"/>
        <v>2104828.37</v>
      </c>
    </row>
    <row r="1073" spans="1:8">
      <c r="A1073" s="1" t="s">
        <v>2915</v>
      </c>
      <c r="B1073" s="1" t="s">
        <v>151</v>
      </c>
      <c r="C1073" s="1" t="s">
        <v>2896</v>
      </c>
      <c r="H1073" s="2">
        <f t="shared" si="16"/>
        <v>0</v>
      </c>
    </row>
    <row r="1074" spans="1:8">
      <c r="A1074" s="1" t="s">
        <v>2915</v>
      </c>
      <c r="B1074" s="1" t="s">
        <v>152</v>
      </c>
      <c r="C1074" s="1" t="s">
        <v>2896</v>
      </c>
      <c r="H1074" s="2">
        <f t="shared" si="16"/>
        <v>0</v>
      </c>
    </row>
    <row r="1075" spans="1:8">
      <c r="A1075" s="1" t="s">
        <v>2915</v>
      </c>
      <c r="B1075" s="1" t="s">
        <v>153</v>
      </c>
      <c r="C1075" s="1" t="s">
        <v>2896</v>
      </c>
      <c r="H1075" s="2">
        <f t="shared" si="16"/>
        <v>0</v>
      </c>
    </row>
    <row r="1076" spans="1:8">
      <c r="A1076" s="1" t="s">
        <v>2915</v>
      </c>
      <c r="B1076" s="1" t="s">
        <v>154</v>
      </c>
      <c r="C1076" s="1" t="s">
        <v>2896</v>
      </c>
      <c r="H1076" s="2">
        <f t="shared" si="16"/>
        <v>0</v>
      </c>
    </row>
    <row r="1077" spans="1:8">
      <c r="A1077" s="1" t="s">
        <v>2915</v>
      </c>
      <c r="B1077" s="1" t="s">
        <v>155</v>
      </c>
      <c r="C1077" s="1" t="s">
        <v>2896</v>
      </c>
      <c r="H1077" s="2">
        <f t="shared" si="16"/>
        <v>0</v>
      </c>
    </row>
    <row r="1078" spans="1:8">
      <c r="A1078" s="1" t="s">
        <v>2915</v>
      </c>
      <c r="B1078" s="1" t="s">
        <v>156</v>
      </c>
      <c r="C1078" s="1" t="s">
        <v>2896</v>
      </c>
      <c r="H1078" s="2">
        <f t="shared" si="16"/>
        <v>0</v>
      </c>
    </row>
    <row r="1079" spans="1:8">
      <c r="A1079" s="1" t="s">
        <v>2915</v>
      </c>
      <c r="B1079" s="1" t="s">
        <v>157</v>
      </c>
      <c r="C1079" s="1" t="s">
        <v>2896</v>
      </c>
      <c r="H1079" s="2">
        <f t="shared" si="16"/>
        <v>0</v>
      </c>
    </row>
    <row r="1080" spans="1:8">
      <c r="A1080" s="1" t="s">
        <v>2915</v>
      </c>
      <c r="B1080" s="1" t="s">
        <v>158</v>
      </c>
      <c r="C1080" s="1" t="s">
        <v>2896</v>
      </c>
      <c r="H1080" s="2">
        <f t="shared" si="16"/>
        <v>0</v>
      </c>
    </row>
    <row r="1081" spans="1:8">
      <c r="A1081" s="1" t="s">
        <v>2915</v>
      </c>
      <c r="B1081" s="1" t="s">
        <v>159</v>
      </c>
      <c r="C1081" s="1" t="s">
        <v>2896</v>
      </c>
      <c r="H1081" s="2">
        <f t="shared" si="16"/>
        <v>0</v>
      </c>
    </row>
    <row r="1082" spans="1:8">
      <c r="A1082" s="1" t="s">
        <v>2915</v>
      </c>
      <c r="B1082" s="1" t="s">
        <v>148</v>
      </c>
      <c r="C1082" s="1" t="s">
        <v>2893</v>
      </c>
      <c r="D1082" s="2">
        <v>2593.9</v>
      </c>
      <c r="E1082" s="2">
        <v>0</v>
      </c>
      <c r="F1082" s="2">
        <v>16084.04</v>
      </c>
      <c r="G1082" s="2">
        <v>48278.34</v>
      </c>
      <c r="H1082" s="2">
        <f t="shared" si="16"/>
        <v>66956.28</v>
      </c>
    </row>
    <row r="1083" spans="1:8">
      <c r="A1083" s="1" t="s">
        <v>2915</v>
      </c>
      <c r="B1083" s="1" t="s">
        <v>149</v>
      </c>
      <c r="C1083" s="1" t="s">
        <v>2893</v>
      </c>
      <c r="D1083" s="2">
        <v>2553.36</v>
      </c>
      <c r="F1083" s="2">
        <v>72951.16</v>
      </c>
      <c r="G1083" s="2">
        <v>0</v>
      </c>
      <c r="H1083" s="2">
        <f t="shared" si="16"/>
        <v>75504.52</v>
      </c>
    </row>
    <row r="1084" spans="1:8">
      <c r="A1084" s="1" t="s">
        <v>2915</v>
      </c>
      <c r="B1084" s="1" t="s">
        <v>150</v>
      </c>
      <c r="C1084" s="1" t="s">
        <v>2893</v>
      </c>
      <c r="D1084" s="2">
        <v>1857.74</v>
      </c>
      <c r="F1084" s="2">
        <v>1969011.32</v>
      </c>
      <c r="G1084" s="2">
        <v>120573.29</v>
      </c>
      <c r="H1084" s="2">
        <f t="shared" ref="H1084:H1147" si="17">SUM(D1084:G1084)</f>
        <v>2091442.35</v>
      </c>
    </row>
    <row r="1085" spans="1:8">
      <c r="A1085" s="1" t="s">
        <v>2915</v>
      </c>
      <c r="B1085" s="1" t="s">
        <v>151</v>
      </c>
      <c r="C1085" s="1" t="s">
        <v>2893</v>
      </c>
      <c r="H1085" s="2">
        <f t="shared" si="17"/>
        <v>0</v>
      </c>
    </row>
    <row r="1086" spans="1:8">
      <c r="A1086" s="1" t="s">
        <v>2915</v>
      </c>
      <c r="B1086" s="1" t="s">
        <v>152</v>
      </c>
      <c r="C1086" s="1" t="s">
        <v>2893</v>
      </c>
      <c r="H1086" s="2">
        <f t="shared" si="17"/>
        <v>0</v>
      </c>
    </row>
    <row r="1087" spans="1:8">
      <c r="A1087" s="1" t="s">
        <v>2915</v>
      </c>
      <c r="B1087" s="1" t="s">
        <v>153</v>
      </c>
      <c r="C1087" s="1" t="s">
        <v>2893</v>
      </c>
      <c r="H1087" s="2">
        <f t="shared" si="17"/>
        <v>0</v>
      </c>
    </row>
    <row r="1088" spans="1:8">
      <c r="A1088" s="1" t="s">
        <v>2915</v>
      </c>
      <c r="B1088" s="1" t="s">
        <v>154</v>
      </c>
      <c r="C1088" s="1" t="s">
        <v>2893</v>
      </c>
      <c r="H1088" s="2">
        <f t="shared" si="17"/>
        <v>0</v>
      </c>
    </row>
    <row r="1089" spans="1:8">
      <c r="A1089" s="1" t="s">
        <v>2915</v>
      </c>
      <c r="B1089" s="1" t="s">
        <v>155</v>
      </c>
      <c r="C1089" s="1" t="s">
        <v>2893</v>
      </c>
      <c r="H1089" s="2">
        <f t="shared" si="17"/>
        <v>0</v>
      </c>
    </row>
    <row r="1090" spans="1:8">
      <c r="A1090" s="1" t="s">
        <v>2915</v>
      </c>
      <c r="B1090" s="1" t="s">
        <v>156</v>
      </c>
      <c r="C1090" s="1" t="s">
        <v>2893</v>
      </c>
      <c r="H1090" s="2">
        <f t="shared" si="17"/>
        <v>0</v>
      </c>
    </row>
    <row r="1091" spans="1:8">
      <c r="A1091" s="1" t="s">
        <v>2915</v>
      </c>
      <c r="B1091" s="1" t="s">
        <v>157</v>
      </c>
      <c r="C1091" s="1" t="s">
        <v>2893</v>
      </c>
      <c r="H1091" s="2">
        <f t="shared" si="17"/>
        <v>0</v>
      </c>
    </row>
    <row r="1092" spans="1:8">
      <c r="A1092" s="1" t="s">
        <v>2915</v>
      </c>
      <c r="B1092" s="1" t="s">
        <v>158</v>
      </c>
      <c r="C1092" s="1" t="s">
        <v>2893</v>
      </c>
      <c r="H1092" s="2">
        <f t="shared" si="17"/>
        <v>0</v>
      </c>
    </row>
    <row r="1093" spans="1:8">
      <c r="A1093" s="1" t="s">
        <v>2915</v>
      </c>
      <c r="B1093" s="1" t="s">
        <v>159</v>
      </c>
      <c r="C1093" s="1" t="s">
        <v>2893</v>
      </c>
      <c r="H1093" s="2">
        <f t="shared" si="17"/>
        <v>0</v>
      </c>
    </row>
    <row r="1094" spans="1:8">
      <c r="A1094" s="1" t="s">
        <v>2915</v>
      </c>
      <c r="B1094" s="1" t="s">
        <v>148</v>
      </c>
      <c r="C1094" s="1" t="s">
        <v>2900</v>
      </c>
      <c r="H1094" s="2">
        <f t="shared" si="17"/>
        <v>0</v>
      </c>
    </row>
    <row r="1095" spans="1:8">
      <c r="A1095" s="1" t="s">
        <v>2915</v>
      </c>
      <c r="B1095" s="1" t="s">
        <v>149</v>
      </c>
      <c r="C1095" s="1" t="s">
        <v>2900</v>
      </c>
      <c r="H1095" s="2">
        <f t="shared" si="17"/>
        <v>0</v>
      </c>
    </row>
    <row r="1096" spans="1:8">
      <c r="A1096" s="1" t="s">
        <v>2915</v>
      </c>
      <c r="B1096" s="1" t="s">
        <v>150</v>
      </c>
      <c r="C1096" s="1" t="s">
        <v>2900</v>
      </c>
      <c r="H1096" s="2">
        <f t="shared" si="17"/>
        <v>0</v>
      </c>
    </row>
    <row r="1097" spans="1:8">
      <c r="A1097" s="1" t="s">
        <v>2915</v>
      </c>
      <c r="B1097" s="1" t="s">
        <v>151</v>
      </c>
      <c r="C1097" s="1" t="s">
        <v>2900</v>
      </c>
      <c r="H1097" s="2">
        <f t="shared" si="17"/>
        <v>0</v>
      </c>
    </row>
    <row r="1098" spans="1:8">
      <c r="A1098" s="1" t="s">
        <v>2915</v>
      </c>
      <c r="B1098" s="1" t="s">
        <v>152</v>
      </c>
      <c r="C1098" s="1" t="s">
        <v>2900</v>
      </c>
      <c r="H1098" s="2">
        <f t="shared" si="17"/>
        <v>0</v>
      </c>
    </row>
    <row r="1099" spans="1:8">
      <c r="A1099" s="1" t="s">
        <v>2915</v>
      </c>
      <c r="B1099" s="1" t="s">
        <v>153</v>
      </c>
      <c r="C1099" s="1" t="s">
        <v>2900</v>
      </c>
      <c r="H1099" s="2">
        <f t="shared" si="17"/>
        <v>0</v>
      </c>
    </row>
    <row r="1100" spans="1:8">
      <c r="A1100" s="1" t="s">
        <v>2915</v>
      </c>
      <c r="B1100" s="1" t="s">
        <v>154</v>
      </c>
      <c r="C1100" s="1" t="s">
        <v>2900</v>
      </c>
      <c r="H1100" s="2">
        <f t="shared" si="17"/>
        <v>0</v>
      </c>
    </row>
    <row r="1101" spans="1:8">
      <c r="A1101" s="1" t="s">
        <v>2915</v>
      </c>
      <c r="B1101" s="1" t="s">
        <v>155</v>
      </c>
      <c r="C1101" s="1" t="s">
        <v>2900</v>
      </c>
      <c r="H1101" s="2">
        <f t="shared" si="17"/>
        <v>0</v>
      </c>
    </row>
    <row r="1102" spans="1:8">
      <c r="A1102" s="1" t="s">
        <v>2915</v>
      </c>
      <c r="B1102" s="1" t="s">
        <v>156</v>
      </c>
      <c r="C1102" s="1" t="s">
        <v>2900</v>
      </c>
      <c r="H1102" s="2">
        <f t="shared" si="17"/>
        <v>0</v>
      </c>
    </row>
    <row r="1103" spans="1:8">
      <c r="A1103" s="1" t="s">
        <v>2915</v>
      </c>
      <c r="B1103" s="1" t="s">
        <v>157</v>
      </c>
      <c r="C1103" s="1" t="s">
        <v>2900</v>
      </c>
      <c r="H1103" s="2">
        <f t="shared" si="17"/>
        <v>0</v>
      </c>
    </row>
    <row r="1104" spans="1:8">
      <c r="A1104" s="1" t="s">
        <v>2915</v>
      </c>
      <c r="B1104" s="1" t="s">
        <v>158</v>
      </c>
      <c r="C1104" s="1" t="s">
        <v>2900</v>
      </c>
      <c r="H1104" s="2">
        <f t="shared" si="17"/>
        <v>0</v>
      </c>
    </row>
    <row r="1105" spans="1:8">
      <c r="A1105" s="1" t="s">
        <v>2915</v>
      </c>
      <c r="B1105" s="1" t="s">
        <v>159</v>
      </c>
      <c r="C1105" s="1" t="s">
        <v>2900</v>
      </c>
      <c r="H1105" s="2">
        <f t="shared" si="17"/>
        <v>0</v>
      </c>
    </row>
    <row r="1106" spans="1:8">
      <c r="A1106" s="1" t="s">
        <v>2915</v>
      </c>
      <c r="B1106" s="1" t="s">
        <v>148</v>
      </c>
      <c r="C1106" s="1" t="s">
        <v>2931</v>
      </c>
      <c r="H1106" s="2">
        <f t="shared" si="17"/>
        <v>0</v>
      </c>
    </row>
    <row r="1107" spans="1:8">
      <c r="A1107" s="1" t="s">
        <v>2915</v>
      </c>
      <c r="B1107" s="1" t="s">
        <v>149</v>
      </c>
      <c r="C1107" s="1" t="s">
        <v>2931</v>
      </c>
      <c r="D1107" s="2">
        <v>0</v>
      </c>
      <c r="F1107" s="2">
        <v>47929.01</v>
      </c>
      <c r="G1107" s="2">
        <v>0</v>
      </c>
      <c r="H1107" s="2">
        <f t="shared" si="17"/>
        <v>47929.01</v>
      </c>
    </row>
    <row r="1108" spans="1:8">
      <c r="A1108" s="1" t="s">
        <v>2915</v>
      </c>
      <c r="B1108" s="1" t="s">
        <v>150</v>
      </c>
      <c r="C1108" s="1" t="s">
        <v>2931</v>
      </c>
      <c r="D1108" s="2">
        <v>0</v>
      </c>
      <c r="F1108" s="2">
        <v>374995.79</v>
      </c>
      <c r="G1108" s="2">
        <v>0</v>
      </c>
      <c r="H1108" s="2">
        <f t="shared" si="17"/>
        <v>374995.79</v>
      </c>
    </row>
    <row r="1109" spans="1:8">
      <c r="A1109" s="1" t="s">
        <v>2915</v>
      </c>
      <c r="B1109" s="1" t="s">
        <v>151</v>
      </c>
      <c r="C1109" s="1" t="s">
        <v>2931</v>
      </c>
      <c r="H1109" s="2">
        <f t="shared" si="17"/>
        <v>0</v>
      </c>
    </row>
    <row r="1110" spans="1:8">
      <c r="A1110" s="1" t="s">
        <v>2915</v>
      </c>
      <c r="B1110" s="1" t="s">
        <v>152</v>
      </c>
      <c r="C1110" s="1" t="s">
        <v>2931</v>
      </c>
      <c r="H1110" s="2">
        <f t="shared" si="17"/>
        <v>0</v>
      </c>
    </row>
    <row r="1111" spans="1:8">
      <c r="A1111" s="1" t="s">
        <v>2915</v>
      </c>
      <c r="B1111" s="1" t="s">
        <v>153</v>
      </c>
      <c r="C1111" s="1" t="s">
        <v>2931</v>
      </c>
      <c r="H1111" s="2">
        <f t="shared" si="17"/>
        <v>0</v>
      </c>
    </row>
    <row r="1112" spans="1:8">
      <c r="A1112" s="1" t="s">
        <v>2915</v>
      </c>
      <c r="B1112" s="1" t="s">
        <v>154</v>
      </c>
      <c r="C1112" s="1" t="s">
        <v>2931</v>
      </c>
      <c r="H1112" s="2">
        <f t="shared" si="17"/>
        <v>0</v>
      </c>
    </row>
    <row r="1113" spans="1:8">
      <c r="A1113" s="1" t="s">
        <v>2915</v>
      </c>
      <c r="B1113" s="1" t="s">
        <v>155</v>
      </c>
      <c r="C1113" s="1" t="s">
        <v>2931</v>
      </c>
      <c r="H1113" s="2">
        <f t="shared" si="17"/>
        <v>0</v>
      </c>
    </row>
    <row r="1114" spans="1:8">
      <c r="A1114" s="1" t="s">
        <v>2915</v>
      </c>
      <c r="B1114" s="1" t="s">
        <v>156</v>
      </c>
      <c r="C1114" s="1" t="s">
        <v>2931</v>
      </c>
      <c r="H1114" s="2">
        <f t="shared" si="17"/>
        <v>0</v>
      </c>
    </row>
    <row r="1115" spans="1:8">
      <c r="A1115" s="1" t="s">
        <v>2915</v>
      </c>
      <c r="B1115" s="1" t="s">
        <v>157</v>
      </c>
      <c r="C1115" s="1" t="s">
        <v>2931</v>
      </c>
      <c r="H1115" s="2">
        <f t="shared" si="17"/>
        <v>0</v>
      </c>
    </row>
    <row r="1116" spans="1:8">
      <c r="A1116" s="1" t="s">
        <v>2915</v>
      </c>
      <c r="B1116" s="1" t="s">
        <v>158</v>
      </c>
      <c r="C1116" s="1" t="s">
        <v>2931</v>
      </c>
      <c r="H1116" s="2">
        <f t="shared" si="17"/>
        <v>0</v>
      </c>
    </row>
    <row r="1117" spans="1:8">
      <c r="A1117" s="1" t="s">
        <v>2915</v>
      </c>
      <c r="B1117" s="1" t="s">
        <v>159</v>
      </c>
      <c r="C1117" s="1" t="s">
        <v>2931</v>
      </c>
      <c r="H1117" s="2">
        <f t="shared" si="17"/>
        <v>0</v>
      </c>
    </row>
    <row r="1118" spans="1:8">
      <c r="A1118" s="1" t="s">
        <v>2915</v>
      </c>
      <c r="B1118" s="1" t="s">
        <v>148</v>
      </c>
      <c r="C1118" s="1" t="s">
        <v>2904</v>
      </c>
      <c r="H1118" s="2">
        <f t="shared" si="17"/>
        <v>0</v>
      </c>
    </row>
    <row r="1119" spans="1:8">
      <c r="A1119" s="1" t="s">
        <v>2915</v>
      </c>
      <c r="B1119" s="1" t="s">
        <v>149</v>
      </c>
      <c r="C1119" s="1" t="s">
        <v>2904</v>
      </c>
      <c r="H1119" s="2">
        <f t="shared" si="17"/>
        <v>0</v>
      </c>
    </row>
    <row r="1120" spans="1:8">
      <c r="A1120" s="1" t="s">
        <v>2915</v>
      </c>
      <c r="B1120" s="1" t="s">
        <v>150</v>
      </c>
      <c r="C1120" s="1" t="s">
        <v>2904</v>
      </c>
      <c r="H1120" s="2">
        <f t="shared" si="17"/>
        <v>0</v>
      </c>
    </row>
    <row r="1121" spans="1:8">
      <c r="A1121" s="1" t="s">
        <v>2915</v>
      </c>
      <c r="B1121" s="1" t="s">
        <v>151</v>
      </c>
      <c r="C1121" s="1" t="s">
        <v>2904</v>
      </c>
      <c r="H1121" s="2">
        <f t="shared" si="17"/>
        <v>0</v>
      </c>
    </row>
    <row r="1122" spans="1:8">
      <c r="A1122" s="1" t="s">
        <v>2915</v>
      </c>
      <c r="B1122" s="1" t="s">
        <v>152</v>
      </c>
      <c r="C1122" s="1" t="s">
        <v>2904</v>
      </c>
      <c r="H1122" s="2">
        <f t="shared" si="17"/>
        <v>0</v>
      </c>
    </row>
    <row r="1123" spans="1:8">
      <c r="A1123" s="1" t="s">
        <v>2915</v>
      </c>
      <c r="B1123" s="1" t="s">
        <v>153</v>
      </c>
      <c r="C1123" s="1" t="s">
        <v>2904</v>
      </c>
      <c r="H1123" s="2">
        <f t="shared" si="17"/>
        <v>0</v>
      </c>
    </row>
    <row r="1124" spans="1:8">
      <c r="A1124" s="1" t="s">
        <v>2915</v>
      </c>
      <c r="B1124" s="1" t="s">
        <v>154</v>
      </c>
      <c r="C1124" s="1" t="s">
        <v>2904</v>
      </c>
      <c r="H1124" s="2">
        <f t="shared" si="17"/>
        <v>0</v>
      </c>
    </row>
    <row r="1125" spans="1:8">
      <c r="A1125" s="1" t="s">
        <v>2915</v>
      </c>
      <c r="B1125" s="1" t="s">
        <v>155</v>
      </c>
      <c r="C1125" s="1" t="s">
        <v>2904</v>
      </c>
      <c r="H1125" s="2">
        <f t="shared" si="17"/>
        <v>0</v>
      </c>
    </row>
    <row r="1126" spans="1:8">
      <c r="A1126" s="1" t="s">
        <v>2915</v>
      </c>
      <c r="B1126" s="1" t="s">
        <v>156</v>
      </c>
      <c r="C1126" s="1" t="s">
        <v>2904</v>
      </c>
      <c r="H1126" s="2">
        <f t="shared" si="17"/>
        <v>0</v>
      </c>
    </row>
    <row r="1127" spans="1:8">
      <c r="A1127" s="1" t="s">
        <v>2915</v>
      </c>
      <c r="B1127" s="1" t="s">
        <v>157</v>
      </c>
      <c r="C1127" s="1" t="s">
        <v>2904</v>
      </c>
      <c r="H1127" s="2">
        <f t="shared" si="17"/>
        <v>0</v>
      </c>
    </row>
    <row r="1128" spans="1:8">
      <c r="A1128" s="1" t="s">
        <v>2915</v>
      </c>
      <c r="B1128" s="1" t="s">
        <v>158</v>
      </c>
      <c r="C1128" s="1" t="s">
        <v>2904</v>
      </c>
      <c r="H1128" s="2">
        <f t="shared" si="17"/>
        <v>0</v>
      </c>
    </row>
    <row r="1129" spans="1:8">
      <c r="A1129" s="1" t="s">
        <v>2915</v>
      </c>
      <c r="B1129" s="1" t="s">
        <v>159</v>
      </c>
      <c r="C1129" s="1" t="s">
        <v>2904</v>
      </c>
      <c r="H1129" s="2">
        <f t="shared" si="17"/>
        <v>0</v>
      </c>
    </row>
    <row r="1130" spans="1:8">
      <c r="A1130" s="1" t="s">
        <v>2916</v>
      </c>
      <c r="B1130" s="1" t="s">
        <v>148</v>
      </c>
      <c r="C1130" s="1" t="s">
        <v>2900</v>
      </c>
      <c r="H1130" s="2">
        <f t="shared" si="17"/>
        <v>0</v>
      </c>
    </row>
    <row r="1131" spans="1:8">
      <c r="A1131" s="1" t="s">
        <v>2916</v>
      </c>
      <c r="B1131" s="1" t="s">
        <v>149</v>
      </c>
      <c r="C1131" s="1" t="s">
        <v>2900</v>
      </c>
      <c r="H1131" s="2">
        <f t="shared" si="17"/>
        <v>0</v>
      </c>
    </row>
    <row r="1132" spans="1:8">
      <c r="A1132" s="1" t="s">
        <v>2916</v>
      </c>
      <c r="B1132" s="1" t="s">
        <v>150</v>
      </c>
      <c r="C1132" s="1" t="s">
        <v>2900</v>
      </c>
      <c r="H1132" s="2">
        <f t="shared" si="17"/>
        <v>0</v>
      </c>
    </row>
    <row r="1133" spans="1:8">
      <c r="A1133" s="1" t="s">
        <v>2916</v>
      </c>
      <c r="B1133" s="1" t="s">
        <v>151</v>
      </c>
      <c r="C1133" s="1" t="s">
        <v>2900</v>
      </c>
      <c r="H1133" s="2">
        <f t="shared" si="17"/>
        <v>0</v>
      </c>
    </row>
    <row r="1134" spans="1:8">
      <c r="A1134" s="1" t="s">
        <v>2916</v>
      </c>
      <c r="B1134" s="1" t="s">
        <v>152</v>
      </c>
      <c r="C1134" s="1" t="s">
        <v>2900</v>
      </c>
      <c r="H1134" s="2">
        <f t="shared" si="17"/>
        <v>0</v>
      </c>
    </row>
    <row r="1135" spans="1:8">
      <c r="A1135" s="1" t="s">
        <v>2916</v>
      </c>
      <c r="B1135" s="1" t="s">
        <v>153</v>
      </c>
      <c r="C1135" s="1" t="s">
        <v>2900</v>
      </c>
      <c r="H1135" s="2">
        <f t="shared" si="17"/>
        <v>0</v>
      </c>
    </row>
    <row r="1136" spans="1:8">
      <c r="A1136" s="1" t="s">
        <v>2916</v>
      </c>
      <c r="B1136" s="1" t="s">
        <v>154</v>
      </c>
      <c r="C1136" s="1" t="s">
        <v>2900</v>
      </c>
      <c r="H1136" s="2">
        <f t="shared" si="17"/>
        <v>0</v>
      </c>
    </row>
    <row r="1137" spans="1:8">
      <c r="A1137" s="1" t="s">
        <v>2916</v>
      </c>
      <c r="B1137" s="1" t="s">
        <v>155</v>
      </c>
      <c r="C1137" s="1" t="s">
        <v>2900</v>
      </c>
      <c r="H1137" s="2">
        <f t="shared" si="17"/>
        <v>0</v>
      </c>
    </row>
    <row r="1138" spans="1:8">
      <c r="A1138" s="1" t="s">
        <v>2916</v>
      </c>
      <c r="B1138" s="1" t="s">
        <v>156</v>
      </c>
      <c r="C1138" s="1" t="s">
        <v>2900</v>
      </c>
      <c r="H1138" s="2">
        <f t="shared" si="17"/>
        <v>0</v>
      </c>
    </row>
    <row r="1139" spans="1:8">
      <c r="A1139" s="1" t="s">
        <v>2916</v>
      </c>
      <c r="B1139" s="1" t="s">
        <v>157</v>
      </c>
      <c r="C1139" s="1" t="s">
        <v>2900</v>
      </c>
      <c r="H1139" s="2">
        <f t="shared" si="17"/>
        <v>0</v>
      </c>
    </row>
    <row r="1140" spans="1:8">
      <c r="A1140" s="1" t="s">
        <v>2916</v>
      </c>
      <c r="B1140" s="1" t="s">
        <v>158</v>
      </c>
      <c r="C1140" s="1" t="s">
        <v>2900</v>
      </c>
      <c r="H1140" s="2">
        <f t="shared" si="17"/>
        <v>0</v>
      </c>
    </row>
    <row r="1141" spans="1:8">
      <c r="A1141" s="1" t="s">
        <v>2916</v>
      </c>
      <c r="B1141" s="1" t="s">
        <v>159</v>
      </c>
      <c r="C1141" s="1" t="s">
        <v>2900</v>
      </c>
      <c r="H1141" s="2">
        <f t="shared" si="17"/>
        <v>0</v>
      </c>
    </row>
    <row r="1142" spans="1:8">
      <c r="A1142" s="1" t="s">
        <v>2934</v>
      </c>
      <c r="B1142" s="1" t="s">
        <v>148</v>
      </c>
      <c r="C1142" s="1" t="s">
        <v>2892</v>
      </c>
      <c r="H1142" s="2">
        <f t="shared" si="17"/>
        <v>0</v>
      </c>
    </row>
    <row r="1143" spans="1:8">
      <c r="A1143" s="1" t="s">
        <v>2934</v>
      </c>
      <c r="B1143" s="1" t="s">
        <v>149</v>
      </c>
      <c r="C1143" s="1" t="s">
        <v>2892</v>
      </c>
      <c r="H1143" s="2">
        <f t="shared" si="17"/>
        <v>0</v>
      </c>
    </row>
    <row r="1144" spans="1:8">
      <c r="A1144" s="1" t="s">
        <v>2934</v>
      </c>
      <c r="B1144" s="1" t="s">
        <v>150</v>
      </c>
      <c r="C1144" s="1" t="s">
        <v>2892</v>
      </c>
      <c r="H1144" s="2">
        <f t="shared" si="17"/>
        <v>0</v>
      </c>
    </row>
    <row r="1145" spans="1:8">
      <c r="A1145" s="1" t="s">
        <v>2934</v>
      </c>
      <c r="B1145" s="1" t="s">
        <v>151</v>
      </c>
      <c r="C1145" s="1" t="s">
        <v>2892</v>
      </c>
      <c r="H1145" s="2">
        <f t="shared" si="17"/>
        <v>0</v>
      </c>
    </row>
    <row r="1146" spans="1:8">
      <c r="A1146" s="1" t="s">
        <v>2934</v>
      </c>
      <c r="B1146" s="1" t="s">
        <v>152</v>
      </c>
      <c r="C1146" s="1" t="s">
        <v>2892</v>
      </c>
      <c r="H1146" s="2">
        <f t="shared" si="17"/>
        <v>0</v>
      </c>
    </row>
    <row r="1147" spans="1:8">
      <c r="A1147" s="1" t="s">
        <v>2934</v>
      </c>
      <c r="B1147" s="1" t="s">
        <v>153</v>
      </c>
      <c r="C1147" s="1" t="s">
        <v>2892</v>
      </c>
      <c r="G1147" s="18"/>
      <c r="H1147" s="2">
        <f t="shared" si="17"/>
        <v>0</v>
      </c>
    </row>
    <row r="1148" spans="1:8">
      <c r="A1148" s="1" t="s">
        <v>2934</v>
      </c>
      <c r="B1148" s="1" t="s">
        <v>154</v>
      </c>
      <c r="C1148" s="1" t="s">
        <v>2892</v>
      </c>
      <c r="H1148" s="2">
        <f t="shared" ref="H1148:H1211" si="18">SUM(D1148:G1148)</f>
        <v>0</v>
      </c>
    </row>
    <row r="1149" spans="1:8">
      <c r="A1149" s="1" t="s">
        <v>2934</v>
      </c>
      <c r="B1149" s="1" t="s">
        <v>155</v>
      </c>
      <c r="C1149" s="1" t="s">
        <v>2892</v>
      </c>
      <c r="H1149" s="2">
        <f t="shared" si="18"/>
        <v>0</v>
      </c>
    </row>
    <row r="1150" spans="1:8">
      <c r="A1150" s="1" t="s">
        <v>2934</v>
      </c>
      <c r="B1150" s="1" t="s">
        <v>156</v>
      </c>
      <c r="C1150" s="1" t="s">
        <v>2892</v>
      </c>
      <c r="H1150" s="2">
        <f t="shared" si="18"/>
        <v>0</v>
      </c>
    </row>
    <row r="1151" spans="1:8">
      <c r="A1151" s="1" t="s">
        <v>2934</v>
      </c>
      <c r="B1151" s="1" t="s">
        <v>157</v>
      </c>
      <c r="C1151" s="1" t="s">
        <v>2892</v>
      </c>
      <c r="H1151" s="2">
        <f t="shared" si="18"/>
        <v>0</v>
      </c>
    </row>
    <row r="1152" spans="1:8">
      <c r="A1152" s="1" t="s">
        <v>2934</v>
      </c>
      <c r="B1152" s="1" t="s">
        <v>158</v>
      </c>
      <c r="C1152" s="1" t="s">
        <v>2892</v>
      </c>
      <c r="H1152" s="2">
        <f t="shared" si="18"/>
        <v>0</v>
      </c>
    </row>
    <row r="1153" spans="1:8">
      <c r="A1153" s="1" t="s">
        <v>2934</v>
      </c>
      <c r="B1153" s="1" t="s">
        <v>159</v>
      </c>
      <c r="C1153" s="1" t="s">
        <v>2892</v>
      </c>
      <c r="H1153" s="2">
        <f t="shared" si="18"/>
        <v>0</v>
      </c>
    </row>
    <row r="1154" spans="1:8">
      <c r="A1154" s="1" t="s">
        <v>2934</v>
      </c>
      <c r="B1154" s="1" t="s">
        <v>148</v>
      </c>
      <c r="C1154" s="1" t="s">
        <v>2899</v>
      </c>
      <c r="H1154" s="2">
        <f t="shared" si="18"/>
        <v>0</v>
      </c>
    </row>
    <row r="1155" spans="1:8">
      <c r="A1155" s="1" t="s">
        <v>2934</v>
      </c>
      <c r="B1155" s="1" t="s">
        <v>149</v>
      </c>
      <c r="C1155" s="1" t="s">
        <v>2899</v>
      </c>
      <c r="H1155" s="2">
        <f t="shared" si="18"/>
        <v>0</v>
      </c>
    </row>
    <row r="1156" spans="1:8">
      <c r="A1156" s="1" t="s">
        <v>2934</v>
      </c>
      <c r="B1156" s="1" t="s">
        <v>150</v>
      </c>
      <c r="C1156" s="1" t="s">
        <v>2899</v>
      </c>
      <c r="H1156" s="2">
        <f t="shared" si="18"/>
        <v>0</v>
      </c>
    </row>
    <row r="1157" spans="1:8">
      <c r="A1157" s="1" t="s">
        <v>2934</v>
      </c>
      <c r="B1157" s="1" t="s">
        <v>151</v>
      </c>
      <c r="C1157" s="1" t="s">
        <v>2899</v>
      </c>
      <c r="H1157" s="2">
        <f t="shared" si="18"/>
        <v>0</v>
      </c>
    </row>
    <row r="1158" spans="1:8">
      <c r="A1158" s="1" t="s">
        <v>2934</v>
      </c>
      <c r="B1158" s="1" t="s">
        <v>152</v>
      </c>
      <c r="C1158" s="1" t="s">
        <v>2899</v>
      </c>
      <c r="H1158" s="2">
        <f t="shared" si="18"/>
        <v>0</v>
      </c>
    </row>
    <row r="1159" spans="1:8">
      <c r="A1159" s="1" t="s">
        <v>2934</v>
      </c>
      <c r="B1159" s="1" t="s">
        <v>153</v>
      </c>
      <c r="C1159" s="1" t="s">
        <v>2899</v>
      </c>
      <c r="G1159" s="18"/>
      <c r="H1159" s="2">
        <f t="shared" si="18"/>
        <v>0</v>
      </c>
    </row>
    <row r="1160" spans="1:8">
      <c r="A1160" s="1" t="s">
        <v>2934</v>
      </c>
      <c r="B1160" s="1" t="s">
        <v>154</v>
      </c>
      <c r="C1160" s="1" t="s">
        <v>2899</v>
      </c>
      <c r="H1160" s="2">
        <f t="shared" si="18"/>
        <v>0</v>
      </c>
    </row>
    <row r="1161" spans="1:8">
      <c r="A1161" s="1" t="s">
        <v>2934</v>
      </c>
      <c r="B1161" s="1" t="s">
        <v>155</v>
      </c>
      <c r="C1161" s="1" t="s">
        <v>2899</v>
      </c>
      <c r="H1161" s="2">
        <f t="shared" si="18"/>
        <v>0</v>
      </c>
    </row>
    <row r="1162" spans="1:8">
      <c r="A1162" s="1" t="s">
        <v>2934</v>
      </c>
      <c r="B1162" s="1" t="s">
        <v>156</v>
      </c>
      <c r="C1162" s="1" t="s">
        <v>2899</v>
      </c>
      <c r="H1162" s="2">
        <f t="shared" si="18"/>
        <v>0</v>
      </c>
    </row>
    <row r="1163" spans="1:8">
      <c r="A1163" s="1" t="s">
        <v>2934</v>
      </c>
      <c r="B1163" s="1" t="s">
        <v>157</v>
      </c>
      <c r="C1163" s="1" t="s">
        <v>2899</v>
      </c>
      <c r="H1163" s="2">
        <f t="shared" si="18"/>
        <v>0</v>
      </c>
    </row>
    <row r="1164" spans="1:8">
      <c r="A1164" s="1" t="s">
        <v>2934</v>
      </c>
      <c r="B1164" s="1" t="s">
        <v>158</v>
      </c>
      <c r="C1164" s="1" t="s">
        <v>2899</v>
      </c>
      <c r="H1164" s="2">
        <f t="shared" si="18"/>
        <v>0</v>
      </c>
    </row>
    <row r="1165" spans="1:8">
      <c r="A1165" s="1" t="s">
        <v>2934</v>
      </c>
      <c r="B1165" s="1" t="s">
        <v>159</v>
      </c>
      <c r="C1165" s="1" t="s">
        <v>2899</v>
      </c>
      <c r="H1165" s="2">
        <f t="shared" si="18"/>
        <v>0</v>
      </c>
    </row>
    <row r="1166" spans="1:8">
      <c r="A1166" s="1" t="s">
        <v>2934</v>
      </c>
      <c r="B1166" s="1" t="s">
        <v>148</v>
      </c>
      <c r="C1166" s="1" t="s">
        <v>2904</v>
      </c>
      <c r="H1166" s="2">
        <f t="shared" si="18"/>
        <v>0</v>
      </c>
    </row>
    <row r="1167" spans="1:8">
      <c r="A1167" s="1" t="s">
        <v>2934</v>
      </c>
      <c r="B1167" s="1" t="s">
        <v>149</v>
      </c>
      <c r="C1167" s="1" t="s">
        <v>2904</v>
      </c>
      <c r="H1167" s="2">
        <f t="shared" si="18"/>
        <v>0</v>
      </c>
    </row>
    <row r="1168" spans="1:8">
      <c r="A1168" s="1" t="s">
        <v>2934</v>
      </c>
      <c r="B1168" s="1" t="s">
        <v>150</v>
      </c>
      <c r="C1168" s="1" t="s">
        <v>2904</v>
      </c>
      <c r="H1168" s="2">
        <f t="shared" si="18"/>
        <v>0</v>
      </c>
    </row>
    <row r="1169" spans="1:8">
      <c r="A1169" s="1" t="s">
        <v>2934</v>
      </c>
      <c r="B1169" s="1" t="s">
        <v>151</v>
      </c>
      <c r="C1169" s="1" t="s">
        <v>2904</v>
      </c>
      <c r="H1169" s="2">
        <f t="shared" si="18"/>
        <v>0</v>
      </c>
    </row>
    <row r="1170" spans="1:8">
      <c r="A1170" s="1" t="s">
        <v>2934</v>
      </c>
      <c r="B1170" s="1" t="s">
        <v>152</v>
      </c>
      <c r="C1170" s="1" t="s">
        <v>2904</v>
      </c>
      <c r="H1170" s="2">
        <f t="shared" si="18"/>
        <v>0</v>
      </c>
    </row>
    <row r="1171" spans="1:8">
      <c r="A1171" s="1" t="s">
        <v>2934</v>
      </c>
      <c r="B1171" s="1" t="s">
        <v>153</v>
      </c>
      <c r="C1171" s="1" t="s">
        <v>2904</v>
      </c>
      <c r="H1171" s="2">
        <f t="shared" si="18"/>
        <v>0</v>
      </c>
    </row>
    <row r="1172" spans="1:8">
      <c r="A1172" s="1" t="s">
        <v>2934</v>
      </c>
      <c r="B1172" s="1" t="s">
        <v>154</v>
      </c>
      <c r="C1172" s="1" t="s">
        <v>2904</v>
      </c>
      <c r="H1172" s="2">
        <f t="shared" si="18"/>
        <v>0</v>
      </c>
    </row>
    <row r="1173" spans="1:8">
      <c r="A1173" s="1" t="s">
        <v>2934</v>
      </c>
      <c r="B1173" s="1" t="s">
        <v>155</v>
      </c>
      <c r="C1173" s="1" t="s">
        <v>2904</v>
      </c>
      <c r="H1173" s="2">
        <f t="shared" si="18"/>
        <v>0</v>
      </c>
    </row>
    <row r="1174" spans="1:8">
      <c r="A1174" s="1" t="s">
        <v>2934</v>
      </c>
      <c r="B1174" s="1" t="s">
        <v>156</v>
      </c>
      <c r="C1174" s="1" t="s">
        <v>2904</v>
      </c>
      <c r="H1174" s="2">
        <f t="shared" si="18"/>
        <v>0</v>
      </c>
    </row>
    <row r="1175" spans="1:8">
      <c r="A1175" s="1" t="s">
        <v>2934</v>
      </c>
      <c r="B1175" s="1" t="s">
        <v>157</v>
      </c>
      <c r="C1175" s="1" t="s">
        <v>2904</v>
      </c>
      <c r="H1175" s="2">
        <f t="shared" si="18"/>
        <v>0</v>
      </c>
    </row>
    <row r="1176" spans="1:8">
      <c r="A1176" s="1" t="s">
        <v>2934</v>
      </c>
      <c r="B1176" s="1" t="s">
        <v>158</v>
      </c>
      <c r="C1176" s="1" t="s">
        <v>2904</v>
      </c>
      <c r="H1176" s="2">
        <f t="shared" si="18"/>
        <v>0</v>
      </c>
    </row>
    <row r="1177" spans="1:8">
      <c r="A1177" s="1" t="s">
        <v>2934</v>
      </c>
      <c r="B1177" s="1" t="s">
        <v>159</v>
      </c>
      <c r="C1177" s="1" t="s">
        <v>2904</v>
      </c>
      <c r="H1177" s="2">
        <f t="shared" si="18"/>
        <v>0</v>
      </c>
    </row>
    <row r="1178" spans="1:8">
      <c r="A1178" s="1" t="s">
        <v>2935</v>
      </c>
      <c r="B1178" s="1" t="s">
        <v>148</v>
      </c>
      <c r="C1178" s="1" t="s">
        <v>2896</v>
      </c>
      <c r="F1178" s="2">
        <v>2070062.92</v>
      </c>
      <c r="H1178" s="2">
        <f t="shared" si="18"/>
        <v>2070062.92</v>
      </c>
    </row>
    <row r="1179" spans="1:8">
      <c r="A1179" s="1" t="s">
        <v>2935</v>
      </c>
      <c r="B1179" s="1" t="s">
        <v>149</v>
      </c>
      <c r="C1179" s="1" t="s">
        <v>2896</v>
      </c>
      <c r="D1179" s="2">
        <v>0</v>
      </c>
      <c r="F1179" s="2">
        <v>2913699.75</v>
      </c>
      <c r="G1179" s="2">
        <v>0</v>
      </c>
      <c r="H1179" s="2">
        <f t="shared" si="18"/>
        <v>2913699.75</v>
      </c>
    </row>
    <row r="1180" spans="1:8">
      <c r="A1180" s="1" t="s">
        <v>2935</v>
      </c>
      <c r="B1180" s="1" t="s">
        <v>150</v>
      </c>
      <c r="C1180" s="1" t="s">
        <v>2896</v>
      </c>
      <c r="D1180" s="2">
        <v>0</v>
      </c>
      <c r="F1180" s="2">
        <v>6520263.49</v>
      </c>
      <c r="G1180" s="2">
        <v>0</v>
      </c>
      <c r="H1180" s="2">
        <f t="shared" si="18"/>
        <v>6520263.49</v>
      </c>
    </row>
    <row r="1181" spans="1:8">
      <c r="A1181" s="1" t="s">
        <v>2935</v>
      </c>
      <c r="B1181" s="1" t="s">
        <v>151</v>
      </c>
      <c r="C1181" s="1" t="s">
        <v>2896</v>
      </c>
      <c r="H1181" s="2">
        <f t="shared" si="18"/>
        <v>0</v>
      </c>
    </row>
    <row r="1182" spans="1:8">
      <c r="A1182" s="1" t="s">
        <v>2935</v>
      </c>
      <c r="B1182" s="1" t="s">
        <v>152</v>
      </c>
      <c r="C1182" s="1" t="s">
        <v>2896</v>
      </c>
      <c r="H1182" s="2">
        <f t="shared" si="18"/>
        <v>0</v>
      </c>
    </row>
    <row r="1183" spans="1:8">
      <c r="A1183" s="1" t="s">
        <v>2935</v>
      </c>
      <c r="B1183" s="1" t="s">
        <v>153</v>
      </c>
      <c r="C1183" s="1" t="s">
        <v>2896</v>
      </c>
      <c r="H1183" s="2">
        <f t="shared" si="18"/>
        <v>0</v>
      </c>
    </row>
    <row r="1184" spans="1:8">
      <c r="A1184" s="1" t="s">
        <v>2935</v>
      </c>
      <c r="B1184" s="1" t="s">
        <v>154</v>
      </c>
      <c r="C1184" s="1" t="s">
        <v>2896</v>
      </c>
      <c r="H1184" s="2">
        <f t="shared" si="18"/>
        <v>0</v>
      </c>
    </row>
    <row r="1185" spans="1:8">
      <c r="A1185" s="1" t="s">
        <v>2935</v>
      </c>
      <c r="B1185" s="1" t="s">
        <v>155</v>
      </c>
      <c r="C1185" s="1" t="s">
        <v>2896</v>
      </c>
      <c r="H1185" s="2">
        <f t="shared" si="18"/>
        <v>0</v>
      </c>
    </row>
    <row r="1186" spans="1:8">
      <c r="A1186" s="1" t="s">
        <v>2935</v>
      </c>
      <c r="B1186" s="1" t="s">
        <v>156</v>
      </c>
      <c r="C1186" s="1" t="s">
        <v>2896</v>
      </c>
      <c r="H1186" s="2">
        <f t="shared" si="18"/>
        <v>0</v>
      </c>
    </row>
    <row r="1187" spans="1:8">
      <c r="A1187" s="1" t="s">
        <v>2935</v>
      </c>
      <c r="B1187" s="1" t="s">
        <v>157</v>
      </c>
      <c r="C1187" s="1" t="s">
        <v>2896</v>
      </c>
      <c r="H1187" s="2">
        <f t="shared" si="18"/>
        <v>0</v>
      </c>
    </row>
    <row r="1188" spans="1:8">
      <c r="A1188" s="1" t="s">
        <v>2935</v>
      </c>
      <c r="B1188" s="1" t="s">
        <v>158</v>
      </c>
      <c r="C1188" s="1" t="s">
        <v>2896</v>
      </c>
      <c r="H1188" s="2">
        <f t="shared" si="18"/>
        <v>0</v>
      </c>
    </row>
    <row r="1189" spans="1:8">
      <c r="A1189" s="1" t="s">
        <v>2935</v>
      </c>
      <c r="B1189" s="1" t="s">
        <v>159</v>
      </c>
      <c r="C1189" s="1" t="s">
        <v>2896</v>
      </c>
      <c r="H1189" s="2">
        <f t="shared" si="18"/>
        <v>0</v>
      </c>
    </row>
    <row r="1190" spans="1:8">
      <c r="A1190" s="1" t="s">
        <v>2935</v>
      </c>
      <c r="B1190" s="1" t="s">
        <v>148</v>
      </c>
      <c r="C1190" s="1" t="s">
        <v>2893</v>
      </c>
      <c r="F1190" s="2">
        <v>2057592.66</v>
      </c>
      <c r="H1190" s="2">
        <f t="shared" si="18"/>
        <v>2057592.66</v>
      </c>
    </row>
    <row r="1191" spans="1:8">
      <c r="A1191" s="1" t="s">
        <v>2935</v>
      </c>
      <c r="B1191" s="1" t="s">
        <v>149</v>
      </c>
      <c r="C1191" s="1" t="s">
        <v>2893</v>
      </c>
      <c r="D1191" s="2">
        <v>0</v>
      </c>
      <c r="F1191" s="2">
        <v>2896156.44</v>
      </c>
      <c r="G1191" s="2">
        <v>0</v>
      </c>
      <c r="H1191" s="2">
        <f t="shared" si="18"/>
        <v>2896156.44</v>
      </c>
    </row>
    <row r="1192" spans="1:8">
      <c r="A1192" s="1" t="s">
        <v>2935</v>
      </c>
      <c r="B1192" s="1" t="s">
        <v>150</v>
      </c>
      <c r="C1192" s="1" t="s">
        <v>2893</v>
      </c>
      <c r="D1192" s="2">
        <v>0</v>
      </c>
      <c r="F1192" s="2">
        <v>6503717.25</v>
      </c>
      <c r="G1192" s="2">
        <v>0</v>
      </c>
      <c r="H1192" s="2">
        <f t="shared" si="18"/>
        <v>6503717.25</v>
      </c>
    </row>
    <row r="1193" spans="1:8">
      <c r="A1193" s="1" t="s">
        <v>2935</v>
      </c>
      <c r="B1193" s="1" t="s">
        <v>151</v>
      </c>
      <c r="C1193" s="1" t="s">
        <v>2893</v>
      </c>
      <c r="H1193" s="2">
        <f t="shared" si="18"/>
        <v>0</v>
      </c>
    </row>
    <row r="1194" spans="1:8">
      <c r="A1194" s="1" t="s">
        <v>2935</v>
      </c>
      <c r="B1194" s="1" t="s">
        <v>152</v>
      </c>
      <c r="C1194" s="1" t="s">
        <v>2893</v>
      </c>
      <c r="H1194" s="2">
        <f t="shared" si="18"/>
        <v>0</v>
      </c>
    </row>
    <row r="1195" spans="1:8">
      <c r="A1195" s="1" t="s">
        <v>2935</v>
      </c>
      <c r="B1195" s="1" t="s">
        <v>153</v>
      </c>
      <c r="C1195" s="1" t="s">
        <v>2893</v>
      </c>
      <c r="H1195" s="2">
        <f t="shared" si="18"/>
        <v>0</v>
      </c>
    </row>
    <row r="1196" spans="1:8">
      <c r="A1196" s="1" t="s">
        <v>2935</v>
      </c>
      <c r="B1196" s="1" t="s">
        <v>154</v>
      </c>
      <c r="C1196" s="1" t="s">
        <v>2893</v>
      </c>
      <c r="H1196" s="2">
        <f t="shared" si="18"/>
        <v>0</v>
      </c>
    </row>
    <row r="1197" spans="1:8">
      <c r="A1197" s="1" t="s">
        <v>2935</v>
      </c>
      <c r="B1197" s="1" t="s">
        <v>155</v>
      </c>
      <c r="C1197" s="1" t="s">
        <v>2893</v>
      </c>
      <c r="H1197" s="2">
        <f t="shared" si="18"/>
        <v>0</v>
      </c>
    </row>
    <row r="1198" spans="1:8">
      <c r="A1198" s="1" t="s">
        <v>2935</v>
      </c>
      <c r="B1198" s="1" t="s">
        <v>156</v>
      </c>
      <c r="C1198" s="1" t="s">
        <v>2893</v>
      </c>
      <c r="H1198" s="2">
        <f t="shared" si="18"/>
        <v>0</v>
      </c>
    </row>
    <row r="1199" spans="1:8">
      <c r="A1199" s="1" t="s">
        <v>2935</v>
      </c>
      <c r="B1199" s="1" t="s">
        <v>157</v>
      </c>
      <c r="C1199" s="1" t="s">
        <v>2893</v>
      </c>
      <c r="H1199" s="2">
        <f t="shared" si="18"/>
        <v>0</v>
      </c>
    </row>
    <row r="1200" spans="1:8">
      <c r="A1200" s="1" t="s">
        <v>2935</v>
      </c>
      <c r="B1200" s="1" t="s">
        <v>158</v>
      </c>
      <c r="C1200" s="1" t="s">
        <v>2893</v>
      </c>
      <c r="H1200" s="2">
        <f t="shared" si="18"/>
        <v>0</v>
      </c>
    </row>
    <row r="1201" spans="1:8">
      <c r="A1201" s="1" t="s">
        <v>2935</v>
      </c>
      <c r="B1201" s="1" t="s">
        <v>159</v>
      </c>
      <c r="C1201" s="1" t="s">
        <v>2893</v>
      </c>
      <c r="H1201" s="2">
        <f t="shared" si="18"/>
        <v>0</v>
      </c>
    </row>
    <row r="1202" spans="1:8">
      <c r="A1202" s="1" t="s">
        <v>2935</v>
      </c>
      <c r="B1202" s="1" t="s">
        <v>148</v>
      </c>
      <c r="C1202" s="1" t="s">
        <v>2904</v>
      </c>
      <c r="D1202" s="2">
        <v>0</v>
      </c>
      <c r="G1202" s="2">
        <v>16498503.08</v>
      </c>
      <c r="H1202" s="2">
        <f t="shared" si="18"/>
        <v>16498503.08</v>
      </c>
    </row>
    <row r="1203" spans="1:8">
      <c r="A1203" s="1" t="s">
        <v>2935</v>
      </c>
      <c r="B1203" s="1" t="s">
        <v>149</v>
      </c>
      <c r="C1203" s="1" t="s">
        <v>2904</v>
      </c>
      <c r="D1203" s="2">
        <v>0</v>
      </c>
      <c r="G1203" s="2">
        <v>4990483.13</v>
      </c>
      <c r="H1203" s="2">
        <f t="shared" si="18"/>
        <v>4990483.13</v>
      </c>
    </row>
    <row r="1204" spans="1:8">
      <c r="A1204" s="1" t="s">
        <v>2935</v>
      </c>
      <c r="B1204" s="1" t="s">
        <v>150</v>
      </c>
      <c r="C1204" s="1" t="s">
        <v>2904</v>
      </c>
      <c r="D1204" s="2">
        <v>0</v>
      </c>
      <c r="G1204" s="2">
        <v>8409865.57</v>
      </c>
      <c r="H1204" s="2">
        <f t="shared" si="18"/>
        <v>8409865.57</v>
      </c>
    </row>
    <row r="1205" spans="1:8">
      <c r="A1205" s="1" t="s">
        <v>2935</v>
      </c>
      <c r="B1205" s="1" t="s">
        <v>151</v>
      </c>
      <c r="C1205" s="1" t="s">
        <v>2904</v>
      </c>
      <c r="H1205" s="2">
        <f t="shared" si="18"/>
        <v>0</v>
      </c>
    </row>
    <row r="1206" spans="1:8">
      <c r="A1206" s="1" t="s">
        <v>2935</v>
      </c>
      <c r="B1206" s="1" t="s">
        <v>152</v>
      </c>
      <c r="C1206" s="1" t="s">
        <v>2904</v>
      </c>
      <c r="H1206" s="2">
        <f t="shared" si="18"/>
        <v>0</v>
      </c>
    </row>
    <row r="1207" spans="1:8">
      <c r="A1207" s="1" t="s">
        <v>2935</v>
      </c>
      <c r="B1207" s="1" t="s">
        <v>153</v>
      </c>
      <c r="C1207" s="1" t="s">
        <v>2904</v>
      </c>
      <c r="H1207" s="2">
        <f t="shared" si="18"/>
        <v>0</v>
      </c>
    </row>
    <row r="1208" spans="1:8">
      <c r="A1208" s="1" t="s">
        <v>2935</v>
      </c>
      <c r="B1208" s="1" t="s">
        <v>154</v>
      </c>
      <c r="C1208" s="1" t="s">
        <v>2904</v>
      </c>
      <c r="H1208" s="2">
        <f t="shared" si="18"/>
        <v>0</v>
      </c>
    </row>
    <row r="1209" spans="1:8">
      <c r="A1209" s="1" t="s">
        <v>2935</v>
      </c>
      <c r="B1209" s="1" t="s">
        <v>155</v>
      </c>
      <c r="C1209" s="1" t="s">
        <v>2904</v>
      </c>
      <c r="H1209" s="2">
        <f t="shared" si="18"/>
        <v>0</v>
      </c>
    </row>
    <row r="1210" spans="1:8">
      <c r="A1210" s="1" t="s">
        <v>2935</v>
      </c>
      <c r="B1210" s="1" t="s">
        <v>156</v>
      </c>
      <c r="C1210" s="1" t="s">
        <v>2904</v>
      </c>
      <c r="H1210" s="2">
        <f t="shared" si="18"/>
        <v>0</v>
      </c>
    </row>
    <row r="1211" spans="1:8">
      <c r="A1211" s="1" t="s">
        <v>2935</v>
      </c>
      <c r="B1211" s="1" t="s">
        <v>157</v>
      </c>
      <c r="C1211" s="1" t="s">
        <v>2904</v>
      </c>
      <c r="H1211" s="2">
        <f t="shared" si="18"/>
        <v>0</v>
      </c>
    </row>
    <row r="1212" spans="1:8">
      <c r="A1212" s="1" t="s">
        <v>2935</v>
      </c>
      <c r="B1212" s="1" t="s">
        <v>158</v>
      </c>
      <c r="C1212" s="1" t="s">
        <v>2904</v>
      </c>
      <c r="H1212" s="2">
        <f t="shared" ref="H1212:H1275" si="19">SUM(D1212:G1212)</f>
        <v>0</v>
      </c>
    </row>
    <row r="1213" spans="1:8">
      <c r="A1213" s="1" t="s">
        <v>2935</v>
      </c>
      <c r="B1213" s="1" t="s">
        <v>159</v>
      </c>
      <c r="C1213" s="1" t="s">
        <v>2904</v>
      </c>
      <c r="H1213" s="2">
        <f t="shared" si="19"/>
        <v>0</v>
      </c>
    </row>
    <row r="1214" spans="1:8">
      <c r="A1214" s="1" t="s">
        <v>2935</v>
      </c>
      <c r="B1214" s="1" t="s">
        <v>148</v>
      </c>
      <c r="C1214" s="1" t="s">
        <v>2926</v>
      </c>
      <c r="D1214" s="2">
        <v>0</v>
      </c>
      <c r="G1214" s="2">
        <v>16616020.76</v>
      </c>
      <c r="H1214" s="2">
        <f t="shared" si="19"/>
        <v>16616020.76</v>
      </c>
    </row>
    <row r="1215" spans="1:8">
      <c r="A1215" s="1" t="s">
        <v>2935</v>
      </c>
      <c r="B1215" s="1" t="s">
        <v>149</v>
      </c>
      <c r="C1215" s="1" t="s">
        <v>2926</v>
      </c>
      <c r="D1215" s="2">
        <v>0</v>
      </c>
      <c r="G1215" s="2">
        <v>5479869.96</v>
      </c>
      <c r="H1215" s="2">
        <f t="shared" si="19"/>
        <v>5479869.96</v>
      </c>
    </row>
    <row r="1216" spans="1:8">
      <c r="A1216" s="1" t="s">
        <v>2935</v>
      </c>
      <c r="B1216" s="1" t="s">
        <v>150</v>
      </c>
      <c r="C1216" s="1" t="s">
        <v>2926</v>
      </c>
      <c r="D1216" s="2">
        <v>0</v>
      </c>
      <c r="G1216" s="2">
        <v>7934290.19</v>
      </c>
      <c r="H1216" s="2">
        <f t="shared" si="19"/>
        <v>7934290.19</v>
      </c>
    </row>
    <row r="1217" spans="1:8">
      <c r="A1217" s="1" t="s">
        <v>2935</v>
      </c>
      <c r="B1217" s="1" t="s">
        <v>151</v>
      </c>
      <c r="C1217" s="1" t="s">
        <v>2926</v>
      </c>
      <c r="H1217" s="2">
        <f t="shared" si="19"/>
        <v>0</v>
      </c>
    </row>
    <row r="1218" spans="1:8">
      <c r="A1218" s="1" t="s">
        <v>2935</v>
      </c>
      <c r="B1218" s="1" t="s">
        <v>152</v>
      </c>
      <c r="C1218" s="1" t="s">
        <v>2926</v>
      </c>
      <c r="H1218" s="2">
        <f t="shared" si="19"/>
        <v>0</v>
      </c>
    </row>
    <row r="1219" spans="1:8">
      <c r="A1219" s="1" t="s">
        <v>2935</v>
      </c>
      <c r="B1219" s="1" t="s">
        <v>153</v>
      </c>
      <c r="C1219" s="1" t="s">
        <v>2926</v>
      </c>
      <c r="H1219" s="2">
        <f t="shared" si="19"/>
        <v>0</v>
      </c>
    </row>
    <row r="1220" spans="1:8">
      <c r="A1220" s="1" t="s">
        <v>2935</v>
      </c>
      <c r="B1220" s="1" t="s">
        <v>154</v>
      </c>
      <c r="C1220" s="1" t="s">
        <v>2926</v>
      </c>
      <c r="H1220" s="2">
        <f t="shared" si="19"/>
        <v>0</v>
      </c>
    </row>
    <row r="1221" spans="1:8">
      <c r="A1221" s="1" t="s">
        <v>2935</v>
      </c>
      <c r="B1221" s="1" t="s">
        <v>155</v>
      </c>
      <c r="C1221" s="1" t="s">
        <v>2926</v>
      </c>
      <c r="H1221" s="2">
        <f t="shared" si="19"/>
        <v>0</v>
      </c>
    </row>
    <row r="1222" spans="1:8">
      <c r="A1222" s="1" t="s">
        <v>2935</v>
      </c>
      <c r="B1222" s="1" t="s">
        <v>156</v>
      </c>
      <c r="C1222" s="1" t="s">
        <v>2926</v>
      </c>
      <c r="H1222" s="2">
        <f t="shared" si="19"/>
        <v>0</v>
      </c>
    </row>
    <row r="1223" spans="1:8">
      <c r="A1223" s="1" t="s">
        <v>2935</v>
      </c>
      <c r="B1223" s="1" t="s">
        <v>157</v>
      </c>
      <c r="C1223" s="1" t="s">
        <v>2926</v>
      </c>
      <c r="H1223" s="2">
        <f t="shared" si="19"/>
        <v>0</v>
      </c>
    </row>
    <row r="1224" spans="1:8">
      <c r="A1224" s="1" t="s">
        <v>2935</v>
      </c>
      <c r="B1224" s="1" t="s">
        <v>158</v>
      </c>
      <c r="C1224" s="1" t="s">
        <v>2926</v>
      </c>
      <c r="H1224" s="2">
        <f t="shared" si="19"/>
        <v>0</v>
      </c>
    </row>
    <row r="1225" spans="1:8">
      <c r="A1225" s="1" t="s">
        <v>2935</v>
      </c>
      <c r="B1225" s="1" t="s">
        <v>159</v>
      </c>
      <c r="C1225" s="1" t="s">
        <v>2926</v>
      </c>
      <c r="H1225" s="2">
        <f t="shared" si="19"/>
        <v>0</v>
      </c>
    </row>
    <row r="1226" spans="1:8">
      <c r="A1226" s="1" t="s">
        <v>2918</v>
      </c>
      <c r="B1226" s="1" t="s">
        <v>148</v>
      </c>
      <c r="C1226" s="1" t="s">
        <v>2903</v>
      </c>
      <c r="H1226" s="2">
        <f t="shared" si="19"/>
        <v>0</v>
      </c>
    </row>
    <row r="1227" spans="1:8">
      <c r="A1227" s="1" t="s">
        <v>2918</v>
      </c>
      <c r="B1227" s="1" t="s">
        <v>149</v>
      </c>
      <c r="C1227" s="1" t="s">
        <v>2903</v>
      </c>
      <c r="H1227" s="2">
        <f t="shared" si="19"/>
        <v>0</v>
      </c>
    </row>
    <row r="1228" spans="1:8">
      <c r="A1228" s="1" t="s">
        <v>2918</v>
      </c>
      <c r="B1228" s="1" t="s">
        <v>150</v>
      </c>
      <c r="C1228" s="1" t="s">
        <v>2903</v>
      </c>
      <c r="H1228" s="2">
        <f t="shared" si="19"/>
        <v>0</v>
      </c>
    </row>
    <row r="1229" spans="1:8">
      <c r="A1229" s="1" t="s">
        <v>2918</v>
      </c>
      <c r="B1229" s="1" t="s">
        <v>151</v>
      </c>
      <c r="C1229" s="1" t="s">
        <v>2903</v>
      </c>
      <c r="H1229" s="2">
        <f t="shared" si="19"/>
        <v>0</v>
      </c>
    </row>
    <row r="1230" spans="1:8">
      <c r="A1230" s="1" t="s">
        <v>2918</v>
      </c>
      <c r="B1230" s="1" t="s">
        <v>152</v>
      </c>
      <c r="C1230" s="1" t="s">
        <v>2903</v>
      </c>
      <c r="H1230" s="2">
        <f t="shared" si="19"/>
        <v>0</v>
      </c>
    </row>
    <row r="1231" spans="1:8">
      <c r="A1231" s="1" t="s">
        <v>2918</v>
      </c>
      <c r="B1231" s="1" t="s">
        <v>153</v>
      </c>
      <c r="C1231" s="1" t="s">
        <v>2903</v>
      </c>
      <c r="H1231" s="2">
        <f t="shared" si="19"/>
        <v>0</v>
      </c>
    </row>
    <row r="1232" spans="1:8">
      <c r="A1232" s="1" t="s">
        <v>2918</v>
      </c>
      <c r="B1232" s="1" t="s">
        <v>154</v>
      </c>
      <c r="C1232" s="1" t="s">
        <v>2903</v>
      </c>
      <c r="H1232" s="2">
        <f t="shared" si="19"/>
        <v>0</v>
      </c>
    </row>
    <row r="1233" spans="1:8">
      <c r="A1233" s="1" t="s">
        <v>2918</v>
      </c>
      <c r="B1233" s="1" t="s">
        <v>155</v>
      </c>
      <c r="C1233" s="1" t="s">
        <v>2903</v>
      </c>
      <c r="H1233" s="2">
        <f t="shared" si="19"/>
        <v>0</v>
      </c>
    </row>
    <row r="1234" spans="1:8">
      <c r="A1234" s="1" t="s">
        <v>2918</v>
      </c>
      <c r="B1234" s="1" t="s">
        <v>156</v>
      </c>
      <c r="C1234" s="1" t="s">
        <v>2903</v>
      </c>
      <c r="H1234" s="2">
        <f t="shared" si="19"/>
        <v>0</v>
      </c>
    </row>
    <row r="1235" spans="1:8">
      <c r="A1235" s="1" t="s">
        <v>2918</v>
      </c>
      <c r="B1235" s="1" t="s">
        <v>157</v>
      </c>
      <c r="C1235" s="1" t="s">
        <v>2903</v>
      </c>
      <c r="H1235" s="2">
        <f t="shared" si="19"/>
        <v>0</v>
      </c>
    </row>
    <row r="1236" spans="1:8">
      <c r="A1236" s="1" t="s">
        <v>2918</v>
      </c>
      <c r="B1236" s="1" t="s">
        <v>158</v>
      </c>
      <c r="C1236" s="1" t="s">
        <v>2903</v>
      </c>
      <c r="H1236" s="2">
        <f t="shared" si="19"/>
        <v>0</v>
      </c>
    </row>
    <row r="1237" spans="1:8">
      <c r="A1237" s="1" t="s">
        <v>2918</v>
      </c>
      <c r="B1237" s="1" t="s">
        <v>159</v>
      </c>
      <c r="C1237" s="1" t="s">
        <v>2903</v>
      </c>
      <c r="H1237" s="2">
        <f t="shared" si="19"/>
        <v>0</v>
      </c>
    </row>
    <row r="1238" spans="1:8">
      <c r="A1238" s="1" t="s">
        <v>2918</v>
      </c>
      <c r="B1238" s="1" t="s">
        <v>148</v>
      </c>
      <c r="C1238" s="1" t="s">
        <v>2901</v>
      </c>
      <c r="F1238" s="2">
        <v>249341.89</v>
      </c>
      <c r="H1238" s="2">
        <f t="shared" si="19"/>
        <v>249341.89</v>
      </c>
    </row>
    <row r="1239" spans="1:8">
      <c r="A1239" s="1" t="s">
        <v>2918</v>
      </c>
      <c r="B1239" s="1" t="s">
        <v>149</v>
      </c>
      <c r="C1239" s="1" t="s">
        <v>2901</v>
      </c>
      <c r="F1239" s="2">
        <v>213645.21</v>
      </c>
      <c r="H1239" s="2">
        <f t="shared" si="19"/>
        <v>213645.21</v>
      </c>
    </row>
    <row r="1240" spans="1:8">
      <c r="A1240" s="1" t="s">
        <v>2918</v>
      </c>
      <c r="B1240" s="1" t="s">
        <v>150</v>
      </c>
      <c r="C1240" s="1" t="s">
        <v>2901</v>
      </c>
      <c r="F1240" s="2">
        <v>1079537.41</v>
      </c>
      <c r="H1240" s="2">
        <f t="shared" si="19"/>
        <v>1079537.41</v>
      </c>
    </row>
    <row r="1241" spans="1:8">
      <c r="A1241" s="1" t="s">
        <v>2918</v>
      </c>
      <c r="B1241" s="1" t="s">
        <v>151</v>
      </c>
      <c r="C1241" s="1" t="s">
        <v>2901</v>
      </c>
      <c r="H1241" s="2">
        <f t="shared" si="19"/>
        <v>0</v>
      </c>
    </row>
    <row r="1242" spans="1:8">
      <c r="A1242" s="1" t="s">
        <v>2918</v>
      </c>
      <c r="B1242" s="1" t="s">
        <v>152</v>
      </c>
      <c r="C1242" s="1" t="s">
        <v>2901</v>
      </c>
      <c r="H1242" s="2">
        <f t="shared" si="19"/>
        <v>0</v>
      </c>
    </row>
    <row r="1243" spans="1:8">
      <c r="A1243" s="1" t="s">
        <v>2918</v>
      </c>
      <c r="B1243" s="1" t="s">
        <v>153</v>
      </c>
      <c r="C1243" s="1" t="s">
        <v>2901</v>
      </c>
      <c r="H1243" s="2">
        <f t="shared" si="19"/>
        <v>0</v>
      </c>
    </row>
    <row r="1244" spans="1:8">
      <c r="A1244" s="1" t="s">
        <v>2918</v>
      </c>
      <c r="B1244" s="1" t="s">
        <v>154</v>
      </c>
      <c r="C1244" s="1" t="s">
        <v>2901</v>
      </c>
      <c r="H1244" s="2">
        <f t="shared" si="19"/>
        <v>0</v>
      </c>
    </row>
    <row r="1245" spans="1:8">
      <c r="A1245" s="1" t="s">
        <v>2918</v>
      </c>
      <c r="B1245" s="1" t="s">
        <v>155</v>
      </c>
      <c r="C1245" s="1" t="s">
        <v>2901</v>
      </c>
      <c r="H1245" s="2">
        <f t="shared" si="19"/>
        <v>0</v>
      </c>
    </row>
    <row r="1246" spans="1:8">
      <c r="A1246" s="1" t="s">
        <v>2918</v>
      </c>
      <c r="B1246" s="1" t="s">
        <v>156</v>
      </c>
      <c r="C1246" s="1" t="s">
        <v>2901</v>
      </c>
      <c r="H1246" s="2">
        <f t="shared" si="19"/>
        <v>0</v>
      </c>
    </row>
    <row r="1247" spans="1:8">
      <c r="A1247" s="1" t="s">
        <v>2918</v>
      </c>
      <c r="B1247" s="1" t="s">
        <v>157</v>
      </c>
      <c r="C1247" s="1" t="s">
        <v>2901</v>
      </c>
      <c r="H1247" s="2">
        <f t="shared" si="19"/>
        <v>0</v>
      </c>
    </row>
    <row r="1248" spans="1:8">
      <c r="A1248" s="1" t="s">
        <v>2918</v>
      </c>
      <c r="B1248" s="1" t="s">
        <v>158</v>
      </c>
      <c r="C1248" s="1" t="s">
        <v>2901</v>
      </c>
      <c r="H1248" s="2">
        <f t="shared" si="19"/>
        <v>0</v>
      </c>
    </row>
    <row r="1249" spans="1:8">
      <c r="A1249" s="1" t="s">
        <v>2918</v>
      </c>
      <c r="B1249" s="1" t="s">
        <v>159</v>
      </c>
      <c r="C1249" s="1" t="s">
        <v>2901</v>
      </c>
      <c r="H1249" s="2">
        <f t="shared" si="19"/>
        <v>0</v>
      </c>
    </row>
    <row r="1250" spans="1:8">
      <c r="A1250" s="1" t="s">
        <v>2918</v>
      </c>
      <c r="B1250" s="1" t="s">
        <v>148</v>
      </c>
      <c r="C1250" s="1" t="s">
        <v>2922</v>
      </c>
      <c r="H1250" s="2">
        <f t="shared" si="19"/>
        <v>0</v>
      </c>
    </row>
    <row r="1251" spans="1:8">
      <c r="A1251" s="1" t="s">
        <v>2918</v>
      </c>
      <c r="B1251" s="1" t="s">
        <v>149</v>
      </c>
      <c r="C1251" s="1" t="s">
        <v>2943</v>
      </c>
      <c r="H1251" s="2">
        <f t="shared" si="19"/>
        <v>0</v>
      </c>
    </row>
    <row r="1252" spans="1:8">
      <c r="A1252" s="1" t="s">
        <v>2918</v>
      </c>
      <c r="B1252" s="1" t="s">
        <v>150</v>
      </c>
      <c r="C1252" s="1" t="s">
        <v>2943</v>
      </c>
      <c r="H1252" s="2">
        <f t="shared" si="19"/>
        <v>0</v>
      </c>
    </row>
    <row r="1253" spans="1:8">
      <c r="A1253" s="1" t="s">
        <v>2918</v>
      </c>
      <c r="B1253" s="1" t="s">
        <v>151</v>
      </c>
      <c r="C1253" s="1" t="s">
        <v>2943</v>
      </c>
      <c r="H1253" s="2">
        <f t="shared" si="19"/>
        <v>0</v>
      </c>
    </row>
    <row r="1254" spans="1:8">
      <c r="A1254" s="1" t="s">
        <v>2918</v>
      </c>
      <c r="B1254" s="1" t="s">
        <v>152</v>
      </c>
      <c r="C1254" s="1" t="s">
        <v>2943</v>
      </c>
      <c r="H1254" s="2">
        <f t="shared" si="19"/>
        <v>0</v>
      </c>
    </row>
    <row r="1255" spans="1:8">
      <c r="A1255" s="1" t="s">
        <v>2918</v>
      </c>
      <c r="B1255" s="1" t="s">
        <v>153</v>
      </c>
      <c r="C1255" s="1" t="s">
        <v>2943</v>
      </c>
      <c r="H1255" s="2">
        <f t="shared" si="19"/>
        <v>0</v>
      </c>
    </row>
    <row r="1256" spans="1:8">
      <c r="A1256" s="1" t="s">
        <v>2918</v>
      </c>
      <c r="B1256" s="1" t="s">
        <v>154</v>
      </c>
      <c r="C1256" s="1" t="s">
        <v>2943</v>
      </c>
      <c r="H1256" s="2">
        <f t="shared" si="19"/>
        <v>0</v>
      </c>
    </row>
    <row r="1257" spans="1:8">
      <c r="A1257" s="1" t="s">
        <v>2918</v>
      </c>
      <c r="B1257" s="1" t="s">
        <v>155</v>
      </c>
      <c r="C1257" s="1" t="s">
        <v>2943</v>
      </c>
      <c r="H1257" s="2">
        <f t="shared" si="19"/>
        <v>0</v>
      </c>
    </row>
    <row r="1258" spans="1:8">
      <c r="A1258" s="1" t="s">
        <v>2918</v>
      </c>
      <c r="B1258" s="1" t="s">
        <v>156</v>
      </c>
      <c r="C1258" s="1" t="s">
        <v>2943</v>
      </c>
      <c r="H1258" s="2">
        <f t="shared" si="19"/>
        <v>0</v>
      </c>
    </row>
    <row r="1259" spans="1:8">
      <c r="A1259" s="1" t="s">
        <v>2918</v>
      </c>
      <c r="B1259" s="1" t="s">
        <v>157</v>
      </c>
      <c r="C1259" s="1" t="s">
        <v>2943</v>
      </c>
      <c r="H1259" s="2">
        <f t="shared" si="19"/>
        <v>0</v>
      </c>
    </row>
    <row r="1260" spans="1:8">
      <c r="A1260" s="1" t="s">
        <v>2918</v>
      </c>
      <c r="B1260" s="1" t="s">
        <v>158</v>
      </c>
      <c r="C1260" s="1" t="s">
        <v>2943</v>
      </c>
      <c r="H1260" s="2">
        <f t="shared" si="19"/>
        <v>0</v>
      </c>
    </row>
    <row r="1261" spans="1:8">
      <c r="A1261" s="1" t="s">
        <v>2918</v>
      </c>
      <c r="B1261" s="1" t="s">
        <v>159</v>
      </c>
      <c r="C1261" s="1" t="s">
        <v>2943</v>
      </c>
      <c r="H1261" s="2">
        <f t="shared" si="19"/>
        <v>0</v>
      </c>
    </row>
    <row r="1262" spans="1:8">
      <c r="A1262" s="1" t="s">
        <v>2918</v>
      </c>
      <c r="B1262" s="1" t="s">
        <v>148</v>
      </c>
      <c r="C1262" s="1" t="s">
        <v>2907</v>
      </c>
      <c r="G1262" s="2">
        <v>1944003.21</v>
      </c>
      <c r="H1262" s="2">
        <f t="shared" si="19"/>
        <v>1944003.21</v>
      </c>
    </row>
    <row r="1263" spans="1:8">
      <c r="A1263" s="1" t="s">
        <v>2918</v>
      </c>
      <c r="B1263" s="1" t="s">
        <v>149</v>
      </c>
      <c r="C1263" s="1" t="s">
        <v>2907</v>
      </c>
      <c r="G1263" s="2">
        <v>513133.98</v>
      </c>
      <c r="H1263" s="2">
        <f t="shared" si="19"/>
        <v>513133.98</v>
      </c>
    </row>
    <row r="1264" spans="1:8">
      <c r="A1264" s="1" t="s">
        <v>2918</v>
      </c>
      <c r="B1264" s="1" t="s">
        <v>150</v>
      </c>
      <c r="C1264" s="1" t="s">
        <v>2907</v>
      </c>
      <c r="G1264" s="2">
        <v>1552374.02</v>
      </c>
      <c r="H1264" s="2">
        <f t="shared" si="19"/>
        <v>1552374.02</v>
      </c>
    </row>
    <row r="1265" spans="1:8">
      <c r="A1265" s="1" t="s">
        <v>2918</v>
      </c>
      <c r="B1265" s="1" t="s">
        <v>151</v>
      </c>
      <c r="C1265" s="1" t="s">
        <v>2907</v>
      </c>
      <c r="H1265" s="2">
        <f t="shared" si="19"/>
        <v>0</v>
      </c>
    </row>
    <row r="1266" spans="1:8">
      <c r="A1266" s="1" t="s">
        <v>2918</v>
      </c>
      <c r="B1266" s="1" t="s">
        <v>152</v>
      </c>
      <c r="C1266" s="1" t="s">
        <v>2907</v>
      </c>
      <c r="H1266" s="2">
        <f t="shared" si="19"/>
        <v>0</v>
      </c>
    </row>
    <row r="1267" spans="1:8">
      <c r="A1267" s="1" t="s">
        <v>2918</v>
      </c>
      <c r="B1267" s="1" t="s">
        <v>153</v>
      </c>
      <c r="C1267" s="1" t="s">
        <v>2907</v>
      </c>
      <c r="H1267" s="2">
        <f t="shared" si="19"/>
        <v>0</v>
      </c>
    </row>
    <row r="1268" spans="1:8">
      <c r="A1268" s="1" t="s">
        <v>2918</v>
      </c>
      <c r="B1268" s="1" t="s">
        <v>154</v>
      </c>
      <c r="C1268" s="1" t="s">
        <v>2907</v>
      </c>
      <c r="H1268" s="2">
        <f t="shared" si="19"/>
        <v>0</v>
      </c>
    </row>
    <row r="1269" spans="1:8">
      <c r="A1269" s="1" t="s">
        <v>2918</v>
      </c>
      <c r="B1269" s="1" t="s">
        <v>155</v>
      </c>
      <c r="C1269" s="1" t="s">
        <v>2907</v>
      </c>
      <c r="H1269" s="2">
        <f t="shared" si="19"/>
        <v>0</v>
      </c>
    </row>
    <row r="1270" spans="1:8">
      <c r="A1270" s="1" t="s">
        <v>2918</v>
      </c>
      <c r="B1270" s="1" t="s">
        <v>156</v>
      </c>
      <c r="C1270" s="1" t="s">
        <v>2907</v>
      </c>
      <c r="H1270" s="2">
        <f t="shared" si="19"/>
        <v>0</v>
      </c>
    </row>
    <row r="1271" spans="1:8">
      <c r="A1271" s="1" t="s">
        <v>2918</v>
      </c>
      <c r="B1271" s="1" t="s">
        <v>157</v>
      </c>
      <c r="C1271" s="1" t="s">
        <v>2907</v>
      </c>
      <c r="H1271" s="2">
        <f t="shared" si="19"/>
        <v>0</v>
      </c>
    </row>
    <row r="1272" spans="1:8">
      <c r="A1272" s="1" t="s">
        <v>2918</v>
      </c>
      <c r="B1272" s="1" t="s">
        <v>158</v>
      </c>
      <c r="C1272" s="1" t="s">
        <v>2907</v>
      </c>
      <c r="H1272" s="2">
        <f t="shared" si="19"/>
        <v>0</v>
      </c>
    </row>
    <row r="1273" spans="1:8">
      <c r="A1273" s="1" t="s">
        <v>2918</v>
      </c>
      <c r="B1273" s="1" t="s">
        <v>159</v>
      </c>
      <c r="C1273" s="1" t="s">
        <v>2907</v>
      </c>
      <c r="H1273" s="2">
        <f t="shared" si="19"/>
        <v>0</v>
      </c>
    </row>
    <row r="1274" spans="1:8">
      <c r="A1274" s="1" t="s">
        <v>2918</v>
      </c>
      <c r="B1274" s="1" t="s">
        <v>148</v>
      </c>
      <c r="C1274" s="1" t="s">
        <v>2933</v>
      </c>
      <c r="G1274" s="2">
        <v>1944003.21</v>
      </c>
      <c r="H1274" s="2">
        <f t="shared" si="19"/>
        <v>1944003.21</v>
      </c>
    </row>
    <row r="1275" spans="1:8">
      <c r="A1275" s="1" t="s">
        <v>2918</v>
      </c>
      <c r="B1275" s="1" t="s">
        <v>149</v>
      </c>
      <c r="C1275" s="1" t="s">
        <v>2933</v>
      </c>
      <c r="G1275" s="2">
        <v>513139.15</v>
      </c>
      <c r="H1275" s="2">
        <f t="shared" si="19"/>
        <v>513139.15</v>
      </c>
    </row>
    <row r="1276" spans="1:8">
      <c r="A1276" s="1" t="s">
        <v>2918</v>
      </c>
      <c r="B1276" s="1" t="s">
        <v>150</v>
      </c>
      <c r="C1276" s="1" t="s">
        <v>2933</v>
      </c>
      <c r="G1276" s="2">
        <v>1552374.02</v>
      </c>
      <c r="H1276" s="2">
        <f t="shared" ref="H1276:H1333" si="20">SUM(D1276:G1276)</f>
        <v>1552374.02</v>
      </c>
    </row>
    <row r="1277" spans="1:8">
      <c r="A1277" s="1" t="s">
        <v>2918</v>
      </c>
      <c r="B1277" s="1" t="s">
        <v>151</v>
      </c>
      <c r="C1277" s="1" t="s">
        <v>2933</v>
      </c>
      <c r="H1277" s="2">
        <f t="shared" si="20"/>
        <v>0</v>
      </c>
    </row>
    <row r="1278" spans="1:8">
      <c r="A1278" s="1" t="s">
        <v>2918</v>
      </c>
      <c r="B1278" s="1" t="s">
        <v>152</v>
      </c>
      <c r="C1278" s="1" t="s">
        <v>2933</v>
      </c>
      <c r="H1278" s="2">
        <f t="shared" si="20"/>
        <v>0</v>
      </c>
    </row>
    <row r="1279" spans="1:8">
      <c r="A1279" s="1" t="s">
        <v>2918</v>
      </c>
      <c r="B1279" s="1" t="s">
        <v>153</v>
      </c>
      <c r="C1279" s="1" t="s">
        <v>2933</v>
      </c>
      <c r="H1279" s="2">
        <f t="shared" si="20"/>
        <v>0</v>
      </c>
    </row>
    <row r="1280" spans="1:8">
      <c r="A1280" s="1" t="s">
        <v>2918</v>
      </c>
      <c r="B1280" s="1" t="s">
        <v>154</v>
      </c>
      <c r="C1280" s="1" t="s">
        <v>2933</v>
      </c>
      <c r="H1280" s="2">
        <f t="shared" si="20"/>
        <v>0</v>
      </c>
    </row>
    <row r="1281" spans="1:8">
      <c r="A1281" s="1" t="s">
        <v>2918</v>
      </c>
      <c r="B1281" s="1" t="s">
        <v>155</v>
      </c>
      <c r="C1281" s="1" t="s">
        <v>2933</v>
      </c>
      <c r="H1281" s="2">
        <f t="shared" si="20"/>
        <v>0</v>
      </c>
    </row>
    <row r="1282" spans="1:8">
      <c r="A1282" s="1" t="s">
        <v>2918</v>
      </c>
      <c r="B1282" s="1" t="s">
        <v>156</v>
      </c>
      <c r="C1282" s="1" t="s">
        <v>2933</v>
      </c>
      <c r="H1282" s="2">
        <f t="shared" si="20"/>
        <v>0</v>
      </c>
    </row>
    <row r="1283" spans="1:8">
      <c r="A1283" s="1" t="s">
        <v>2918</v>
      </c>
      <c r="B1283" s="1" t="s">
        <v>157</v>
      </c>
      <c r="C1283" s="1" t="s">
        <v>2933</v>
      </c>
      <c r="H1283" s="2">
        <f t="shared" si="20"/>
        <v>0</v>
      </c>
    </row>
    <row r="1284" spans="1:8">
      <c r="A1284" s="1" t="s">
        <v>2918</v>
      </c>
      <c r="B1284" s="1" t="s">
        <v>158</v>
      </c>
      <c r="C1284" s="1" t="s">
        <v>2933</v>
      </c>
      <c r="H1284" s="2">
        <f t="shared" si="20"/>
        <v>0</v>
      </c>
    </row>
    <row r="1285" spans="1:8">
      <c r="A1285" s="1" t="s">
        <v>2918</v>
      </c>
      <c r="B1285" s="1" t="s">
        <v>159</v>
      </c>
      <c r="C1285" s="1" t="s">
        <v>2933</v>
      </c>
      <c r="H1285" s="2">
        <f t="shared" si="20"/>
        <v>0</v>
      </c>
    </row>
    <row r="1286" spans="1:8">
      <c r="A1286" s="1" t="s">
        <v>2918</v>
      </c>
      <c r="B1286" s="1" t="s">
        <v>148</v>
      </c>
      <c r="C1286" s="1" t="s">
        <v>2944</v>
      </c>
      <c r="F1286" s="2">
        <v>249341.89</v>
      </c>
      <c r="H1286" s="2">
        <f t="shared" si="20"/>
        <v>249341.89</v>
      </c>
    </row>
    <row r="1287" spans="1:8">
      <c r="A1287" s="1" t="s">
        <v>2918</v>
      </c>
      <c r="B1287" s="1" t="s">
        <v>149</v>
      </c>
      <c r="C1287" s="1" t="s">
        <v>2944</v>
      </c>
      <c r="F1287" s="2">
        <v>213645.21</v>
      </c>
      <c r="H1287" s="2">
        <f t="shared" si="20"/>
        <v>213645.21</v>
      </c>
    </row>
    <row r="1288" spans="1:8">
      <c r="A1288" s="1" t="s">
        <v>2918</v>
      </c>
      <c r="B1288" s="1" t="s">
        <v>150</v>
      </c>
      <c r="C1288" s="1" t="s">
        <v>2944</v>
      </c>
      <c r="F1288" s="2">
        <v>1079537.41</v>
      </c>
      <c r="H1288" s="2">
        <f t="shared" si="20"/>
        <v>1079537.41</v>
      </c>
    </row>
    <row r="1289" spans="1:8">
      <c r="A1289" s="1" t="s">
        <v>2918</v>
      </c>
      <c r="B1289" s="1" t="s">
        <v>151</v>
      </c>
      <c r="C1289" s="1" t="s">
        <v>2944</v>
      </c>
      <c r="H1289" s="2">
        <f t="shared" si="20"/>
        <v>0</v>
      </c>
    </row>
    <row r="1290" spans="1:8">
      <c r="A1290" s="1" t="s">
        <v>2918</v>
      </c>
      <c r="B1290" s="1" t="s">
        <v>152</v>
      </c>
      <c r="C1290" s="1" t="s">
        <v>2944</v>
      </c>
      <c r="H1290" s="2">
        <f t="shared" si="20"/>
        <v>0</v>
      </c>
    </row>
    <row r="1291" spans="1:8">
      <c r="A1291" s="1" t="s">
        <v>2918</v>
      </c>
      <c r="B1291" s="1" t="s">
        <v>153</v>
      </c>
      <c r="C1291" s="1" t="s">
        <v>2944</v>
      </c>
      <c r="H1291" s="2">
        <f t="shared" si="20"/>
        <v>0</v>
      </c>
    </row>
    <row r="1292" spans="1:8">
      <c r="A1292" s="1" t="s">
        <v>2918</v>
      </c>
      <c r="B1292" s="1" t="s">
        <v>154</v>
      </c>
      <c r="C1292" s="1" t="s">
        <v>2944</v>
      </c>
      <c r="H1292" s="2">
        <f t="shared" si="20"/>
        <v>0</v>
      </c>
    </row>
    <row r="1293" spans="1:8">
      <c r="A1293" s="1" t="s">
        <v>2918</v>
      </c>
      <c r="B1293" s="1" t="s">
        <v>155</v>
      </c>
      <c r="C1293" s="1" t="s">
        <v>2944</v>
      </c>
      <c r="H1293" s="2">
        <f t="shared" si="20"/>
        <v>0</v>
      </c>
    </row>
    <row r="1294" spans="1:8">
      <c r="A1294" s="1" t="s">
        <v>2918</v>
      </c>
      <c r="B1294" s="1" t="s">
        <v>156</v>
      </c>
      <c r="C1294" s="1" t="s">
        <v>2944</v>
      </c>
      <c r="H1294" s="2">
        <f t="shared" si="20"/>
        <v>0</v>
      </c>
    </row>
    <row r="1295" spans="1:8">
      <c r="A1295" s="1" t="s">
        <v>2918</v>
      </c>
      <c r="B1295" s="1" t="s">
        <v>157</v>
      </c>
      <c r="C1295" s="1" t="s">
        <v>2944</v>
      </c>
      <c r="H1295" s="2">
        <f t="shared" si="20"/>
        <v>0</v>
      </c>
    </row>
    <row r="1296" spans="1:8">
      <c r="A1296" s="1" t="s">
        <v>2918</v>
      </c>
      <c r="B1296" s="1" t="s">
        <v>158</v>
      </c>
      <c r="C1296" s="1" t="s">
        <v>2944</v>
      </c>
      <c r="H1296" s="2">
        <f t="shared" si="20"/>
        <v>0</v>
      </c>
    </row>
    <row r="1297" spans="1:8">
      <c r="A1297" s="1" t="s">
        <v>2918</v>
      </c>
      <c r="B1297" s="1" t="s">
        <v>159</v>
      </c>
      <c r="C1297" s="1" t="s">
        <v>2944</v>
      </c>
      <c r="H1297" s="2">
        <f t="shared" si="20"/>
        <v>0</v>
      </c>
    </row>
    <row r="1298" spans="1:8">
      <c r="A1298" s="1" t="s">
        <v>2918</v>
      </c>
      <c r="B1298" s="1" t="s">
        <v>148</v>
      </c>
      <c r="C1298" s="1" t="s">
        <v>2941</v>
      </c>
      <c r="H1298" s="2">
        <f t="shared" si="20"/>
        <v>0</v>
      </c>
    </row>
    <row r="1299" spans="1:8">
      <c r="A1299" s="1" t="s">
        <v>2918</v>
      </c>
      <c r="B1299" s="1" t="s">
        <v>149</v>
      </c>
      <c r="C1299" s="1" t="s">
        <v>2941</v>
      </c>
      <c r="H1299" s="2">
        <f t="shared" si="20"/>
        <v>0</v>
      </c>
    </row>
    <row r="1300" spans="1:8">
      <c r="A1300" s="1" t="s">
        <v>2918</v>
      </c>
      <c r="B1300" s="1" t="s">
        <v>150</v>
      </c>
      <c r="C1300" s="1" t="s">
        <v>2941</v>
      </c>
      <c r="H1300" s="2">
        <f t="shared" si="20"/>
        <v>0</v>
      </c>
    </row>
    <row r="1301" spans="1:8">
      <c r="A1301" s="1" t="s">
        <v>2918</v>
      </c>
      <c r="B1301" s="1" t="s">
        <v>151</v>
      </c>
      <c r="C1301" s="1" t="s">
        <v>2941</v>
      </c>
      <c r="H1301" s="2">
        <f t="shared" si="20"/>
        <v>0</v>
      </c>
    </row>
    <row r="1302" spans="1:8">
      <c r="A1302" s="1" t="s">
        <v>2918</v>
      </c>
      <c r="B1302" s="1" t="s">
        <v>152</v>
      </c>
      <c r="C1302" s="1" t="s">
        <v>2941</v>
      </c>
      <c r="H1302" s="2">
        <f t="shared" si="20"/>
        <v>0</v>
      </c>
    </row>
    <row r="1303" spans="1:8">
      <c r="A1303" s="1" t="s">
        <v>2918</v>
      </c>
      <c r="B1303" s="1" t="s">
        <v>153</v>
      </c>
      <c r="C1303" s="1" t="s">
        <v>2941</v>
      </c>
      <c r="H1303" s="2">
        <f t="shared" si="20"/>
        <v>0</v>
      </c>
    </row>
    <row r="1304" spans="1:8">
      <c r="A1304" s="1" t="s">
        <v>2918</v>
      </c>
      <c r="B1304" s="1" t="s">
        <v>154</v>
      </c>
      <c r="C1304" s="1" t="s">
        <v>2941</v>
      </c>
      <c r="H1304" s="2">
        <f t="shared" si="20"/>
        <v>0</v>
      </c>
    </row>
    <row r="1305" spans="1:8">
      <c r="A1305" s="1" t="s">
        <v>2918</v>
      </c>
      <c r="B1305" s="1" t="s">
        <v>155</v>
      </c>
      <c r="C1305" s="1" t="s">
        <v>2941</v>
      </c>
      <c r="H1305" s="2">
        <f t="shared" si="20"/>
        <v>0</v>
      </c>
    </row>
    <row r="1306" spans="1:8">
      <c r="A1306" s="1" t="s">
        <v>2918</v>
      </c>
      <c r="B1306" s="1" t="s">
        <v>156</v>
      </c>
      <c r="C1306" s="1" t="s">
        <v>2941</v>
      </c>
      <c r="H1306" s="2">
        <f t="shared" si="20"/>
        <v>0</v>
      </c>
    </row>
    <row r="1307" spans="1:8">
      <c r="A1307" s="1" t="s">
        <v>2918</v>
      </c>
      <c r="B1307" s="1" t="s">
        <v>157</v>
      </c>
      <c r="C1307" s="1" t="s">
        <v>2941</v>
      </c>
      <c r="H1307" s="2">
        <f t="shared" si="20"/>
        <v>0</v>
      </c>
    </row>
    <row r="1308" spans="1:8">
      <c r="A1308" s="1" t="s">
        <v>2918</v>
      </c>
      <c r="B1308" s="1" t="s">
        <v>158</v>
      </c>
      <c r="C1308" s="1" t="s">
        <v>2941</v>
      </c>
      <c r="H1308" s="2">
        <f t="shared" si="20"/>
        <v>0</v>
      </c>
    </row>
    <row r="1309" spans="1:8">
      <c r="A1309" s="1" t="s">
        <v>2918</v>
      </c>
      <c r="B1309" s="1" t="s">
        <v>159</v>
      </c>
      <c r="C1309" s="1" t="s">
        <v>2941</v>
      </c>
      <c r="H1309" s="2">
        <f t="shared" si="20"/>
        <v>0</v>
      </c>
    </row>
    <row r="1310" spans="1:8">
      <c r="A1310" s="1" t="s">
        <v>2918</v>
      </c>
      <c r="B1310" s="1" t="s">
        <v>148</v>
      </c>
      <c r="C1310" s="1" t="s">
        <v>2898</v>
      </c>
      <c r="E1310" s="2">
        <v>224749.83</v>
      </c>
      <c r="F1310" s="2">
        <v>12492009.96</v>
      </c>
      <c r="G1310" s="2">
        <v>48278.34</v>
      </c>
      <c r="H1310" s="2">
        <f t="shared" si="20"/>
        <v>12765038.13</v>
      </c>
    </row>
    <row r="1311" spans="1:8">
      <c r="A1311" s="1" t="s">
        <v>2918</v>
      </c>
      <c r="B1311" s="1" t="s">
        <v>149</v>
      </c>
      <c r="C1311" s="1" t="s">
        <v>2898</v>
      </c>
      <c r="E1311" s="2">
        <v>437923.08</v>
      </c>
      <c r="F1311" s="2">
        <v>35319872.01</v>
      </c>
      <c r="G1311" s="2">
        <v>8030563.86</v>
      </c>
      <c r="H1311" s="2">
        <f t="shared" si="20"/>
        <v>43788358.95</v>
      </c>
    </row>
    <row r="1312" spans="1:8">
      <c r="A1312" s="1" t="s">
        <v>2918</v>
      </c>
      <c r="B1312" s="1" t="s">
        <v>150</v>
      </c>
      <c r="C1312" s="1" t="s">
        <v>2898</v>
      </c>
      <c r="E1312" s="2">
        <v>673494.3</v>
      </c>
      <c r="F1312" s="2">
        <v>115237803.02</v>
      </c>
      <c r="G1312" s="2">
        <v>13429358.2</v>
      </c>
      <c r="H1312" s="2">
        <f t="shared" si="20"/>
        <v>129340655.52</v>
      </c>
    </row>
    <row r="1313" spans="1:8">
      <c r="A1313" s="1" t="s">
        <v>2918</v>
      </c>
      <c r="B1313" s="1" t="s">
        <v>151</v>
      </c>
      <c r="C1313" s="1" t="s">
        <v>2898</v>
      </c>
      <c r="H1313" s="2">
        <f t="shared" si="20"/>
        <v>0</v>
      </c>
    </row>
    <row r="1314" spans="1:8">
      <c r="A1314" s="1" t="s">
        <v>2918</v>
      </c>
      <c r="B1314" s="1" t="s">
        <v>152</v>
      </c>
      <c r="C1314" s="1" t="s">
        <v>2898</v>
      </c>
      <c r="H1314" s="2">
        <f t="shared" si="20"/>
        <v>0</v>
      </c>
    </row>
    <row r="1315" spans="1:8">
      <c r="A1315" s="1" t="s">
        <v>2918</v>
      </c>
      <c r="B1315" s="1" t="s">
        <v>153</v>
      </c>
      <c r="C1315" s="1" t="s">
        <v>2898</v>
      </c>
      <c r="H1315" s="2">
        <f t="shared" si="20"/>
        <v>0</v>
      </c>
    </row>
    <row r="1316" spans="1:8">
      <c r="A1316" s="1" t="s">
        <v>2918</v>
      </c>
      <c r="B1316" s="1" t="s">
        <v>154</v>
      </c>
      <c r="C1316" s="1" t="s">
        <v>2898</v>
      </c>
      <c r="H1316" s="2">
        <f t="shared" si="20"/>
        <v>0</v>
      </c>
    </row>
    <row r="1317" spans="1:8">
      <c r="A1317" s="1" t="s">
        <v>2918</v>
      </c>
      <c r="B1317" s="1" t="s">
        <v>155</v>
      </c>
      <c r="C1317" s="1" t="s">
        <v>2898</v>
      </c>
      <c r="H1317" s="2">
        <f t="shared" si="20"/>
        <v>0</v>
      </c>
    </row>
    <row r="1318" spans="1:8">
      <c r="A1318" s="1" t="s">
        <v>2918</v>
      </c>
      <c r="B1318" s="1" t="s">
        <v>156</v>
      </c>
      <c r="C1318" s="1" t="s">
        <v>2898</v>
      </c>
      <c r="H1318" s="2">
        <f t="shared" si="20"/>
        <v>0</v>
      </c>
    </row>
    <row r="1319" spans="1:8">
      <c r="A1319" s="1" t="s">
        <v>2918</v>
      </c>
      <c r="B1319" s="1" t="s">
        <v>157</v>
      </c>
      <c r="C1319" s="1" t="s">
        <v>2898</v>
      </c>
      <c r="H1319" s="2">
        <f t="shared" si="20"/>
        <v>0</v>
      </c>
    </row>
    <row r="1320" spans="1:8">
      <c r="A1320" s="1" t="s">
        <v>2918</v>
      </c>
      <c r="B1320" s="1" t="s">
        <v>158</v>
      </c>
      <c r="C1320" s="1" t="s">
        <v>2898</v>
      </c>
      <c r="H1320" s="2">
        <f t="shared" si="20"/>
        <v>0</v>
      </c>
    </row>
    <row r="1321" spans="1:8">
      <c r="A1321" s="1" t="s">
        <v>2918</v>
      </c>
      <c r="B1321" s="1" t="s">
        <v>159</v>
      </c>
      <c r="C1321" s="1" t="s">
        <v>2898</v>
      </c>
      <c r="H1321" s="2">
        <f t="shared" si="20"/>
        <v>0</v>
      </c>
    </row>
    <row r="1322" spans="1:8">
      <c r="A1322" s="1" t="s">
        <v>2918</v>
      </c>
      <c r="B1322" s="1" t="s">
        <v>148</v>
      </c>
      <c r="C1322" s="1" t="s">
        <v>2895</v>
      </c>
      <c r="E1322" s="2">
        <v>193847.83</v>
      </c>
      <c r="F1322" s="2">
        <v>12492009.96</v>
      </c>
      <c r="G1322" s="2">
        <v>48278.34</v>
      </c>
      <c r="H1322" s="2">
        <f t="shared" si="20"/>
        <v>12734136.13</v>
      </c>
    </row>
    <row r="1323" spans="1:8">
      <c r="A1323" s="1" t="s">
        <v>2918</v>
      </c>
      <c r="B1323" s="1" t="s">
        <v>149</v>
      </c>
      <c r="C1323" s="1" t="s">
        <v>2895</v>
      </c>
      <c r="E1323" s="2">
        <v>410702.75</v>
      </c>
      <c r="F1323" s="2">
        <v>35319872.01</v>
      </c>
      <c r="G1323" s="2">
        <v>8030563.86</v>
      </c>
      <c r="H1323" s="2">
        <f t="shared" si="20"/>
        <v>43761138.62</v>
      </c>
    </row>
    <row r="1324" spans="1:8">
      <c r="A1324" s="1" t="s">
        <v>2918</v>
      </c>
      <c r="B1324" s="1" t="s">
        <v>150</v>
      </c>
      <c r="C1324" s="1" t="s">
        <v>2895</v>
      </c>
      <c r="E1324" s="2">
        <v>703314.13</v>
      </c>
      <c r="F1324" s="2">
        <v>115237803.02</v>
      </c>
      <c r="G1324" s="2">
        <v>13429358.2</v>
      </c>
      <c r="H1324" s="2">
        <f t="shared" si="20"/>
        <v>129370475.35</v>
      </c>
    </row>
    <row r="1325" spans="1:8">
      <c r="A1325" s="1" t="s">
        <v>2918</v>
      </c>
      <c r="B1325" s="1" t="s">
        <v>151</v>
      </c>
      <c r="C1325" s="1" t="s">
        <v>2895</v>
      </c>
      <c r="H1325" s="2">
        <f t="shared" si="20"/>
        <v>0</v>
      </c>
    </row>
    <row r="1326" spans="1:8">
      <c r="A1326" s="1" t="s">
        <v>2918</v>
      </c>
      <c r="B1326" s="1" t="s">
        <v>152</v>
      </c>
      <c r="C1326" s="1" t="s">
        <v>2895</v>
      </c>
      <c r="H1326" s="2">
        <f t="shared" si="20"/>
        <v>0</v>
      </c>
    </row>
    <row r="1327" spans="1:8">
      <c r="A1327" s="1" t="s">
        <v>2918</v>
      </c>
      <c r="B1327" s="1" t="s">
        <v>153</v>
      </c>
      <c r="C1327" s="1" t="s">
        <v>2895</v>
      </c>
      <c r="H1327" s="2">
        <f t="shared" si="20"/>
        <v>0</v>
      </c>
    </row>
    <row r="1328" spans="1:8">
      <c r="A1328" s="1" t="s">
        <v>2918</v>
      </c>
      <c r="B1328" s="1" t="s">
        <v>154</v>
      </c>
      <c r="C1328" s="1" t="s">
        <v>2895</v>
      </c>
      <c r="H1328" s="2">
        <f t="shared" si="20"/>
        <v>0</v>
      </c>
    </row>
    <row r="1329" spans="1:8">
      <c r="A1329" s="1" t="s">
        <v>2918</v>
      </c>
      <c r="B1329" s="1" t="s">
        <v>155</v>
      </c>
      <c r="C1329" s="1" t="s">
        <v>2895</v>
      </c>
      <c r="H1329" s="2">
        <f t="shared" si="20"/>
        <v>0</v>
      </c>
    </row>
    <row r="1330" spans="1:8">
      <c r="A1330" s="1" t="s">
        <v>2918</v>
      </c>
      <c r="B1330" s="1" t="s">
        <v>156</v>
      </c>
      <c r="C1330" s="1" t="s">
        <v>2895</v>
      </c>
      <c r="H1330" s="2">
        <f t="shared" si="20"/>
        <v>0</v>
      </c>
    </row>
    <row r="1331" spans="1:8">
      <c r="A1331" s="1" t="s">
        <v>2918</v>
      </c>
      <c r="B1331" s="1" t="s">
        <v>157</v>
      </c>
      <c r="C1331" s="1" t="s">
        <v>2895</v>
      </c>
      <c r="H1331" s="2">
        <f t="shared" si="20"/>
        <v>0</v>
      </c>
    </row>
    <row r="1332" spans="1:8">
      <c r="A1332" s="1" t="s">
        <v>2918</v>
      </c>
      <c r="B1332" s="1" t="s">
        <v>158</v>
      </c>
      <c r="C1332" s="1" t="s">
        <v>2895</v>
      </c>
      <c r="H1332" s="2">
        <f t="shared" si="20"/>
        <v>0</v>
      </c>
    </row>
    <row r="1333" spans="1:8">
      <c r="A1333" s="1" t="s">
        <v>2918</v>
      </c>
      <c r="B1333" s="1" t="s">
        <v>159</v>
      </c>
      <c r="C1333" s="1" t="s">
        <v>2895</v>
      </c>
      <c r="H1333" s="2">
        <f t="shared" si="20"/>
        <v>0</v>
      </c>
    </row>
    <row r="1339" spans="1:1">
      <c r="A1339" s="19"/>
    </row>
    <row r="1340" spans="1:1">
      <c r="A1340" s="19"/>
    </row>
    <row r="1341" spans="1:1">
      <c r="A1341" s="19"/>
    </row>
    <row r="1342" spans="1:1">
      <c r="A1342" s="19"/>
    </row>
    <row r="1343" spans="1:1">
      <c r="A1343" s="19"/>
    </row>
    <row r="1344" spans="1:1">
      <c r="A1344" s="19"/>
    </row>
    <row r="1348" spans="1:2">
      <c r="A1348" s="19"/>
      <c r="B1348" s="19"/>
    </row>
  </sheetData>
  <autoFilter xmlns:etc="http://www.wps.cn/officeDocument/2017/etCustomData" ref="A1:H1358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范围确认</vt:lpstr>
      <vt:lpstr>GMV-战略需求</vt:lpstr>
      <vt:lpstr>毛利-战略需求</vt:lpstr>
      <vt:lpstr>上市公司经营概况</vt:lpstr>
      <vt:lpstr>利润调整</vt:lpstr>
      <vt:lpstr>利润组成</vt:lpstr>
      <vt:lpstr>投资公司</vt:lpstr>
      <vt:lpstr>GMV销售额波动分析（分月、年）</vt:lpstr>
      <vt:lpstr>GMV销售平台占比</vt:lpstr>
      <vt:lpstr>GMV表-商品大类</vt:lpstr>
      <vt:lpstr>GMV表-品牌</vt:lpstr>
      <vt:lpstr>毛利-收入组成</vt:lpstr>
      <vt:lpstr>毛利-留存率</vt:lpstr>
      <vt:lpstr>毛利-品牌</vt:lpstr>
      <vt:lpstr>毛利-供应商</vt:lpstr>
      <vt:lpstr>前十大供应商</vt:lpstr>
      <vt:lpstr>腾讯&amp;爱奇艺成本&amp;喜马</vt:lpstr>
      <vt:lpstr>立减金</vt:lpstr>
      <vt:lpstr>返点中间单据23年</vt:lpstr>
      <vt:lpstr>代运营中间单据23年</vt:lpstr>
      <vt:lpstr>立减金税损</vt:lpstr>
      <vt:lpstr>2020年收入底稿</vt:lpstr>
      <vt:lpstr>2020年游戏开发</vt:lpstr>
      <vt:lpstr>20年推广收入整理</vt:lpstr>
      <vt:lpstr>2021年收入底稿</vt:lpstr>
      <vt:lpstr>2021年游戏收入</vt:lpstr>
      <vt:lpstr>2022年收入底稿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张丹</dc:creator>
  <cp:lastModifiedBy>佳娟</cp:lastModifiedBy>
  <dcterms:created xsi:type="dcterms:W3CDTF">2022-05-05T09:09:00Z</dcterms:created>
  <dcterms:modified xsi:type="dcterms:W3CDTF">2025-08-22T09:51:45Z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EF5985E402274EF6A722F9BF419C9A8F</vt:lpwstr>
  </property>
  <property fmtid="{D5CDD505-2E9C-101B-9397-08002B2CF9AE}" pid="3" name="KSOProductBuildVer">
    <vt:lpwstr>2052-12.1.0.21915</vt:lpwstr>
  </property>
</Properties>
</file>