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ZJU_GIS\Paleo-CO2\"/>
    </mc:Choice>
  </mc:AlternateContent>
  <xr:revisionPtr revIDLastSave="0" documentId="13_ncr:1_{B33A2277-D5E9-447F-BC07-FE02FE4C135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2" l="1"/>
  <c r="I19" i="2" s="1"/>
  <c r="F18" i="2"/>
  <c r="I18" i="2" s="1"/>
  <c r="F17" i="2"/>
  <c r="I17" i="2" s="1"/>
  <c r="F16" i="2"/>
  <c r="I16" i="2" s="1"/>
  <c r="C16" i="2"/>
  <c r="F15" i="2"/>
  <c r="I15" i="2" s="1"/>
  <c r="C15" i="2"/>
  <c r="F14" i="2"/>
  <c r="I14" i="2" s="1"/>
  <c r="C14" i="2"/>
  <c r="N13" i="2"/>
  <c r="M13" i="2"/>
  <c r="F13" i="2"/>
  <c r="H13" i="2" s="1"/>
  <c r="C13" i="2"/>
  <c r="N12" i="2"/>
  <c r="M12" i="2"/>
  <c r="F12" i="2"/>
  <c r="H12" i="2" s="1"/>
  <c r="C12" i="2"/>
  <c r="I11" i="2"/>
  <c r="H11" i="2"/>
  <c r="F11" i="2"/>
  <c r="C11" i="2"/>
  <c r="F10" i="2"/>
  <c r="H10" i="2" s="1"/>
  <c r="C10" i="2"/>
  <c r="I9" i="2"/>
  <c r="H9" i="2"/>
  <c r="F9" i="2"/>
  <c r="C9" i="2"/>
  <c r="F8" i="2"/>
  <c r="I8" i="2" s="1"/>
  <c r="C8" i="2"/>
  <c r="F7" i="2"/>
  <c r="I7" i="2" s="1"/>
  <c r="C7" i="2"/>
  <c r="F6" i="2"/>
  <c r="I6" i="2" s="1"/>
  <c r="F5" i="2"/>
  <c r="I5" i="2" s="1"/>
  <c r="F4" i="2"/>
  <c r="I4" i="2" s="1"/>
  <c r="F3" i="2"/>
  <c r="I3" i="2" s="1"/>
  <c r="N2" i="2"/>
  <c r="M2" i="2"/>
  <c r="F2" i="2"/>
  <c r="I2" i="2" s="1"/>
  <c r="C2" i="2"/>
  <c r="N523" i="1"/>
  <c r="I72" i="1" s="1"/>
  <c r="M523" i="1"/>
  <c r="H72" i="1" s="1"/>
  <c r="F72" i="1"/>
  <c r="P522" i="1"/>
  <c r="F394" i="1" s="1"/>
  <c r="I394" i="1" s="1"/>
  <c r="N522" i="1"/>
  <c r="M522" i="1"/>
  <c r="H394" i="1"/>
  <c r="E394" i="1"/>
  <c r="D394" i="1"/>
  <c r="P521" i="1"/>
  <c r="N521" i="1"/>
  <c r="M521" i="1"/>
  <c r="F393" i="1"/>
  <c r="I393" i="1" s="1"/>
  <c r="E393" i="1"/>
  <c r="D393" i="1"/>
  <c r="P520" i="1"/>
  <c r="F304" i="1" s="1"/>
  <c r="I304" i="1" s="1"/>
  <c r="N520" i="1"/>
  <c r="M520" i="1"/>
  <c r="C304" i="1"/>
  <c r="P519" i="1"/>
  <c r="F303" i="1" s="1"/>
  <c r="N519" i="1"/>
  <c r="M519" i="1"/>
  <c r="C303" i="1"/>
  <c r="P518" i="1"/>
  <c r="F302" i="1" s="1"/>
  <c r="I302" i="1" s="1"/>
  <c r="N518" i="1"/>
  <c r="M518" i="1"/>
  <c r="H302" i="1"/>
  <c r="C302" i="1"/>
  <c r="P517" i="1"/>
  <c r="F332" i="1"/>
  <c r="P516" i="1"/>
  <c r="F336" i="1"/>
  <c r="I336" i="1" s="1"/>
  <c r="P515" i="1"/>
  <c r="F338" i="1"/>
  <c r="H338" i="1" s="1"/>
  <c r="P514" i="1"/>
  <c r="F341" i="1"/>
  <c r="H341" i="1" s="1"/>
  <c r="P513" i="1"/>
  <c r="F342" i="1"/>
  <c r="H342" i="1" s="1"/>
  <c r="P512" i="1"/>
  <c r="F343" i="1"/>
  <c r="I343" i="1" s="1"/>
  <c r="P511" i="1"/>
  <c r="F345" i="1"/>
  <c r="H345" i="1" s="1"/>
  <c r="P510" i="1"/>
  <c r="F346" i="1"/>
  <c r="I346" i="1" s="1"/>
  <c r="P509" i="1"/>
  <c r="F347" i="1"/>
  <c r="H347" i="1" s="1"/>
  <c r="P508" i="1"/>
  <c r="F348" i="1"/>
  <c r="I348" i="1" s="1"/>
  <c r="P507" i="1"/>
  <c r="F349" i="1"/>
  <c r="I349" i="1" s="1"/>
  <c r="P506" i="1"/>
  <c r="F350" i="1"/>
  <c r="H350" i="1" s="1"/>
  <c r="P505" i="1"/>
  <c r="F351" i="1"/>
  <c r="I351" i="1" s="1"/>
  <c r="P504" i="1"/>
  <c r="F353" i="1"/>
  <c r="P503" i="1"/>
  <c r="F355" i="1"/>
  <c r="I355" i="1" s="1"/>
  <c r="P502" i="1"/>
  <c r="F365" i="1"/>
  <c r="I365" i="1" s="1"/>
  <c r="P501" i="1"/>
  <c r="F366" i="1"/>
  <c r="P500" i="1"/>
  <c r="F367" i="1"/>
  <c r="I367" i="1" s="1"/>
  <c r="P499" i="1"/>
  <c r="F368" i="1"/>
  <c r="I368" i="1" s="1"/>
  <c r="P498" i="1"/>
  <c r="F369" i="1"/>
  <c r="P497" i="1"/>
  <c r="F370" i="1"/>
  <c r="I370" i="1" s="1"/>
  <c r="P496" i="1"/>
  <c r="F373" i="1"/>
  <c r="H373" i="1" s="1"/>
  <c r="P495" i="1"/>
  <c r="F395" i="1"/>
  <c r="I395" i="1" s="1"/>
  <c r="P494" i="1"/>
  <c r="F396" i="1"/>
  <c r="I396" i="1" s="1"/>
  <c r="P493" i="1"/>
  <c r="F397" i="1"/>
  <c r="I397" i="1" s="1"/>
  <c r="P492" i="1"/>
  <c r="F398" i="1"/>
  <c r="H398" i="1" s="1"/>
  <c r="P491" i="1"/>
  <c r="F399" i="1"/>
  <c r="H399" i="1" s="1"/>
  <c r="P490" i="1"/>
  <c r="F400" i="1"/>
  <c r="H400" i="1" s="1"/>
  <c r="P489" i="1"/>
  <c r="F401" i="1"/>
  <c r="I401" i="1" s="1"/>
  <c r="P488" i="1"/>
  <c r="F402" i="1"/>
  <c r="H402" i="1" s="1"/>
  <c r="P487" i="1"/>
  <c r="F404" i="1"/>
  <c r="I404" i="1" s="1"/>
  <c r="P486" i="1"/>
  <c r="F405" i="1"/>
  <c r="I405" i="1" s="1"/>
  <c r="P485" i="1"/>
  <c r="F406" i="1"/>
  <c r="I406" i="1" s="1"/>
  <c r="P484" i="1"/>
  <c r="F407" i="1"/>
  <c r="I407" i="1" s="1"/>
  <c r="P483" i="1"/>
  <c r="F408" i="1"/>
  <c r="H408" i="1" s="1"/>
  <c r="P482" i="1"/>
  <c r="F424" i="1"/>
  <c r="I424" i="1" s="1"/>
  <c r="P481" i="1"/>
  <c r="F425" i="1"/>
  <c r="H425" i="1" s="1"/>
  <c r="P480" i="1"/>
  <c r="I34" i="1"/>
  <c r="H34" i="1"/>
  <c r="F34" i="1"/>
  <c r="P479" i="1"/>
  <c r="I33" i="1"/>
  <c r="H33" i="1"/>
  <c r="F33" i="1"/>
  <c r="P478" i="1"/>
  <c r="I32" i="1"/>
  <c r="H32" i="1"/>
  <c r="F32" i="1"/>
  <c r="P477" i="1"/>
  <c r="I31" i="1"/>
  <c r="H31" i="1"/>
  <c r="F31" i="1"/>
  <c r="P476" i="1"/>
  <c r="I30" i="1"/>
  <c r="H30" i="1"/>
  <c r="F30" i="1"/>
  <c r="P475" i="1"/>
  <c r="I29" i="1"/>
  <c r="H29" i="1"/>
  <c r="F29" i="1"/>
  <c r="P474" i="1"/>
  <c r="I28" i="1"/>
  <c r="H28" i="1"/>
  <c r="F28" i="1"/>
  <c r="P473" i="1"/>
  <c r="I27" i="1"/>
  <c r="H27" i="1"/>
  <c r="F27" i="1"/>
  <c r="P472" i="1"/>
  <c r="I26" i="1"/>
  <c r="H26" i="1"/>
  <c r="F26" i="1"/>
  <c r="P471" i="1"/>
  <c r="I25" i="1"/>
  <c r="H25" i="1"/>
  <c r="F25" i="1"/>
  <c r="P470" i="1"/>
  <c r="I24" i="1"/>
  <c r="H24" i="1"/>
  <c r="F24" i="1"/>
  <c r="P469" i="1"/>
  <c r="I23" i="1"/>
  <c r="H23" i="1"/>
  <c r="F23" i="1"/>
  <c r="P468" i="1"/>
  <c r="I22" i="1"/>
  <c r="H22" i="1"/>
  <c r="F22" i="1"/>
  <c r="P467" i="1"/>
  <c r="I21" i="1"/>
  <c r="H21" i="1"/>
  <c r="F21" i="1"/>
  <c r="P466" i="1"/>
  <c r="I20" i="1"/>
  <c r="H20" i="1"/>
  <c r="F20" i="1"/>
  <c r="P465" i="1"/>
  <c r="I19" i="1"/>
  <c r="H19" i="1"/>
  <c r="F19" i="1"/>
  <c r="P464" i="1"/>
  <c r="I18" i="1"/>
  <c r="H18" i="1"/>
  <c r="F18" i="1"/>
  <c r="P463" i="1"/>
  <c r="I17" i="1"/>
  <c r="H17" i="1"/>
  <c r="F17" i="1"/>
  <c r="P462" i="1"/>
  <c r="I16" i="1"/>
  <c r="H16" i="1"/>
  <c r="F16" i="1"/>
  <c r="P461" i="1"/>
  <c r="I15" i="1"/>
  <c r="H15" i="1"/>
  <c r="F15" i="1"/>
  <c r="P460" i="1"/>
  <c r="I14" i="1"/>
  <c r="H14" i="1"/>
  <c r="F14" i="1"/>
  <c r="P459" i="1"/>
  <c r="I13" i="1"/>
  <c r="H13" i="1"/>
  <c r="F13" i="1"/>
  <c r="P458" i="1"/>
  <c r="I12" i="1"/>
  <c r="H12" i="1"/>
  <c r="F12" i="1"/>
  <c r="P457" i="1"/>
  <c r="I11" i="1"/>
  <c r="H11" i="1"/>
  <c r="F11" i="1"/>
  <c r="P456" i="1"/>
  <c r="I10" i="1"/>
  <c r="H10" i="1"/>
  <c r="F10" i="1"/>
  <c r="P455" i="1"/>
  <c r="I9" i="1"/>
  <c r="H9" i="1"/>
  <c r="F9" i="1"/>
  <c r="P454" i="1"/>
  <c r="I8" i="1"/>
  <c r="H8" i="1"/>
  <c r="F8" i="1"/>
  <c r="P453" i="1"/>
  <c r="I7" i="1"/>
  <c r="H7" i="1"/>
  <c r="F7" i="1"/>
  <c r="P452" i="1"/>
  <c r="I6" i="1"/>
  <c r="H6" i="1"/>
  <c r="F6" i="1"/>
  <c r="P451" i="1"/>
  <c r="I5" i="1"/>
  <c r="H5" i="1"/>
  <c r="F5" i="1"/>
  <c r="P450" i="1"/>
  <c r="I4" i="1"/>
  <c r="H4" i="1"/>
  <c r="F4" i="1"/>
  <c r="P449" i="1"/>
  <c r="I3" i="1"/>
  <c r="H3" i="1"/>
  <c r="F3" i="1"/>
  <c r="F191" i="1"/>
  <c r="I191" i="1" s="1"/>
  <c r="F189" i="1"/>
  <c r="I189" i="1" s="1"/>
  <c r="F187" i="1"/>
  <c r="F186" i="1"/>
  <c r="I186" i="1" s="1"/>
  <c r="F181" i="1"/>
  <c r="H181" i="1" s="1"/>
  <c r="F175" i="1"/>
  <c r="I175" i="1" s="1"/>
  <c r="F157" i="1"/>
  <c r="I157" i="1" s="1"/>
  <c r="F152" i="1"/>
  <c r="I152" i="1" s="1"/>
  <c r="I445" i="1"/>
  <c r="H445" i="1"/>
  <c r="F445" i="1"/>
  <c r="I444" i="1"/>
  <c r="H444" i="1"/>
  <c r="F444" i="1"/>
  <c r="I443" i="1"/>
  <c r="H443" i="1"/>
  <c r="F443" i="1"/>
  <c r="I442" i="1"/>
  <c r="H442" i="1"/>
  <c r="F442" i="1"/>
  <c r="I441" i="1"/>
  <c r="H441" i="1"/>
  <c r="F441" i="1"/>
  <c r="I440" i="1"/>
  <c r="H440" i="1"/>
  <c r="F440" i="1"/>
  <c r="I439" i="1"/>
  <c r="H439" i="1"/>
  <c r="F439" i="1"/>
  <c r="I438" i="1"/>
  <c r="H438" i="1"/>
  <c r="F438" i="1"/>
  <c r="I437" i="1"/>
  <c r="H437" i="1"/>
  <c r="F437" i="1"/>
  <c r="I436" i="1"/>
  <c r="H436" i="1"/>
  <c r="F436" i="1"/>
  <c r="I435" i="1"/>
  <c r="H435" i="1"/>
  <c r="F435" i="1"/>
  <c r="I429" i="1"/>
  <c r="H429" i="1"/>
  <c r="F429" i="1"/>
  <c r="I428" i="1"/>
  <c r="H428" i="1"/>
  <c r="F428" i="1"/>
  <c r="I427" i="1"/>
  <c r="H427" i="1"/>
  <c r="F427" i="1"/>
  <c r="I426" i="1"/>
  <c r="H426" i="1"/>
  <c r="F426" i="1"/>
  <c r="I421" i="1"/>
  <c r="H421" i="1"/>
  <c r="F421" i="1"/>
  <c r="I420" i="1"/>
  <c r="H420" i="1"/>
  <c r="F420" i="1"/>
  <c r="I419" i="1"/>
  <c r="H419" i="1"/>
  <c r="F419" i="1"/>
  <c r="I418" i="1"/>
  <c r="H418" i="1"/>
  <c r="F418" i="1"/>
  <c r="I417" i="1"/>
  <c r="H417" i="1"/>
  <c r="F417" i="1"/>
  <c r="I416" i="1"/>
  <c r="H416" i="1"/>
  <c r="F416" i="1"/>
  <c r="I415" i="1"/>
  <c r="H415" i="1"/>
  <c r="F415" i="1"/>
  <c r="I414" i="1"/>
  <c r="H414" i="1"/>
  <c r="F414" i="1"/>
  <c r="I413" i="1"/>
  <c r="H413" i="1"/>
  <c r="F413" i="1"/>
  <c r="I412" i="1"/>
  <c r="H412" i="1"/>
  <c r="F412" i="1"/>
  <c r="I411" i="1"/>
  <c r="H411" i="1"/>
  <c r="F411" i="1"/>
  <c r="I410" i="1"/>
  <c r="H410" i="1"/>
  <c r="F410" i="1"/>
  <c r="I409" i="1"/>
  <c r="H409" i="1"/>
  <c r="F409" i="1"/>
  <c r="I403" i="1"/>
  <c r="H403" i="1"/>
  <c r="F403" i="1"/>
  <c r="I386" i="1"/>
  <c r="H386" i="1"/>
  <c r="F386" i="1"/>
  <c r="I372" i="1"/>
  <c r="H372" i="1"/>
  <c r="F372" i="1"/>
  <c r="I371" i="1"/>
  <c r="H371" i="1"/>
  <c r="F371" i="1"/>
  <c r="I364" i="1"/>
  <c r="H364" i="1"/>
  <c r="F364" i="1"/>
  <c r="I354" i="1"/>
  <c r="H354" i="1"/>
  <c r="F354" i="1"/>
  <c r="I352" i="1"/>
  <c r="H352" i="1"/>
  <c r="F352" i="1"/>
  <c r="I344" i="1"/>
  <c r="H344" i="1"/>
  <c r="F344" i="1"/>
  <c r="I340" i="1"/>
  <c r="H340" i="1"/>
  <c r="F340" i="1"/>
  <c r="I339" i="1"/>
  <c r="H339" i="1"/>
  <c r="F339" i="1"/>
  <c r="I337" i="1"/>
  <c r="H337" i="1"/>
  <c r="F337" i="1"/>
  <c r="I335" i="1"/>
  <c r="H335" i="1"/>
  <c r="F335" i="1"/>
  <c r="I334" i="1"/>
  <c r="H334" i="1"/>
  <c r="F334" i="1"/>
  <c r="I333" i="1"/>
  <c r="H333" i="1"/>
  <c r="F333" i="1"/>
  <c r="I331" i="1"/>
  <c r="H331" i="1"/>
  <c r="F331" i="1"/>
  <c r="I330" i="1"/>
  <c r="H330" i="1"/>
  <c r="F330" i="1"/>
  <c r="I329" i="1"/>
  <c r="H329" i="1"/>
  <c r="F329" i="1"/>
  <c r="I328" i="1"/>
  <c r="H328" i="1"/>
  <c r="F328" i="1"/>
  <c r="I300" i="1"/>
  <c r="H300" i="1"/>
  <c r="F300" i="1"/>
  <c r="I299" i="1"/>
  <c r="H299" i="1"/>
  <c r="F299" i="1"/>
  <c r="I298" i="1"/>
  <c r="H298" i="1"/>
  <c r="F298" i="1"/>
  <c r="I297" i="1"/>
  <c r="H297" i="1"/>
  <c r="F297" i="1"/>
  <c r="I296" i="1"/>
  <c r="H296" i="1"/>
  <c r="F296" i="1"/>
  <c r="I294" i="1"/>
  <c r="H294" i="1"/>
  <c r="F294" i="1"/>
  <c r="I291" i="1"/>
  <c r="H291" i="1"/>
  <c r="F291" i="1"/>
  <c r="I290" i="1"/>
  <c r="H290" i="1"/>
  <c r="F290" i="1"/>
  <c r="I287" i="1"/>
  <c r="H287" i="1"/>
  <c r="F287" i="1"/>
  <c r="I286" i="1"/>
  <c r="H286" i="1"/>
  <c r="F286" i="1"/>
  <c r="I283" i="1"/>
  <c r="H283" i="1"/>
  <c r="F283" i="1"/>
  <c r="I281" i="1"/>
  <c r="H281" i="1"/>
  <c r="F281" i="1"/>
  <c r="I279" i="1"/>
  <c r="H279" i="1"/>
  <c r="F279" i="1"/>
  <c r="I277" i="1"/>
  <c r="H277" i="1"/>
  <c r="F277" i="1"/>
  <c r="I275" i="1"/>
  <c r="H275" i="1"/>
  <c r="F275" i="1"/>
  <c r="F210" i="1"/>
  <c r="I210" i="1" s="1"/>
  <c r="F209" i="1"/>
  <c r="I209" i="1" s="1"/>
  <c r="F208" i="1"/>
  <c r="I208" i="1" s="1"/>
  <c r="F207" i="1"/>
  <c r="F204" i="1"/>
  <c r="F202" i="1"/>
  <c r="H202" i="1" s="1"/>
  <c r="F201" i="1"/>
  <c r="H201" i="1" s="1"/>
  <c r="F200" i="1"/>
  <c r="F199" i="1"/>
  <c r="I199" i="1" s="1"/>
  <c r="F198" i="1"/>
  <c r="I198" i="1" s="1"/>
  <c r="F197" i="1"/>
  <c r="I197" i="1" s="1"/>
  <c r="F196" i="1"/>
  <c r="F190" i="1"/>
  <c r="H190" i="1" s="1"/>
  <c r="F188" i="1"/>
  <c r="F185" i="1"/>
  <c r="H185" i="1" s="1"/>
  <c r="F184" i="1"/>
  <c r="I184" i="1" s="1"/>
  <c r="F183" i="1"/>
  <c r="I183" i="1" s="1"/>
  <c r="F182" i="1"/>
  <c r="I182" i="1" s="1"/>
  <c r="F178" i="1"/>
  <c r="H178" i="1" s="1"/>
  <c r="F177" i="1"/>
  <c r="I177" i="1" s="1"/>
  <c r="F176" i="1"/>
  <c r="H176" i="1" s="1"/>
  <c r="F174" i="1"/>
  <c r="H174" i="1" s="1"/>
  <c r="F173" i="1"/>
  <c r="I173" i="1" s="1"/>
  <c r="F172" i="1"/>
  <c r="F171" i="1"/>
  <c r="H171" i="1" s="1"/>
  <c r="F170" i="1"/>
  <c r="I170" i="1" s="1"/>
  <c r="F169" i="1"/>
  <c r="F167" i="1"/>
  <c r="I167" i="1" s="1"/>
  <c r="F166" i="1"/>
  <c r="I166" i="1" s="1"/>
  <c r="F165" i="1"/>
  <c r="I165" i="1" s="1"/>
  <c r="F164" i="1"/>
  <c r="I164" i="1" s="1"/>
  <c r="F163" i="1"/>
  <c r="I163" i="1" s="1"/>
  <c r="F162" i="1"/>
  <c r="I162" i="1" s="1"/>
  <c r="F161" i="1"/>
  <c r="H161" i="1" s="1"/>
  <c r="F159" i="1"/>
  <c r="I159" i="1" s="1"/>
  <c r="F158" i="1"/>
  <c r="I158" i="1" s="1"/>
  <c r="F156" i="1"/>
  <c r="I156" i="1" s="1"/>
  <c r="F154" i="1"/>
  <c r="H154" i="1" s="1"/>
  <c r="I68" i="1"/>
  <c r="H68" i="1"/>
  <c r="F68" i="1"/>
  <c r="I66" i="1"/>
  <c r="H66" i="1"/>
  <c r="F66" i="1"/>
  <c r="I65" i="1"/>
  <c r="H65" i="1"/>
  <c r="F65" i="1"/>
  <c r="I64" i="1"/>
  <c r="H64" i="1"/>
  <c r="F64" i="1"/>
  <c r="I63" i="1"/>
  <c r="H63" i="1"/>
  <c r="F63" i="1"/>
  <c r="I55" i="1"/>
  <c r="H55" i="1"/>
  <c r="F55" i="1"/>
  <c r="I49" i="1"/>
  <c r="H49" i="1"/>
  <c r="F49" i="1"/>
  <c r="I47" i="1"/>
  <c r="H47" i="1"/>
  <c r="F47" i="1"/>
  <c r="I45" i="1"/>
  <c r="H45" i="1"/>
  <c r="F45" i="1"/>
  <c r="I40" i="1"/>
  <c r="H40" i="1"/>
  <c r="F40" i="1"/>
  <c r="I39" i="1"/>
  <c r="H39" i="1"/>
  <c r="F39" i="1"/>
  <c r="I38" i="1"/>
  <c r="H38" i="1"/>
  <c r="F38" i="1"/>
  <c r="P329" i="1"/>
  <c r="L329" i="1"/>
  <c r="F455" i="1" s="1"/>
  <c r="C455" i="1"/>
  <c r="P328" i="1"/>
  <c r="L328" i="1"/>
  <c r="F454" i="1" s="1"/>
  <c r="I454" i="1" s="1"/>
  <c r="C454" i="1"/>
  <c r="P327" i="1"/>
  <c r="L327" i="1"/>
  <c r="F453" i="1"/>
  <c r="H453" i="1" s="1"/>
  <c r="C453" i="1"/>
  <c r="P326" i="1"/>
  <c r="F71" i="1"/>
  <c r="E71" i="1"/>
  <c r="D71" i="1"/>
  <c r="P325" i="1"/>
  <c r="F70" i="1" s="1"/>
  <c r="E70" i="1"/>
  <c r="D70" i="1"/>
  <c r="L324" i="1"/>
  <c r="F212" i="1" s="1"/>
  <c r="C212" i="1"/>
  <c r="E78" i="1"/>
  <c r="D78" i="1"/>
  <c r="E84" i="1"/>
  <c r="D84" i="1"/>
  <c r="E85" i="1"/>
  <c r="D85" i="1"/>
  <c r="E87" i="1"/>
  <c r="D87" i="1"/>
  <c r="E88" i="1"/>
  <c r="D88" i="1"/>
  <c r="O318" i="1"/>
  <c r="F139" i="1" s="1"/>
  <c r="N318" i="1"/>
  <c r="I139" i="1" s="1"/>
  <c r="M318" i="1"/>
  <c r="H139" i="1" s="1"/>
  <c r="C139" i="1"/>
  <c r="N317" i="1"/>
  <c r="I132" i="1" s="1"/>
  <c r="M317" i="1"/>
  <c r="H132" i="1" s="1"/>
  <c r="F132" i="1"/>
  <c r="C132" i="1"/>
  <c r="N316" i="1"/>
  <c r="I120" i="1" s="1"/>
  <c r="M316" i="1"/>
  <c r="H120" i="1"/>
  <c r="F120" i="1"/>
  <c r="C120" i="1"/>
  <c r="O315" i="1"/>
  <c r="N315" i="1"/>
  <c r="M315" i="1"/>
  <c r="I117" i="1"/>
  <c r="H117" i="1"/>
  <c r="F117" i="1"/>
  <c r="C117" i="1"/>
  <c r="O314" i="1"/>
  <c r="N314" i="1"/>
  <c r="M314" i="1"/>
  <c r="H116" i="1" s="1"/>
  <c r="F116" i="1"/>
  <c r="C116" i="1"/>
  <c r="N313" i="1"/>
  <c r="I114" i="1" s="1"/>
  <c r="M313" i="1"/>
  <c r="H114" i="1" s="1"/>
  <c r="F114" i="1"/>
  <c r="C114" i="1"/>
  <c r="N312" i="1"/>
  <c r="I112" i="1" s="1"/>
  <c r="M312" i="1"/>
  <c r="H112" i="1" s="1"/>
  <c r="F112" i="1"/>
  <c r="C112" i="1"/>
  <c r="O311" i="1"/>
  <c r="F109" i="1" s="1"/>
  <c r="N311" i="1"/>
  <c r="I109" i="1" s="1"/>
  <c r="M311" i="1"/>
  <c r="H109" i="1" s="1"/>
  <c r="C109" i="1"/>
  <c r="O310" i="1"/>
  <c r="F107" i="1" s="1"/>
  <c r="N310" i="1"/>
  <c r="M310" i="1"/>
  <c r="I107" i="1"/>
  <c r="H107" i="1"/>
  <c r="C107" i="1"/>
  <c r="N309" i="1"/>
  <c r="M309" i="1"/>
  <c r="I103" i="1"/>
  <c r="H103" i="1"/>
  <c r="F103" i="1"/>
  <c r="C103" i="1"/>
  <c r="N308" i="1"/>
  <c r="M308" i="1"/>
  <c r="I102" i="1"/>
  <c r="H102" i="1"/>
  <c r="F102" i="1"/>
  <c r="C102" i="1"/>
  <c r="I86" i="1"/>
  <c r="H86" i="1"/>
  <c r="F86" i="1"/>
  <c r="E86" i="1"/>
  <c r="D86" i="1"/>
  <c r="I83" i="1"/>
  <c r="H83" i="1"/>
  <c r="F83" i="1"/>
  <c r="E83" i="1"/>
  <c r="D83" i="1"/>
  <c r="I82" i="1"/>
  <c r="H82" i="1"/>
  <c r="F82" i="1"/>
  <c r="E82" i="1"/>
  <c r="D82" i="1"/>
  <c r="I81" i="1"/>
  <c r="H81" i="1"/>
  <c r="F81" i="1"/>
  <c r="E81" i="1"/>
  <c r="D81" i="1"/>
  <c r="I80" i="1"/>
  <c r="H80" i="1"/>
  <c r="F80" i="1"/>
  <c r="E80" i="1"/>
  <c r="D80" i="1"/>
  <c r="I79" i="1"/>
  <c r="H79" i="1"/>
  <c r="F79" i="1"/>
  <c r="E79" i="1"/>
  <c r="D79" i="1"/>
  <c r="I77" i="1"/>
  <c r="H77" i="1"/>
  <c r="F77" i="1"/>
  <c r="E77" i="1"/>
  <c r="D77" i="1"/>
  <c r="I76" i="1"/>
  <c r="H76" i="1"/>
  <c r="F76" i="1"/>
  <c r="E76" i="1"/>
  <c r="D76" i="1"/>
  <c r="I75" i="1"/>
  <c r="H75" i="1"/>
  <c r="F75" i="1"/>
  <c r="E75" i="1"/>
  <c r="D75" i="1"/>
  <c r="I74" i="1"/>
  <c r="H74" i="1"/>
  <c r="F74" i="1"/>
  <c r="E74" i="1"/>
  <c r="D74" i="1"/>
  <c r="I37" i="1"/>
  <c r="H37" i="1"/>
  <c r="F37" i="1"/>
  <c r="C37" i="1"/>
  <c r="N296" i="1"/>
  <c r="M296" i="1"/>
  <c r="F217" i="1"/>
  <c r="I217" i="1" s="1"/>
  <c r="C217" i="1"/>
  <c r="P295" i="1"/>
  <c r="N295" i="1"/>
  <c r="M295" i="1"/>
  <c r="F180" i="1"/>
  <c r="P294" i="1"/>
  <c r="F160" i="1" s="1"/>
  <c r="H160" i="1" s="1"/>
  <c r="N294" i="1"/>
  <c r="M294" i="1"/>
  <c r="P293" i="1"/>
  <c r="F155" i="1" s="1"/>
  <c r="I155" i="1" s="1"/>
  <c r="N293" i="1"/>
  <c r="M293" i="1"/>
  <c r="P292" i="1"/>
  <c r="F153" i="1" s="1"/>
  <c r="N292" i="1"/>
  <c r="M292" i="1"/>
  <c r="P291" i="1"/>
  <c r="N291" i="1"/>
  <c r="M291" i="1"/>
  <c r="F151" i="1"/>
  <c r="I151" i="1" s="1"/>
  <c r="P290" i="1"/>
  <c r="F147" i="1" s="1"/>
  <c r="N290" i="1"/>
  <c r="M290" i="1"/>
  <c r="O289" i="1"/>
  <c r="F215" i="1" s="1"/>
  <c r="N289" i="1"/>
  <c r="I215" i="1" s="1"/>
  <c r="M289" i="1"/>
  <c r="H215" i="1" s="1"/>
  <c r="C215" i="1"/>
  <c r="O288" i="1"/>
  <c r="F213" i="1" s="1"/>
  <c r="N288" i="1"/>
  <c r="I213" i="1" s="1"/>
  <c r="M288" i="1"/>
  <c r="H213" i="1" s="1"/>
  <c r="C213" i="1"/>
  <c r="O287" i="1"/>
  <c r="F203" i="1" s="1"/>
  <c r="N287" i="1"/>
  <c r="I203" i="1" s="1"/>
  <c r="M287" i="1"/>
  <c r="C203" i="1"/>
  <c r="P286" i="1"/>
  <c r="F221" i="1" s="1"/>
  <c r="H221" i="1" s="1"/>
  <c r="N286" i="1"/>
  <c r="M286" i="1"/>
  <c r="P285" i="1"/>
  <c r="N285" i="1"/>
  <c r="M285" i="1"/>
  <c r="F222" i="1"/>
  <c r="P284" i="1"/>
  <c r="N284" i="1"/>
  <c r="M284" i="1"/>
  <c r="F223" i="1"/>
  <c r="I223" i="1" s="1"/>
  <c r="P283" i="1"/>
  <c r="F224" i="1" s="1"/>
  <c r="N283" i="1"/>
  <c r="M283" i="1"/>
  <c r="P282" i="1"/>
  <c r="N282" i="1"/>
  <c r="M282" i="1"/>
  <c r="F226" i="1"/>
  <c r="H226" i="1" s="1"/>
  <c r="P281" i="1"/>
  <c r="F227" i="1" s="1"/>
  <c r="N281" i="1"/>
  <c r="M281" i="1"/>
  <c r="P280" i="1"/>
  <c r="F228" i="1" s="1"/>
  <c r="N280" i="1"/>
  <c r="M280" i="1"/>
  <c r="P279" i="1"/>
  <c r="F230" i="1" s="1"/>
  <c r="N279" i="1"/>
  <c r="M279" i="1"/>
  <c r="P278" i="1"/>
  <c r="N278" i="1"/>
  <c r="M278" i="1"/>
  <c r="F231" i="1"/>
  <c r="P277" i="1"/>
  <c r="F232" i="1" s="1"/>
  <c r="N277" i="1"/>
  <c r="M277" i="1"/>
  <c r="P276" i="1"/>
  <c r="F233" i="1" s="1"/>
  <c r="N276" i="1"/>
  <c r="M276" i="1"/>
  <c r="P275" i="1"/>
  <c r="F236" i="1" s="1"/>
  <c r="N275" i="1"/>
  <c r="M275" i="1"/>
  <c r="P274" i="1"/>
  <c r="N274" i="1"/>
  <c r="M274" i="1"/>
  <c r="F235" i="1"/>
  <c r="I235" i="1" s="1"/>
  <c r="P273" i="1"/>
  <c r="F238" i="1" s="1"/>
  <c r="N273" i="1"/>
  <c r="M273" i="1"/>
  <c r="P272" i="1"/>
  <c r="N272" i="1"/>
  <c r="M272" i="1"/>
  <c r="F237" i="1"/>
  <c r="I237" i="1" s="1"/>
  <c r="P271" i="1"/>
  <c r="F241" i="1" s="1"/>
  <c r="N271" i="1"/>
  <c r="M271" i="1"/>
  <c r="P270" i="1"/>
  <c r="F240" i="1" s="1"/>
  <c r="I240" i="1" s="1"/>
  <c r="N270" i="1"/>
  <c r="M270" i="1"/>
  <c r="P269" i="1"/>
  <c r="F239" i="1" s="1"/>
  <c r="M269" i="1"/>
  <c r="N269" i="1" s="1"/>
  <c r="P268" i="1"/>
  <c r="N268" i="1"/>
  <c r="M268" i="1"/>
  <c r="F242" i="1"/>
  <c r="I242" i="1" s="1"/>
  <c r="P267" i="1"/>
  <c r="F243" i="1" s="1"/>
  <c r="N267" i="1"/>
  <c r="M267" i="1"/>
  <c r="P266" i="1"/>
  <c r="F244" i="1" s="1"/>
  <c r="H244" i="1" s="1"/>
  <c r="N266" i="1"/>
  <c r="M266" i="1"/>
  <c r="P265" i="1"/>
  <c r="F245" i="1" s="1"/>
  <c r="I245" i="1" s="1"/>
  <c r="N265" i="1"/>
  <c r="M265" i="1"/>
  <c r="P264" i="1"/>
  <c r="F246" i="1" s="1"/>
  <c r="I246" i="1" s="1"/>
  <c r="N264" i="1"/>
  <c r="M264" i="1"/>
  <c r="P263" i="1"/>
  <c r="F247" i="1" s="1"/>
  <c r="I247" i="1" s="1"/>
  <c r="N263" i="1"/>
  <c r="M263" i="1"/>
  <c r="P262" i="1"/>
  <c r="N262" i="1"/>
  <c r="M262" i="1"/>
  <c r="F248" i="1"/>
  <c r="I248" i="1" s="1"/>
  <c r="P261" i="1"/>
  <c r="F250" i="1" s="1"/>
  <c r="N261" i="1"/>
  <c r="M261" i="1"/>
  <c r="P260" i="1"/>
  <c r="N260" i="1"/>
  <c r="M260" i="1"/>
  <c r="F249" i="1"/>
  <c r="I249" i="1" s="1"/>
  <c r="P259" i="1"/>
  <c r="F252" i="1" s="1"/>
  <c r="N259" i="1"/>
  <c r="M259" i="1"/>
  <c r="P258" i="1"/>
  <c r="N258" i="1"/>
  <c r="M258" i="1"/>
  <c r="F251" i="1"/>
  <c r="I251" i="1" s="1"/>
  <c r="P257" i="1"/>
  <c r="F253" i="1" s="1"/>
  <c r="N257" i="1"/>
  <c r="M257" i="1"/>
  <c r="P256" i="1"/>
  <c r="F261" i="1" s="1"/>
  <c r="H261" i="1" s="1"/>
  <c r="N256" i="1"/>
  <c r="M256" i="1"/>
  <c r="I261" i="1"/>
  <c r="P255" i="1"/>
  <c r="N255" i="1"/>
  <c r="M255" i="1"/>
  <c r="F269" i="1"/>
  <c r="I269" i="1" s="1"/>
  <c r="P254" i="1"/>
  <c r="F301" i="1" s="1"/>
  <c r="I301" i="1" s="1"/>
  <c r="N254" i="1"/>
  <c r="M254" i="1"/>
  <c r="P253" i="1"/>
  <c r="N253" i="1"/>
  <c r="M253" i="1"/>
  <c r="F392" i="1"/>
  <c r="P252" i="1"/>
  <c r="F391" i="1" s="1"/>
  <c r="I391" i="1" s="1"/>
  <c r="N252" i="1"/>
  <c r="M252" i="1"/>
  <c r="P251" i="1"/>
  <c r="N251" i="1"/>
  <c r="M251" i="1"/>
  <c r="F390" i="1"/>
  <c r="I390" i="1" s="1"/>
  <c r="P250" i="1"/>
  <c r="F389" i="1" s="1"/>
  <c r="H389" i="1" s="1"/>
  <c r="N250" i="1"/>
  <c r="M250" i="1"/>
  <c r="F295" i="1"/>
  <c r="H295" i="1" s="1"/>
  <c r="F293" i="1"/>
  <c r="F292" i="1"/>
  <c r="I292" i="1" s="1"/>
  <c r="F289" i="1"/>
  <c r="I289" i="1" s="1"/>
  <c r="F288" i="1"/>
  <c r="I288" i="1" s="1"/>
  <c r="F285" i="1"/>
  <c r="I285" i="1" s="1"/>
  <c r="F284" i="1"/>
  <c r="I284" i="1" s="1"/>
  <c r="F282" i="1"/>
  <c r="I282" i="1" s="1"/>
  <c r="F280" i="1"/>
  <c r="I280" i="1" s="1"/>
  <c r="F278" i="1"/>
  <c r="I278" i="1" s="1"/>
  <c r="F276" i="1"/>
  <c r="I276" i="1" s="1"/>
  <c r="F274" i="1"/>
  <c r="I274" i="1" s="1"/>
  <c r="F273" i="1"/>
  <c r="F272" i="1"/>
  <c r="I272" i="1" s="1"/>
  <c r="F271" i="1"/>
  <c r="I271" i="1" s="1"/>
  <c r="F270" i="1"/>
  <c r="I270" i="1" s="1"/>
  <c r="F268" i="1"/>
  <c r="I268" i="1" s="1"/>
  <c r="F267" i="1"/>
  <c r="I267" i="1" s="1"/>
  <c r="F266" i="1"/>
  <c r="F265" i="1"/>
  <c r="I265" i="1" s="1"/>
  <c r="F264" i="1"/>
  <c r="I264" i="1" s="1"/>
  <c r="F263" i="1"/>
  <c r="F262" i="1"/>
  <c r="F260" i="1"/>
  <c r="H260" i="1" s="1"/>
  <c r="F259" i="1"/>
  <c r="H259" i="1" s="1"/>
  <c r="F258" i="1"/>
  <c r="H258" i="1" s="1"/>
  <c r="F257" i="1"/>
  <c r="I257" i="1" s="1"/>
  <c r="F256" i="1"/>
  <c r="H256" i="1" s="1"/>
  <c r="F255" i="1"/>
  <c r="I255" i="1" s="1"/>
  <c r="F254" i="1"/>
  <c r="F234" i="1"/>
  <c r="I234" i="1" s="1"/>
  <c r="F229" i="1"/>
  <c r="I229" i="1" s="1"/>
  <c r="N217" i="1"/>
  <c r="M217" i="1"/>
  <c r="F179" i="1"/>
  <c r="I179" i="1" s="1"/>
  <c r="C179" i="1"/>
  <c r="N216" i="1"/>
  <c r="M216" i="1"/>
  <c r="F150" i="1"/>
  <c r="I150" i="1" s="1"/>
  <c r="C150" i="1"/>
  <c r="I62" i="1"/>
  <c r="H62" i="1"/>
  <c r="F62" i="1"/>
  <c r="I61" i="1"/>
  <c r="H61" i="1"/>
  <c r="F61" i="1"/>
  <c r="I60" i="1"/>
  <c r="H60" i="1"/>
  <c r="F60" i="1"/>
  <c r="I59" i="1"/>
  <c r="H59" i="1"/>
  <c r="F59" i="1"/>
  <c r="I58" i="1"/>
  <c r="H58" i="1"/>
  <c r="F58" i="1"/>
  <c r="I57" i="1"/>
  <c r="H57" i="1"/>
  <c r="F57" i="1"/>
  <c r="I56" i="1"/>
  <c r="H56" i="1"/>
  <c r="F56" i="1"/>
  <c r="I53" i="1"/>
  <c r="H53" i="1"/>
  <c r="F53" i="1"/>
  <c r="I50" i="1"/>
  <c r="H50" i="1"/>
  <c r="F50" i="1"/>
  <c r="N206" i="1"/>
  <c r="M206" i="1"/>
  <c r="F327" i="1"/>
  <c r="H327" i="1" s="1"/>
  <c r="E327" i="1"/>
  <c r="D327" i="1"/>
  <c r="C327" i="1" s="1"/>
  <c r="N205" i="1"/>
  <c r="M205" i="1"/>
  <c r="F326" i="1"/>
  <c r="I326" i="1" s="1"/>
  <c r="E326" i="1"/>
  <c r="D326" i="1"/>
  <c r="N204" i="1"/>
  <c r="M204" i="1"/>
  <c r="F325" i="1"/>
  <c r="I325" i="1" s="1"/>
  <c r="E325" i="1"/>
  <c r="C325" i="1" s="1"/>
  <c r="D325" i="1"/>
  <c r="N203" i="1"/>
  <c r="M203" i="1"/>
  <c r="F324" i="1"/>
  <c r="H324" i="1" s="1"/>
  <c r="E324" i="1"/>
  <c r="C324" i="1" s="1"/>
  <c r="D324" i="1"/>
  <c r="N202" i="1"/>
  <c r="M202" i="1"/>
  <c r="F323" i="1"/>
  <c r="E323" i="1"/>
  <c r="D323" i="1"/>
  <c r="C323" i="1" s="1"/>
  <c r="N201" i="1"/>
  <c r="M201" i="1"/>
  <c r="F322" i="1"/>
  <c r="H322" i="1" s="1"/>
  <c r="E322" i="1"/>
  <c r="D322" i="1"/>
  <c r="N200" i="1"/>
  <c r="M200" i="1"/>
  <c r="F321" i="1"/>
  <c r="I321" i="1" s="1"/>
  <c r="E321" i="1"/>
  <c r="D321" i="1"/>
  <c r="N199" i="1"/>
  <c r="M199" i="1"/>
  <c r="F320" i="1"/>
  <c r="H320" i="1" s="1"/>
  <c r="E320" i="1"/>
  <c r="D320" i="1"/>
  <c r="C320" i="1" s="1"/>
  <c r="N198" i="1"/>
  <c r="M198" i="1"/>
  <c r="F319" i="1"/>
  <c r="I319" i="1" s="1"/>
  <c r="E319" i="1"/>
  <c r="D319" i="1"/>
  <c r="N197" i="1"/>
  <c r="M197" i="1"/>
  <c r="F318" i="1"/>
  <c r="H318" i="1" s="1"/>
  <c r="E318" i="1"/>
  <c r="D318" i="1"/>
  <c r="C318" i="1"/>
  <c r="N196" i="1"/>
  <c r="M196" i="1"/>
  <c r="F317" i="1"/>
  <c r="I317" i="1" s="1"/>
  <c r="E317" i="1"/>
  <c r="D317" i="1"/>
  <c r="C317" i="1" s="1"/>
  <c r="N195" i="1"/>
  <c r="M195" i="1"/>
  <c r="F316" i="1"/>
  <c r="I316" i="1" s="1"/>
  <c r="E316" i="1"/>
  <c r="D316" i="1"/>
  <c r="C316" i="1"/>
  <c r="N194" i="1"/>
  <c r="M194" i="1"/>
  <c r="F315" i="1"/>
  <c r="I315" i="1" s="1"/>
  <c r="E315" i="1"/>
  <c r="D315" i="1"/>
  <c r="C315" i="1" s="1"/>
  <c r="N193" i="1"/>
  <c r="M193" i="1"/>
  <c r="F314" i="1"/>
  <c r="I314" i="1" s="1"/>
  <c r="E314" i="1"/>
  <c r="D314" i="1"/>
  <c r="C314" i="1" s="1"/>
  <c r="N192" i="1"/>
  <c r="M192" i="1"/>
  <c r="F313" i="1"/>
  <c r="H313" i="1" s="1"/>
  <c r="E313" i="1"/>
  <c r="C313" i="1" s="1"/>
  <c r="D313" i="1"/>
  <c r="N191" i="1"/>
  <c r="M191" i="1"/>
  <c r="F312" i="1"/>
  <c r="H312" i="1" s="1"/>
  <c r="E312" i="1"/>
  <c r="D312" i="1"/>
  <c r="N190" i="1"/>
  <c r="M190" i="1"/>
  <c r="F311" i="1"/>
  <c r="I311" i="1" s="1"/>
  <c r="E311" i="1"/>
  <c r="D311" i="1"/>
  <c r="N189" i="1"/>
  <c r="M189" i="1"/>
  <c r="F310" i="1"/>
  <c r="E310" i="1"/>
  <c r="D310" i="1"/>
  <c r="C310" i="1" s="1"/>
  <c r="N188" i="1"/>
  <c r="M188" i="1"/>
  <c r="F309" i="1"/>
  <c r="I309" i="1" s="1"/>
  <c r="E309" i="1"/>
  <c r="C309" i="1" s="1"/>
  <c r="D309" i="1"/>
  <c r="N187" i="1"/>
  <c r="M187" i="1"/>
  <c r="F308" i="1"/>
  <c r="H308" i="1" s="1"/>
  <c r="E308" i="1"/>
  <c r="D308" i="1"/>
  <c r="C308" i="1"/>
  <c r="N186" i="1"/>
  <c r="M186" i="1"/>
  <c r="F307" i="1"/>
  <c r="I307" i="1" s="1"/>
  <c r="E307" i="1"/>
  <c r="D307" i="1"/>
  <c r="C307" i="1" s="1"/>
  <c r="N185" i="1"/>
  <c r="M185" i="1"/>
  <c r="F306" i="1"/>
  <c r="I306" i="1" s="1"/>
  <c r="E306" i="1"/>
  <c r="D306" i="1"/>
  <c r="C306" i="1" s="1"/>
  <c r="N184" i="1"/>
  <c r="M184" i="1"/>
  <c r="F305" i="1"/>
  <c r="E305" i="1"/>
  <c r="D305" i="1"/>
  <c r="C305" i="1"/>
  <c r="N183" i="1"/>
  <c r="M183" i="1"/>
  <c r="F385" i="1"/>
  <c r="H385" i="1" s="1"/>
  <c r="C385" i="1"/>
  <c r="N182" i="1"/>
  <c r="M182" i="1"/>
  <c r="F363" i="1"/>
  <c r="H363" i="1" s="1"/>
  <c r="C363" i="1"/>
  <c r="N181" i="1"/>
  <c r="M181" i="1"/>
  <c r="F384" i="1"/>
  <c r="C384" i="1"/>
  <c r="N180" i="1"/>
  <c r="M180" i="1"/>
  <c r="F383" i="1"/>
  <c r="I383" i="1" s="1"/>
  <c r="C383" i="1"/>
  <c r="N179" i="1"/>
  <c r="M179" i="1"/>
  <c r="F382" i="1"/>
  <c r="I382" i="1" s="1"/>
  <c r="C382" i="1"/>
  <c r="N178" i="1"/>
  <c r="M178" i="1"/>
  <c r="F381" i="1"/>
  <c r="I381" i="1" s="1"/>
  <c r="C381" i="1"/>
  <c r="N177" i="1"/>
  <c r="M177" i="1"/>
  <c r="F380" i="1"/>
  <c r="I380" i="1" s="1"/>
  <c r="C380" i="1"/>
  <c r="N176" i="1"/>
  <c r="M176" i="1"/>
  <c r="F379" i="1"/>
  <c r="C379" i="1"/>
  <c r="N175" i="1"/>
  <c r="M175" i="1"/>
  <c r="F362" i="1"/>
  <c r="C362" i="1"/>
  <c r="N174" i="1"/>
  <c r="M174" i="1"/>
  <c r="F361" i="1"/>
  <c r="C361" i="1"/>
  <c r="N173" i="1"/>
  <c r="M173" i="1"/>
  <c r="F360" i="1"/>
  <c r="H360" i="1" s="1"/>
  <c r="C360" i="1"/>
  <c r="N172" i="1"/>
  <c r="M172" i="1"/>
  <c r="F378" i="1"/>
  <c r="I378" i="1" s="1"/>
  <c r="C378" i="1"/>
  <c r="N171" i="1"/>
  <c r="M171" i="1"/>
  <c r="F377" i="1"/>
  <c r="I377" i="1" s="1"/>
  <c r="C377" i="1"/>
  <c r="N170" i="1"/>
  <c r="M170" i="1"/>
  <c r="F376" i="1"/>
  <c r="I376" i="1" s="1"/>
  <c r="C376" i="1"/>
  <c r="N169" i="1"/>
  <c r="M169" i="1"/>
  <c r="F359" i="1"/>
  <c r="C359" i="1"/>
  <c r="N168" i="1"/>
  <c r="F358" i="1"/>
  <c r="H358" i="1" s="1"/>
  <c r="C358" i="1"/>
  <c r="N167" i="1"/>
  <c r="F357" i="1"/>
  <c r="C357" i="1"/>
  <c r="N166" i="1"/>
  <c r="M166" i="1"/>
  <c r="F375" i="1"/>
  <c r="I375" i="1" s="1"/>
  <c r="C375" i="1"/>
  <c r="N165" i="1"/>
  <c r="M165" i="1"/>
  <c r="F374" i="1"/>
  <c r="I374" i="1" s="1"/>
  <c r="C374" i="1"/>
  <c r="N164" i="1"/>
  <c r="F356" i="1"/>
  <c r="H356" i="1" s="1"/>
  <c r="C356" i="1"/>
  <c r="I458" i="1"/>
  <c r="H458" i="1"/>
  <c r="F458" i="1"/>
  <c r="I461" i="1"/>
  <c r="H461" i="1"/>
  <c r="F461" i="1"/>
  <c r="I462" i="1"/>
  <c r="H462" i="1"/>
  <c r="F462" i="1"/>
  <c r="I463" i="1"/>
  <c r="H463" i="1"/>
  <c r="F463" i="1"/>
  <c r="I464" i="1"/>
  <c r="H464" i="1"/>
  <c r="F464" i="1"/>
  <c r="I465" i="1"/>
  <c r="H465" i="1"/>
  <c r="F465" i="1"/>
  <c r="I466" i="1"/>
  <c r="H466" i="1"/>
  <c r="F466" i="1"/>
  <c r="I467" i="1"/>
  <c r="H467" i="1"/>
  <c r="F467" i="1"/>
  <c r="I469" i="1"/>
  <c r="H469" i="1"/>
  <c r="F469" i="1"/>
  <c r="I470" i="1"/>
  <c r="H470" i="1"/>
  <c r="F470" i="1"/>
  <c r="I471" i="1"/>
  <c r="H471" i="1"/>
  <c r="F471" i="1"/>
  <c r="I472" i="1"/>
  <c r="H472" i="1"/>
  <c r="F472" i="1"/>
  <c r="I473" i="1"/>
  <c r="H473" i="1"/>
  <c r="F473" i="1"/>
  <c r="I474" i="1"/>
  <c r="H474" i="1"/>
  <c r="F474" i="1"/>
  <c r="I475" i="1"/>
  <c r="H475" i="1"/>
  <c r="F475" i="1"/>
  <c r="I476" i="1"/>
  <c r="H476" i="1"/>
  <c r="F476" i="1"/>
  <c r="I478" i="1"/>
  <c r="H478" i="1"/>
  <c r="F478" i="1"/>
  <c r="I477" i="1"/>
  <c r="H477" i="1"/>
  <c r="F477" i="1"/>
  <c r="I480" i="1"/>
  <c r="H480" i="1"/>
  <c r="F480" i="1"/>
  <c r="I481" i="1"/>
  <c r="H481" i="1"/>
  <c r="F481" i="1"/>
  <c r="I482" i="1"/>
  <c r="H482" i="1"/>
  <c r="F482" i="1"/>
  <c r="I483" i="1"/>
  <c r="H483" i="1"/>
  <c r="F483" i="1"/>
  <c r="I484" i="1"/>
  <c r="H484" i="1"/>
  <c r="F484" i="1"/>
  <c r="I485" i="1"/>
  <c r="H485" i="1"/>
  <c r="F485" i="1"/>
  <c r="I486" i="1"/>
  <c r="H486" i="1"/>
  <c r="F486" i="1"/>
  <c r="I487" i="1"/>
  <c r="H487" i="1"/>
  <c r="F487" i="1"/>
  <c r="I488" i="1"/>
  <c r="H488" i="1"/>
  <c r="F488" i="1"/>
  <c r="I489" i="1"/>
  <c r="H489" i="1"/>
  <c r="F489" i="1"/>
  <c r="I490" i="1"/>
  <c r="H490" i="1"/>
  <c r="F490" i="1"/>
  <c r="L134" i="1"/>
  <c r="F149" i="1"/>
  <c r="I149" i="1" s="1"/>
  <c r="C149" i="1"/>
  <c r="N133" i="1"/>
  <c r="M133" i="1"/>
  <c r="F452" i="1"/>
  <c r="I452" i="1" s="1"/>
  <c r="C452" i="1"/>
  <c r="N132" i="1"/>
  <c r="M132" i="1"/>
  <c r="F451" i="1"/>
  <c r="C451" i="1"/>
  <c r="N131" i="1"/>
  <c r="M131" i="1"/>
  <c r="F447" i="1"/>
  <c r="I447" i="1" s="1"/>
  <c r="C447" i="1"/>
  <c r="N130" i="1"/>
  <c r="M130" i="1"/>
  <c r="F423" i="1"/>
  <c r="C423" i="1"/>
  <c r="N129" i="1"/>
  <c r="M129" i="1"/>
  <c r="F422" i="1"/>
  <c r="I422" i="1" s="1"/>
  <c r="C422" i="1"/>
  <c r="F459" i="1"/>
  <c r="C459" i="1"/>
  <c r="F450" i="1"/>
  <c r="I450" i="1" s="1"/>
  <c r="C450" i="1"/>
  <c r="F446" i="1"/>
  <c r="C446" i="1"/>
  <c r="F219" i="1"/>
  <c r="C219" i="1"/>
  <c r="F148" i="1"/>
  <c r="I148" i="1" s="1"/>
  <c r="C148" i="1"/>
  <c r="F457" i="1"/>
  <c r="I457" i="1" s="1"/>
  <c r="C457" i="1"/>
  <c r="F460" i="1"/>
  <c r="I460" i="1" s="1"/>
  <c r="C460" i="1"/>
  <c r="F523" i="1"/>
  <c r="I523" i="1" s="1"/>
  <c r="C523" i="1"/>
  <c r="E523" i="1" s="1"/>
  <c r="F522" i="1"/>
  <c r="C522" i="1"/>
  <c r="E522" i="1" s="1"/>
  <c r="F521" i="1"/>
  <c r="H521" i="1" s="1"/>
  <c r="C521" i="1"/>
  <c r="E521" i="1" s="1"/>
  <c r="F520" i="1"/>
  <c r="C520" i="1"/>
  <c r="E520" i="1" s="1"/>
  <c r="F519" i="1"/>
  <c r="H519" i="1" s="1"/>
  <c r="C519" i="1"/>
  <c r="F518" i="1"/>
  <c r="I518" i="1" s="1"/>
  <c r="C518" i="1"/>
  <c r="E518" i="1" s="1"/>
  <c r="F517" i="1"/>
  <c r="I517" i="1" s="1"/>
  <c r="C517" i="1"/>
  <c r="F516" i="1"/>
  <c r="I516" i="1" s="1"/>
  <c r="C516" i="1"/>
  <c r="E516" i="1" s="1"/>
  <c r="F515" i="1"/>
  <c r="H515" i="1" s="1"/>
  <c r="C515" i="1"/>
  <c r="D515" i="1" s="1"/>
  <c r="F514" i="1"/>
  <c r="I514" i="1" s="1"/>
  <c r="C514" i="1"/>
  <c r="F513" i="1"/>
  <c r="H513" i="1" s="1"/>
  <c r="C513" i="1"/>
  <c r="E513" i="1" s="1"/>
  <c r="F512" i="1"/>
  <c r="I512" i="1" s="1"/>
  <c r="C512" i="1"/>
  <c r="E512" i="1" s="1"/>
  <c r="F511" i="1"/>
  <c r="I511" i="1" s="1"/>
  <c r="C511" i="1"/>
  <c r="E511" i="1" s="1"/>
  <c r="F510" i="1"/>
  <c r="I510" i="1" s="1"/>
  <c r="C510" i="1"/>
  <c r="D510" i="1" s="1"/>
  <c r="F138" i="1"/>
  <c r="I138" i="1" s="1"/>
  <c r="C138" i="1"/>
  <c r="D138" i="1" s="1"/>
  <c r="F137" i="1"/>
  <c r="I137" i="1" s="1"/>
  <c r="C137" i="1"/>
  <c r="E137" i="1" s="1"/>
  <c r="F136" i="1"/>
  <c r="I136" i="1" s="1"/>
  <c r="C136" i="1"/>
  <c r="E136" i="1" s="1"/>
  <c r="F135" i="1"/>
  <c r="I135" i="1" s="1"/>
  <c r="C135" i="1"/>
  <c r="E135" i="1" s="1"/>
  <c r="F131" i="1"/>
  <c r="I131" i="1" s="1"/>
  <c r="C131" i="1"/>
  <c r="D131" i="1" s="1"/>
  <c r="F130" i="1"/>
  <c r="H130" i="1" s="1"/>
  <c r="C130" i="1"/>
  <c r="F129" i="1"/>
  <c r="I129" i="1" s="1"/>
  <c r="C129" i="1"/>
  <c r="D129" i="1" s="1"/>
  <c r="F127" i="1"/>
  <c r="C127" i="1"/>
  <c r="E127" i="1" s="1"/>
  <c r="F126" i="1"/>
  <c r="H126" i="1" s="1"/>
  <c r="C126" i="1"/>
  <c r="E126" i="1" s="1"/>
  <c r="F125" i="1"/>
  <c r="I125" i="1" s="1"/>
  <c r="C125" i="1"/>
  <c r="E125" i="1" s="1"/>
  <c r="F124" i="1"/>
  <c r="I124" i="1" s="1"/>
  <c r="C124" i="1"/>
  <c r="F123" i="1"/>
  <c r="I123" i="1" s="1"/>
  <c r="C123" i="1"/>
  <c r="E123" i="1" s="1"/>
  <c r="F122" i="1"/>
  <c r="I122" i="1" s="1"/>
  <c r="C122" i="1"/>
  <c r="F121" i="1"/>
  <c r="H121" i="1" s="1"/>
  <c r="C121" i="1"/>
  <c r="E121" i="1" s="1"/>
  <c r="F118" i="1"/>
  <c r="H118" i="1" s="1"/>
  <c r="C118" i="1"/>
  <c r="E118" i="1" s="1"/>
  <c r="F115" i="1"/>
  <c r="I115" i="1" s="1"/>
  <c r="C115" i="1"/>
  <c r="F113" i="1"/>
  <c r="H113" i="1" s="1"/>
  <c r="C113" i="1"/>
  <c r="E113" i="1" s="1"/>
  <c r="F110" i="1"/>
  <c r="H110" i="1" s="1"/>
  <c r="C110" i="1"/>
  <c r="E110" i="1" s="1"/>
  <c r="F108" i="1"/>
  <c r="I108" i="1" s="1"/>
  <c r="C108" i="1"/>
  <c r="E108" i="1" s="1"/>
  <c r="F106" i="1"/>
  <c r="I106" i="1" s="1"/>
  <c r="C106" i="1"/>
  <c r="D106" i="1" s="1"/>
  <c r="F105" i="1"/>
  <c r="I105" i="1" s="1"/>
  <c r="C105" i="1"/>
  <c r="E105" i="1" s="1"/>
  <c r="F104" i="1"/>
  <c r="I104" i="1" s="1"/>
  <c r="C104" i="1"/>
  <c r="E104" i="1" s="1"/>
  <c r="F144" i="1"/>
  <c r="I144" i="1" s="1"/>
  <c r="C144" i="1"/>
  <c r="F134" i="1"/>
  <c r="I134" i="1" s="1"/>
  <c r="C134" i="1"/>
  <c r="F133" i="1"/>
  <c r="C133" i="1"/>
  <c r="F128" i="1"/>
  <c r="I128" i="1" s="1"/>
  <c r="C128" i="1"/>
  <c r="F119" i="1"/>
  <c r="I119" i="1" s="1"/>
  <c r="E119" i="1"/>
  <c r="C119" i="1" s="1"/>
  <c r="F111" i="1"/>
  <c r="E111" i="1"/>
  <c r="C111" i="1" s="1"/>
  <c r="F206" i="1"/>
  <c r="I206" i="1" s="1"/>
  <c r="C206" i="1"/>
  <c r="F434" i="1"/>
  <c r="H434" i="1" s="1"/>
  <c r="C434" i="1"/>
  <c r="F225" i="1"/>
  <c r="I225" i="1" s="1"/>
  <c r="C225" i="1"/>
  <c r="F100" i="1"/>
  <c r="H100" i="1" s="1"/>
  <c r="C100" i="1"/>
  <c r="F99" i="1"/>
  <c r="I99" i="1" s="1"/>
  <c r="C99" i="1"/>
  <c r="E99" i="1" s="1"/>
  <c r="F96" i="1"/>
  <c r="I96" i="1" s="1"/>
  <c r="C96" i="1"/>
  <c r="F95" i="1"/>
  <c r="I95" i="1" s="1"/>
  <c r="C95" i="1"/>
  <c r="E95" i="1" s="1"/>
  <c r="F92" i="1"/>
  <c r="I92" i="1" s="1"/>
  <c r="C92" i="1"/>
  <c r="E92" i="1" s="1"/>
  <c r="F91" i="1"/>
  <c r="H91" i="1" s="1"/>
  <c r="C91" i="1"/>
  <c r="E91" i="1" s="1"/>
  <c r="F89" i="1"/>
  <c r="C89" i="1"/>
  <c r="D89" i="1" s="1"/>
  <c r="F505" i="1"/>
  <c r="I505" i="1" s="1"/>
  <c r="C505" i="1"/>
  <c r="F504" i="1"/>
  <c r="I504" i="1" s="1"/>
  <c r="C504" i="1"/>
  <c r="F508" i="1"/>
  <c r="I508" i="1" s="1"/>
  <c r="C508" i="1"/>
  <c r="F507" i="1"/>
  <c r="H507" i="1" s="1"/>
  <c r="C507" i="1"/>
  <c r="F503" i="1"/>
  <c r="C503" i="1"/>
  <c r="F502" i="1"/>
  <c r="I502" i="1" s="1"/>
  <c r="C502" i="1"/>
  <c r="F211" i="1"/>
  <c r="I211" i="1" s="1"/>
  <c r="C211" i="1"/>
  <c r="F205" i="1"/>
  <c r="C205" i="1"/>
  <c r="F506" i="1"/>
  <c r="C506" i="1"/>
  <c r="F498" i="1"/>
  <c r="I498" i="1" s="1"/>
  <c r="C498" i="1"/>
  <c r="F493" i="1"/>
  <c r="I493" i="1" s="1"/>
  <c r="C493" i="1"/>
  <c r="F479" i="1"/>
  <c r="I479" i="1" s="1"/>
  <c r="C479" i="1"/>
  <c r="F456" i="1"/>
  <c r="I456" i="1" s="1"/>
  <c r="C456" i="1"/>
  <c r="F449" i="1"/>
  <c r="I449" i="1" s="1"/>
  <c r="C449" i="1"/>
  <c r="F433" i="1"/>
  <c r="I433" i="1" s="1"/>
  <c r="C433" i="1"/>
  <c r="F432" i="1"/>
  <c r="I432" i="1" s="1"/>
  <c r="C432" i="1"/>
  <c r="F431" i="1"/>
  <c r="I431" i="1" s="1"/>
  <c r="C431" i="1"/>
  <c r="F218" i="1"/>
  <c r="I218" i="1" s="1"/>
  <c r="C218" i="1"/>
  <c r="F220" i="1"/>
  <c r="C220" i="1"/>
  <c r="F216" i="1"/>
  <c r="I216" i="1" s="1"/>
  <c r="C216" i="1"/>
  <c r="F195" i="1"/>
  <c r="I195" i="1" s="1"/>
  <c r="C195" i="1"/>
  <c r="F194" i="1"/>
  <c r="C194" i="1"/>
  <c r="F193" i="1"/>
  <c r="I193" i="1" s="1"/>
  <c r="C193" i="1"/>
  <c r="F192" i="1"/>
  <c r="I192" i="1" s="1"/>
  <c r="C192" i="1"/>
  <c r="F146" i="1"/>
  <c r="H146" i="1" s="1"/>
  <c r="C146" i="1"/>
  <c r="F145" i="1"/>
  <c r="I145" i="1" s="1"/>
  <c r="C145" i="1"/>
  <c r="F143" i="1"/>
  <c r="H143" i="1" s="1"/>
  <c r="C143" i="1"/>
  <c r="F142" i="1"/>
  <c r="H142" i="1" s="1"/>
  <c r="C142" i="1"/>
  <c r="F141" i="1"/>
  <c r="I141" i="1" s="1"/>
  <c r="C141" i="1"/>
  <c r="F101" i="1"/>
  <c r="E101" i="1"/>
  <c r="C101" i="1" s="1"/>
  <c r="F73" i="1"/>
  <c r="F69" i="1"/>
  <c r="I69" i="1" s="1"/>
  <c r="C69" i="1"/>
  <c r="F67" i="1"/>
  <c r="H67" i="1" s="1"/>
  <c r="F36" i="1"/>
  <c r="I36" i="1" s="1"/>
  <c r="F509" i="1"/>
  <c r="I509" i="1" s="1"/>
  <c r="C509" i="1"/>
  <c r="F501" i="1"/>
  <c r="I501" i="1" s="1"/>
  <c r="C501" i="1"/>
  <c r="F500" i="1"/>
  <c r="C500" i="1"/>
  <c r="F497" i="1"/>
  <c r="I497" i="1" s="1"/>
  <c r="C497" i="1"/>
  <c r="F496" i="1"/>
  <c r="C496" i="1"/>
  <c r="F495" i="1"/>
  <c r="I495" i="1" s="1"/>
  <c r="C495" i="1"/>
  <c r="F494" i="1"/>
  <c r="I494" i="1" s="1"/>
  <c r="C494" i="1"/>
  <c r="F492" i="1"/>
  <c r="I492" i="1" s="1"/>
  <c r="C492" i="1"/>
  <c r="F468" i="1"/>
  <c r="I468" i="1" s="1"/>
  <c r="C468" i="1"/>
  <c r="F52" i="1"/>
  <c r="H52" i="1" s="1"/>
  <c r="F51" i="1"/>
  <c r="I51" i="1" s="1"/>
  <c r="F46" i="1"/>
  <c r="I46" i="1" s="1"/>
  <c r="F41" i="1"/>
  <c r="I41" i="1" s="1"/>
  <c r="F140" i="1"/>
  <c r="C140" i="1"/>
  <c r="F98" i="1"/>
  <c r="I98" i="1" s="1"/>
  <c r="F94" i="1"/>
  <c r="I94" i="1" s="1"/>
  <c r="F42" i="1"/>
  <c r="C42" i="1"/>
  <c r="F48" i="1"/>
  <c r="H48" i="1" s="1"/>
  <c r="C48" i="1"/>
  <c r="F43" i="1"/>
  <c r="I43" i="1" s="1"/>
  <c r="E43" i="1"/>
  <c r="D43" i="1"/>
  <c r="F499" i="1"/>
  <c r="I499" i="1" s="1"/>
  <c r="C499" i="1"/>
  <c r="F491" i="1"/>
  <c r="H491" i="1" s="1"/>
  <c r="C491" i="1"/>
  <c r="F97" i="1"/>
  <c r="H97" i="1" s="1"/>
  <c r="F93" i="1"/>
  <c r="I93" i="1" s="1"/>
  <c r="F168" i="1"/>
  <c r="I168" i="1" s="1"/>
  <c r="C168" i="1"/>
  <c r="F90" i="1"/>
  <c r="H90" i="1" s="1"/>
  <c r="C90" i="1"/>
  <c r="F54" i="1"/>
  <c r="I54" i="1" s="1"/>
  <c r="C54" i="1"/>
  <c r="F44" i="1"/>
  <c r="H44" i="1" s="1"/>
  <c r="C44" i="1"/>
  <c r="F35" i="1"/>
  <c r="I35" i="1" s="1"/>
  <c r="C35" i="1"/>
  <c r="F388" i="1"/>
  <c r="I388" i="1" s="1"/>
  <c r="E388" i="1"/>
  <c r="D388" i="1"/>
  <c r="F448" i="1"/>
  <c r="C448" i="1"/>
  <c r="F214" i="1"/>
  <c r="I214" i="1" s="1"/>
  <c r="C214" i="1"/>
  <c r="F430" i="1"/>
  <c r="I430" i="1" s="1"/>
  <c r="C430" i="1"/>
  <c r="F387" i="1"/>
  <c r="I387" i="1" s="1"/>
  <c r="E387" i="1"/>
  <c r="D387" i="1"/>
  <c r="F2" i="1"/>
  <c r="C2" i="1"/>
  <c r="H4" i="2" l="1"/>
  <c r="H19" i="2"/>
  <c r="H14" i="2"/>
  <c r="I10" i="2"/>
  <c r="H6" i="2"/>
  <c r="H15" i="2"/>
  <c r="H7" i="2"/>
  <c r="H16" i="2"/>
  <c r="I12" i="2"/>
  <c r="H2" i="2"/>
  <c r="H17" i="2"/>
  <c r="H8" i="2"/>
  <c r="H18" i="2"/>
  <c r="H3" i="2"/>
  <c r="I13" i="2"/>
  <c r="H5" i="2"/>
  <c r="I389" i="1"/>
  <c r="I161" i="1"/>
  <c r="I174" i="1"/>
  <c r="I295" i="1"/>
  <c r="I356" i="1"/>
  <c r="H203" i="1"/>
  <c r="I130" i="1"/>
  <c r="I259" i="1"/>
  <c r="C321" i="1"/>
  <c r="I521" i="1"/>
  <c r="H236" i="1"/>
  <c r="I236" i="1"/>
  <c r="H168" i="1"/>
  <c r="E510" i="1"/>
  <c r="H306" i="1"/>
  <c r="H309" i="1"/>
  <c r="I100" i="1"/>
  <c r="I360" i="1"/>
  <c r="I363" i="1"/>
  <c r="E131" i="1"/>
  <c r="H381" i="1"/>
  <c r="H41" i="1"/>
  <c r="H269" i="1"/>
  <c r="D110" i="1"/>
  <c r="I515" i="1"/>
  <c r="H276" i="1"/>
  <c r="H456" i="1"/>
  <c r="I91" i="1"/>
  <c r="H124" i="1"/>
  <c r="I322" i="1"/>
  <c r="I260" i="1"/>
  <c r="H217" i="1"/>
  <c r="H162" i="1"/>
  <c r="I97" i="1"/>
  <c r="H523" i="1"/>
  <c r="H452" i="1"/>
  <c r="I338" i="1"/>
  <c r="I110" i="1"/>
  <c r="D511" i="1"/>
  <c r="H319" i="1"/>
  <c r="I181" i="1"/>
  <c r="I176" i="1"/>
  <c r="I408" i="1"/>
  <c r="I400" i="1"/>
  <c r="I142" i="1"/>
  <c r="H92" i="1"/>
  <c r="H104" i="1"/>
  <c r="I313" i="1"/>
  <c r="H346" i="1"/>
  <c r="H375" i="1"/>
  <c r="I385" i="1"/>
  <c r="H282" i="1"/>
  <c r="I453" i="1"/>
  <c r="I202" i="1"/>
  <c r="I399" i="1"/>
  <c r="I143" i="1"/>
  <c r="C326" i="1"/>
  <c r="I226" i="1"/>
  <c r="I201" i="1"/>
  <c r="H388" i="1"/>
  <c r="I507" i="1"/>
  <c r="I434" i="1"/>
  <c r="I113" i="1"/>
  <c r="H135" i="1"/>
  <c r="H355" i="1"/>
  <c r="I491" i="1"/>
  <c r="H501" i="1"/>
  <c r="D512" i="1"/>
  <c r="H264" i="1"/>
  <c r="I178" i="1"/>
  <c r="H407" i="1"/>
  <c r="I52" i="1"/>
  <c r="D95" i="1"/>
  <c r="D126" i="1"/>
  <c r="H149" i="1"/>
  <c r="H377" i="1"/>
  <c r="H508" i="1"/>
  <c r="H115" i="1"/>
  <c r="D136" i="1"/>
  <c r="H105" i="1"/>
  <c r="H457" i="1"/>
  <c r="H265" i="1"/>
  <c r="H406" i="1"/>
  <c r="I345" i="1"/>
  <c r="D513" i="1"/>
  <c r="E515" i="1"/>
  <c r="H193" i="1"/>
  <c r="I373" i="1"/>
  <c r="I347" i="1"/>
  <c r="H498" i="1"/>
  <c r="H95" i="1"/>
  <c r="I126" i="1"/>
  <c r="I519" i="1"/>
  <c r="I67" i="1"/>
  <c r="H314" i="1"/>
  <c r="H289" i="1"/>
  <c r="H378" i="1"/>
  <c r="H494" i="1"/>
  <c r="E129" i="1"/>
  <c r="D521" i="1"/>
  <c r="H69" i="1"/>
  <c r="D108" i="1"/>
  <c r="I121" i="1"/>
  <c r="I358" i="1"/>
  <c r="I324" i="1"/>
  <c r="I256" i="1"/>
  <c r="H270" i="1"/>
  <c r="H292" i="1"/>
  <c r="I342" i="1"/>
  <c r="E138" i="1"/>
  <c r="H514" i="1"/>
  <c r="I318" i="1"/>
  <c r="H158" i="1"/>
  <c r="I190" i="1"/>
  <c r="I425" i="1"/>
  <c r="H365" i="1"/>
  <c r="C311" i="1"/>
  <c r="I320" i="1"/>
  <c r="H184" i="1"/>
  <c r="H208" i="1"/>
  <c r="I398" i="1"/>
  <c r="H367" i="1"/>
  <c r="I44" i="1"/>
  <c r="I327" i="1"/>
  <c r="H170" i="1"/>
  <c r="H504" i="1"/>
  <c r="E106" i="1"/>
  <c r="I118" i="1"/>
  <c r="I308" i="1"/>
  <c r="I146" i="1"/>
  <c r="H119" i="1"/>
  <c r="H137" i="1"/>
  <c r="I513" i="1"/>
  <c r="H148" i="1"/>
  <c r="I154" i="1"/>
  <c r="I185" i="1"/>
  <c r="I350" i="1"/>
  <c r="I48" i="1"/>
  <c r="I171" i="1"/>
  <c r="H430" i="1"/>
  <c r="I90" i="1"/>
  <c r="H192" i="1"/>
  <c r="H99" i="1"/>
  <c r="E89" i="1"/>
  <c r="I312" i="1"/>
  <c r="H246" i="1"/>
  <c r="H173" i="1"/>
  <c r="I402" i="1"/>
  <c r="H395" i="1"/>
  <c r="C322" i="1"/>
  <c r="I258" i="1"/>
  <c r="I116" i="1"/>
  <c r="H348" i="1"/>
  <c r="I341" i="1"/>
  <c r="C319" i="1"/>
  <c r="I221" i="1"/>
  <c r="H424" i="1"/>
  <c r="H46" i="1"/>
  <c r="I357" i="1"/>
  <c r="H357" i="1"/>
  <c r="H383" i="1"/>
  <c r="H267" i="1"/>
  <c r="H284" i="1"/>
  <c r="H390" i="1"/>
  <c r="H163" i="1"/>
  <c r="H197" i="1"/>
  <c r="H497" i="1"/>
  <c r="I73" i="1"/>
  <c r="H73" i="1"/>
  <c r="E122" i="1"/>
  <c r="D122" i="1"/>
  <c r="D127" i="1"/>
  <c r="H316" i="1"/>
  <c r="I238" i="1"/>
  <c r="H238" i="1"/>
  <c r="I224" i="1"/>
  <c r="H224" i="1"/>
  <c r="H368" i="1"/>
  <c r="H499" i="1"/>
  <c r="I506" i="1"/>
  <c r="H506" i="1"/>
  <c r="H206" i="1"/>
  <c r="D516" i="1"/>
  <c r="H257" i="1"/>
  <c r="H152" i="1"/>
  <c r="H393" i="1"/>
  <c r="H54" i="1"/>
  <c r="H511" i="1"/>
  <c r="I219" i="1"/>
  <c r="H219" i="1"/>
  <c r="H285" i="1"/>
  <c r="H249" i="1"/>
  <c r="I239" i="1"/>
  <c r="H239" i="1"/>
  <c r="H235" i="1"/>
  <c r="H223" i="1"/>
  <c r="I353" i="1"/>
  <c r="H353" i="1"/>
  <c r="I500" i="1"/>
  <c r="H500" i="1"/>
  <c r="D123" i="1"/>
  <c r="H311" i="1"/>
  <c r="H150" i="1"/>
  <c r="H177" i="1"/>
  <c r="H433" i="1"/>
  <c r="E96" i="1"/>
  <c r="D96" i="1"/>
  <c r="D113" i="1"/>
  <c r="D522" i="1"/>
  <c r="I446" i="1"/>
  <c r="H446" i="1"/>
  <c r="H391" i="1"/>
  <c r="H240" i="1"/>
  <c r="I230" i="1"/>
  <c r="H230" i="1"/>
  <c r="H454" i="1"/>
  <c r="H157" i="1"/>
  <c r="H404" i="1"/>
  <c r="D105" i="1"/>
  <c r="H129" i="1"/>
  <c r="I323" i="1"/>
  <c r="H323" i="1"/>
  <c r="H326" i="1"/>
  <c r="H272" i="1"/>
  <c r="I160" i="1"/>
  <c r="H167" i="1"/>
  <c r="H214" i="1"/>
  <c r="H468" i="1"/>
  <c r="H211" i="1"/>
  <c r="H96" i="1"/>
  <c r="D137" i="1"/>
  <c r="D518" i="1"/>
  <c r="I522" i="1"/>
  <c r="H522" i="1"/>
  <c r="I359" i="1"/>
  <c r="H359" i="1"/>
  <c r="E130" i="1"/>
  <c r="D130" i="1"/>
  <c r="I273" i="1"/>
  <c r="H273" i="1"/>
  <c r="I244" i="1"/>
  <c r="I228" i="1"/>
  <c r="H228" i="1"/>
  <c r="I212" i="1"/>
  <c r="H212" i="1"/>
  <c r="I169" i="1"/>
  <c r="H169" i="1"/>
  <c r="I231" i="1"/>
  <c r="H231" i="1"/>
  <c r="I194" i="1"/>
  <c r="H194" i="1"/>
  <c r="I459" i="1"/>
  <c r="H459" i="1"/>
  <c r="I227" i="1"/>
  <c r="H227" i="1"/>
  <c r="I455" i="1"/>
  <c r="H455" i="1"/>
  <c r="I42" i="1"/>
  <c r="H42" i="1"/>
  <c r="H518" i="1"/>
  <c r="H374" i="1"/>
  <c r="I262" i="1"/>
  <c r="H262" i="1"/>
  <c r="I250" i="1"/>
  <c r="H250" i="1"/>
  <c r="I180" i="1"/>
  <c r="H180" i="1"/>
  <c r="I204" i="1"/>
  <c r="H204" i="1"/>
  <c r="H509" i="1"/>
  <c r="I263" i="1"/>
  <c r="H263" i="1"/>
  <c r="H94" i="1"/>
  <c r="H128" i="1"/>
  <c r="D125" i="1"/>
  <c r="H422" i="1"/>
  <c r="H229" i="1"/>
  <c r="I253" i="1"/>
  <c r="H253" i="1"/>
  <c r="I241" i="1"/>
  <c r="H241" i="1"/>
  <c r="I70" i="1"/>
  <c r="H70" i="1"/>
  <c r="H186" i="1"/>
  <c r="H93" i="1"/>
  <c r="E514" i="1"/>
  <c r="D514" i="1"/>
  <c r="I361" i="1"/>
  <c r="H361" i="1"/>
  <c r="H315" i="1"/>
  <c r="I303" i="1"/>
  <c r="H303" i="1"/>
  <c r="H36" i="1"/>
  <c r="D118" i="1"/>
  <c r="H138" i="1"/>
  <c r="H278" i="1"/>
  <c r="H251" i="1"/>
  <c r="I243" i="1"/>
  <c r="H243" i="1"/>
  <c r="H237" i="1"/>
  <c r="I147" i="1"/>
  <c r="H147" i="1"/>
  <c r="I172" i="1"/>
  <c r="H172" i="1"/>
  <c r="I187" i="1"/>
  <c r="H187" i="1"/>
  <c r="I140" i="1"/>
  <c r="H140" i="1"/>
  <c r="I220" i="1"/>
  <c r="H220" i="1"/>
  <c r="H131" i="1"/>
  <c r="D520" i="1"/>
  <c r="H234" i="1"/>
  <c r="H301" i="1"/>
  <c r="I188" i="1"/>
  <c r="H188" i="1"/>
  <c r="H495" i="1"/>
  <c r="D92" i="1"/>
  <c r="H307" i="1"/>
  <c r="H242" i="1"/>
  <c r="H209" i="1"/>
  <c r="H370" i="1"/>
  <c r="I2" i="1"/>
  <c r="H2" i="1"/>
  <c r="H134" i="1"/>
  <c r="I520" i="1"/>
  <c r="H520" i="1"/>
  <c r="I362" i="1"/>
  <c r="H362" i="1"/>
  <c r="H218" i="1"/>
  <c r="H108" i="1"/>
  <c r="D135" i="1"/>
  <c r="I310" i="1"/>
  <c r="H310" i="1"/>
  <c r="I266" i="1"/>
  <c r="H266" i="1"/>
  <c r="I232" i="1"/>
  <c r="H232" i="1"/>
  <c r="I196" i="1"/>
  <c r="H196" i="1"/>
  <c r="E115" i="1"/>
  <c r="D115" i="1"/>
  <c r="I252" i="1"/>
  <c r="H252" i="1"/>
  <c r="H225" i="1"/>
  <c r="H123" i="1"/>
  <c r="I127" i="1"/>
  <c r="H127" i="1"/>
  <c r="H510" i="1"/>
  <c r="E519" i="1"/>
  <c r="D519" i="1"/>
  <c r="D523" i="1"/>
  <c r="I451" i="1"/>
  <c r="H451" i="1"/>
  <c r="H325" i="1"/>
  <c r="I254" i="1"/>
  <c r="H254" i="1"/>
  <c r="H247" i="1"/>
  <c r="H151" i="1"/>
  <c r="H405" i="1"/>
  <c r="I448" i="1"/>
  <c r="H448" i="1"/>
  <c r="H51" i="1"/>
  <c r="I496" i="1"/>
  <c r="H496" i="1"/>
  <c r="H216" i="1"/>
  <c r="H449" i="1"/>
  <c r="I133" i="1"/>
  <c r="H133" i="1"/>
  <c r="H382" i="1"/>
  <c r="H317" i="1"/>
  <c r="H288" i="1"/>
  <c r="H166" i="1"/>
  <c r="I369" i="1"/>
  <c r="H369" i="1"/>
  <c r="I205" i="1"/>
  <c r="H205" i="1"/>
  <c r="H106" i="1"/>
  <c r="E124" i="1"/>
  <c r="D124" i="1"/>
  <c r="H255" i="1"/>
  <c r="H274" i="1"/>
  <c r="I153" i="1"/>
  <c r="H153" i="1"/>
  <c r="I101" i="1"/>
  <c r="H101" i="1"/>
  <c r="I89" i="1"/>
  <c r="H89" i="1"/>
  <c r="I293" i="1"/>
  <c r="H293" i="1"/>
  <c r="I71" i="1"/>
  <c r="H71" i="1"/>
  <c r="H159" i="1"/>
  <c r="H396" i="1"/>
  <c r="H304" i="1"/>
  <c r="H35" i="1"/>
  <c r="H479" i="1"/>
  <c r="D104" i="1"/>
  <c r="D121" i="1"/>
  <c r="H380" i="1"/>
  <c r="I392" i="1"/>
  <c r="H392" i="1"/>
  <c r="H233" i="1"/>
  <c r="I233" i="1"/>
  <c r="H155" i="1"/>
  <c r="H199" i="1"/>
  <c r="H210" i="1"/>
  <c r="H336" i="1"/>
  <c r="H387" i="1"/>
  <c r="H98" i="1"/>
  <c r="I503" i="1"/>
  <c r="H503" i="1"/>
  <c r="D91" i="1"/>
  <c r="D99" i="1"/>
  <c r="H125" i="1"/>
  <c r="H512" i="1"/>
  <c r="H516" i="1"/>
  <c r="I305" i="1"/>
  <c r="H305" i="1"/>
  <c r="H268" i="1"/>
  <c r="H280" i="1"/>
  <c r="I222" i="1"/>
  <c r="H222" i="1"/>
  <c r="H182" i="1"/>
  <c r="I366" i="1"/>
  <c r="H366" i="1"/>
  <c r="H351" i="1"/>
  <c r="H492" i="1"/>
  <c r="H141" i="1"/>
  <c r="H431" i="1"/>
  <c r="I111" i="1"/>
  <c r="H111" i="1"/>
  <c r="H376" i="1"/>
  <c r="H321" i="1"/>
  <c r="H179" i="1"/>
  <c r="H245" i="1"/>
  <c r="I200" i="1"/>
  <c r="H200" i="1"/>
  <c r="H191" i="1"/>
  <c r="H401" i="1"/>
  <c r="E517" i="1"/>
  <c r="D517" i="1"/>
  <c r="I423" i="1"/>
  <c r="H423" i="1"/>
  <c r="I384" i="1"/>
  <c r="H384" i="1"/>
  <c r="I332" i="1"/>
  <c r="H332" i="1"/>
  <c r="I207" i="1"/>
  <c r="H207" i="1"/>
  <c r="E100" i="1"/>
  <c r="D100" i="1"/>
  <c r="H248" i="1"/>
  <c r="H164" i="1"/>
  <c r="H189" i="1"/>
  <c r="H397" i="1"/>
  <c r="H343" i="1"/>
  <c r="I379" i="1"/>
  <c r="H379" i="1"/>
  <c r="C312" i="1"/>
  <c r="H349" i="1"/>
  <c r="H156" i="1"/>
  <c r="H183" i="1"/>
  <c r="H175" i="1"/>
  <c r="H43" i="1"/>
  <c r="H145" i="1"/>
  <c r="H195" i="1"/>
  <c r="H432" i="1"/>
  <c r="H493" i="1"/>
  <c r="H502" i="1"/>
  <c r="H505" i="1"/>
  <c r="H144" i="1"/>
  <c r="H122" i="1"/>
  <c r="H136" i="1"/>
  <c r="H517" i="1"/>
  <c r="H460" i="1"/>
  <c r="H450" i="1"/>
  <c r="H447" i="1"/>
  <c r="H271" i="1"/>
  <c r="H165" i="1"/>
  <c r="H198" i="1"/>
</calcChain>
</file>

<file path=xl/sharedStrings.xml><?xml version="1.0" encoding="utf-8"?>
<sst xmlns="http://schemas.openxmlformats.org/spreadsheetml/2006/main" count="2606" uniqueCount="302">
  <si>
    <t>Nordt et al., 2003</t>
  </si>
  <si>
    <t>base at Campanian-Maastrichtian boundary; top at Chron 28R; authors place K/T boundary at 65 Ma; all ages adjusted by +1 m.y.</t>
  </si>
  <si>
    <t>mean</t>
  </si>
  <si>
    <t>Tabor et al., 2004</t>
  </si>
  <si>
    <t>Lower Leonardian</t>
  </si>
  <si>
    <t>Upper Leonardian</t>
  </si>
  <si>
    <t>Ghosh et al., 2005 (and 1995, 2001)</t>
  </si>
  <si>
    <t>late Cretaceous</t>
  </si>
  <si>
    <t>early to middle Jurassic</t>
  </si>
  <si>
    <t>Carnian (middle to upper Triassic)</t>
  </si>
  <si>
    <t>middle Triassic</t>
  </si>
  <si>
    <t>early middle Permian</t>
  </si>
  <si>
    <t>Prochnow et al., 2006</t>
  </si>
  <si>
    <t>Norian</t>
  </si>
  <si>
    <t>Carnian</t>
  </si>
  <si>
    <t>Lower Anisian</t>
  </si>
  <si>
    <t>Sandler, 2006</t>
  </si>
  <si>
    <t>mid-Turonian</t>
  </si>
  <si>
    <t>Montañez et al., 2007</t>
  </si>
  <si>
    <t>based on age model developed by authors (corrected to Gradstein et al., 2012; p. 639); no errors or context are provided</t>
  </si>
  <si>
    <t>Cleveland et al., 2008</t>
  </si>
  <si>
    <t>Late Norian</t>
  </si>
  <si>
    <t>Rhaetian</t>
  </si>
  <si>
    <t>Retallack, 2009b (updated by Breecker &amp; Retallack, 2014)</t>
  </si>
  <si>
    <t>magnetostratigraphy (and some biostratigraphy)</t>
  </si>
  <si>
    <t>Leier et al., 2009</t>
  </si>
  <si>
    <t>earliest Late Cretaceous</t>
  </si>
  <si>
    <t>latest early Cretaceous (Aptian to Albian?)</t>
  </si>
  <si>
    <t>Schaller et al., 2011</t>
  </si>
  <si>
    <t>magnetostratigraphy (Newark Basin)</t>
  </si>
  <si>
    <t>Schaller et al., 2012</t>
  </si>
  <si>
    <t>magnetostratigraphy (Hartford Basin)</t>
  </si>
  <si>
    <t>Huang et al., 2012</t>
  </si>
  <si>
    <t>Late Barremian</t>
  </si>
  <si>
    <t>Early Valanginian</t>
  </si>
  <si>
    <t>Early-middle Berriasian</t>
  </si>
  <si>
    <t>Hong &amp; Lee, 2012</t>
  </si>
  <si>
    <t>Campanian</t>
  </si>
  <si>
    <t>radiometric constraints and assumptions about linear sedimentation rates</t>
  </si>
  <si>
    <t>Gutierrez &amp; Sheldon, 2012</t>
  </si>
  <si>
    <t>Oxfordian to Kimmeridgian</t>
  </si>
  <si>
    <t>Cotton &amp; Sheldon, 2012  (updated by Breecker &amp; Retallack, 2014)</t>
  </si>
  <si>
    <t>late Hemphillian</t>
  </si>
  <si>
    <t>median</t>
  </si>
  <si>
    <t>Hyland &amp; Sheldon, 2013</t>
  </si>
  <si>
    <t>magnetostratigraphy (from Clyde et al., 2001)</t>
  </si>
  <si>
    <t>Huang et al., 2013</t>
  </si>
  <si>
    <t>magneto-, litho-, and chronostratigraphy; all ages adjusted by +0.5 Myrs because the authors assume a KPB age of 65.5 Myrs ago</t>
  </si>
  <si>
    <t>Hyland et al., 2013</t>
  </si>
  <si>
    <t>biostratigraphy (near the Wa6-Wa7 boundary)</t>
  </si>
  <si>
    <t>Mortazavi et al., 2013</t>
  </si>
  <si>
    <t>Berriasian-Barremian</t>
  </si>
  <si>
    <t>Srivastava et al., 2013</t>
  </si>
  <si>
    <t>chronostratigraphy</t>
  </si>
  <si>
    <t>Gastaldo et al., 2014</t>
  </si>
  <si>
    <t>Changhsingian (-41 m below PTB)</t>
  </si>
  <si>
    <t>Changhsingian (-51 m below PTB)</t>
  </si>
  <si>
    <t>Changhsingian (-60 m below PTB)</t>
  </si>
  <si>
    <t>Breecker &amp; Retallack, 2014</t>
  </si>
  <si>
    <t>biostratigraphy (NALMA's; names and age ranges are not provided here or in associated Fox &amp; Koch 2003 Geology paper)</t>
  </si>
  <si>
    <t>approximate age</t>
  </si>
  <si>
    <t>Li et al., 2014</t>
  </si>
  <si>
    <t>Schaller et al., 2015</t>
  </si>
  <si>
    <t>cyclostratigraphy and magnetostratigraphy</t>
  </si>
  <si>
    <t>Ludvigson et al., 2015</t>
  </si>
  <si>
    <t>chronostratigraphy and carbon isotope stratigraphy</t>
  </si>
  <si>
    <t>Da et al., 2015</t>
  </si>
  <si>
    <t>magnetostratigraphy and magnetic susceptibility</t>
  </si>
  <si>
    <t>Nordt et al., 2015 (expands and refines Atchley et al., 2013)</t>
  </si>
  <si>
    <t>chronostratigraphy and some biostratigraphy</t>
  </si>
  <si>
    <t>Whiteside et al., 2015</t>
  </si>
  <si>
    <t>magnetostratigraphy constrains age to late Norian to Rhaetian (209-201.3 Ma); chronostratigraphy constrains age to younger than 211.9 Ma</t>
  </si>
  <si>
    <t>Kohn et al., 2015</t>
  </si>
  <si>
    <t>chronostratigraphy and magnetostrigraphy</t>
  </si>
  <si>
    <r>
      <t>PALEOSOLS (</t>
    </r>
    <r>
      <rPr>
        <b/>
        <sz val="10"/>
        <color theme="0"/>
        <rFont val="Symbol"/>
        <family val="1"/>
        <charset val="2"/>
      </rPr>
      <t>d</t>
    </r>
    <r>
      <rPr>
        <b/>
        <vertAlign val="superscript"/>
        <sz val="10"/>
        <color theme="0"/>
        <rFont val="Arial"/>
        <family val="2"/>
      </rPr>
      <t>13</t>
    </r>
    <r>
      <rPr>
        <b/>
        <sz val="10"/>
        <color theme="0"/>
        <rFont val="Arial"/>
        <family val="2"/>
      </rPr>
      <t>C)</t>
    </r>
    <phoneticPr fontId="6" type="noConversion"/>
  </si>
  <si>
    <t>reported</t>
  </si>
  <si>
    <t>Suchecki et al., 1988 (reported in Ekart et al., 1999)</t>
  </si>
  <si>
    <t>McCoy Brook Formation (Lower Jurassic: Hettangian-Sinemurian)</t>
  </si>
  <si>
    <t>16 and 84 percentiles; uncertainty determined originally by varying only S(z); uncertainty calculated here by adopted the generalized, right-skewed errors of +100/-50% taken from the conservative, fully-propagated estimates of Breecker et al. (2013, p. 3218)</t>
  </si>
  <si>
    <t>New Haven Arkose (early to middle Nornian; also, nearby U-Pb date of 211.9 +/- 2.1 Ma; see Olsen et al., 2005)</t>
  </si>
  <si>
    <t>Wolfville Formation (Carnian-Norian)</t>
  </si>
  <si>
    <t>Platt, 1989 (reported in Cerling, 1991)</t>
  </si>
  <si>
    <t>Berriasian</t>
  </si>
  <si>
    <t>Purvis &amp; Wright, 1991 (reported in Ekart et al., 1999)</t>
  </si>
  <si>
    <t>Anisian-Ladinian</t>
  </si>
  <si>
    <t>Cerling, 1991</t>
  </si>
  <si>
    <t>Cerling, 1992</t>
  </si>
  <si>
    <t>Pliocene</t>
  </si>
  <si>
    <t>late Miocene</t>
  </si>
  <si>
    <t>middle Miocene</t>
  </si>
  <si>
    <t>early Eocene (Willwood Formation); magnetostratigraphy by Tauxe et al. (1994) suggests 55-52 Ma</t>
  </si>
  <si>
    <t>Albian (from Ekart et al., 1999); Proctor Locality in Twin Mountains Formation (Lower Cretaceous)</t>
  </si>
  <si>
    <t>Koch et al., 1992</t>
  </si>
  <si>
    <t>just after the PETM in the Bighorn Basin</t>
  </si>
  <si>
    <t>just before the PETM in the Bighorn Basin</t>
  </si>
  <si>
    <t>Kenny &amp; Neet, 1993</t>
  </si>
  <si>
    <t>Late Pennsylvanian</t>
  </si>
  <si>
    <t>Muchez et al., 1993</t>
  </si>
  <si>
    <t>Lower Visean</t>
  </si>
  <si>
    <t>Quade et al., 1994 (reported in Ekart et al., 1999)</t>
  </si>
  <si>
    <t>Turolian (Miocene); Mytilini Formation on Samos; radiometric date of 7.66 +/- 0.13 Ma</t>
  </si>
  <si>
    <t>Vallesian (Miocene); Nea Messimbria Formation</t>
  </si>
  <si>
    <t>Turolian [Chomateri?] (Miocene)</t>
  </si>
  <si>
    <t>Sinha &amp; Stott, 1994</t>
  </si>
  <si>
    <t>Sparnacian; just after the PETM</t>
  </si>
  <si>
    <t>Vertisols</t>
  </si>
  <si>
    <t>Sparnacian; just before the PETM</t>
  </si>
  <si>
    <t>Andrews et al., 1995</t>
  </si>
  <si>
    <t>Maastrichtian (Lameta Beds)</t>
  </si>
  <si>
    <t>Quade &amp; Cerling, 1995 (reported in Ekart et al., 1999)</t>
  </si>
  <si>
    <t>Miocene (difficult to determine more precise age from paper; probably precise to ~+/- 2 Myrs)</t>
  </si>
  <si>
    <t>Mora et al., 1996</t>
  </si>
  <si>
    <t>Early Permian</t>
  </si>
  <si>
    <t>description sounds like Vertisols</t>
  </si>
  <si>
    <t>Late Mississippian</t>
  </si>
  <si>
    <t>Visean-Namurian</t>
  </si>
  <si>
    <t>Middle Mississippian</t>
  </si>
  <si>
    <t>Famennian</t>
  </si>
  <si>
    <t>Late Devonian</t>
  </si>
  <si>
    <t>Ludlovian-Pridolian</t>
  </si>
  <si>
    <t>Ekart et al., 1999</t>
  </si>
  <si>
    <t>Miocene</t>
  </si>
  <si>
    <t>"Miocene" age does not fit with reported age (5 Ma)</t>
  </si>
  <si>
    <t>Miocene (Huete ?Formation, Spain)</t>
  </si>
  <si>
    <t>Late Oligocene (Salla Formation, Bolivia)</t>
  </si>
  <si>
    <t>Eocene (Claron Formation, Utah)</t>
  </si>
  <si>
    <t>early Paleocene (Rapp et al., 1983 place the Javelina-Black Peaks contact in chron 26R)</t>
  </si>
  <si>
    <t>Maastrichtian</t>
  </si>
  <si>
    <t>Aptian</t>
  </si>
  <si>
    <t>Kimmeridgian</t>
  </si>
  <si>
    <t>Early Jurassic</t>
  </si>
  <si>
    <t>Aalenian</t>
  </si>
  <si>
    <t>Carnian-Nornian</t>
  </si>
  <si>
    <t>Ochoan</t>
  </si>
  <si>
    <t>Wolfcampian</t>
  </si>
  <si>
    <t>Chadian-Arundian (equivalent to Radaevkian-Bobrikovian)</t>
  </si>
  <si>
    <t>Middle Devonian</t>
  </si>
  <si>
    <t>Lee, 1999</t>
  </si>
  <si>
    <t>Hauterivian to Barremian</t>
  </si>
  <si>
    <t>Lee &amp; Hisada, 1999  (updated by Hong and Lee, 2012)</t>
  </si>
  <si>
    <t>late Valanginian - early Albian</t>
  </si>
  <si>
    <t>Driese et al., 2000</t>
  </si>
  <si>
    <t>Sz not given in text; I assume that they used the same value as Mora et al. (1996)</t>
  </si>
  <si>
    <t>late Emsian</t>
  </si>
  <si>
    <t>Silurian-Devonian boundary</t>
  </si>
  <si>
    <t>Cox et al., 2001</t>
  </si>
  <si>
    <t>Frasnian</t>
  </si>
  <si>
    <t>Givetian</t>
  </si>
  <si>
    <t>Royer et al., 2001b</t>
  </si>
  <si>
    <t>post-PETM; Wing et al. (2000) places base of PETM at 55.234 Ma (Age Model 2); all ages adjusted by +0.766 m.y.</t>
  </si>
  <si>
    <t>pre-PETM; Wing et al. (2000) places base of PETM at 55.234 Ma (Age Model 2); all ages adjusted by +0.766 m.y.</t>
  </si>
  <si>
    <t>Tanner et al., 2001</t>
  </si>
  <si>
    <t>Hettangian</t>
  </si>
  <si>
    <t>Robinson et al., 2002</t>
  </si>
  <si>
    <t>Lower Barremian</t>
  </si>
  <si>
    <t>Nordt et al., 2002</t>
  </si>
  <si>
    <t>Chron 28R</t>
  </si>
  <si>
    <t>Chron 29N</t>
  </si>
  <si>
    <t>Chron 29R</t>
  </si>
  <si>
    <t>Chron 30N</t>
  </si>
  <si>
    <t>Chron 33N</t>
  </si>
  <si>
    <t>Vertisol (Xerert?)</t>
  </si>
  <si>
    <t>Aridisol</t>
  </si>
  <si>
    <t>immature Aridisol</t>
  </si>
  <si>
    <t>Vertisol</t>
  </si>
  <si>
    <t>Inceptisol</t>
  </si>
  <si>
    <t>16 and 84 percentiles; uncertainty based on Monte Carlo simulations</t>
  </si>
  <si>
    <t>sandy calcisol; S(z) based on Montanez (2012)</t>
  </si>
  <si>
    <t>calcisol; S(z) based on Montanez (2012)</t>
  </si>
  <si>
    <t>silty calcisol; S(z) based on Montanez (2012)</t>
  </si>
  <si>
    <t>muddy calcisol; S(z) based on Montanez (2012)</t>
  </si>
  <si>
    <t>calcic Vertisols, Aridisols; S(z) based on Montanez (2012)</t>
  </si>
  <si>
    <t>carb-Vertisols, Aridisols, Alfisols; S(z) based on Montanez (2012)</t>
  </si>
  <si>
    <t>calcic Vertisols; S(z) based on Montanez (2012)</t>
  </si>
  <si>
    <t>Vertisols, Histosols; S(z) based on Montanez (2012)</t>
  </si>
  <si>
    <t>sandy calcisols; S(z) based on Montanez (2012)</t>
  </si>
  <si>
    <t>calcic Vertisols, Aridisols, Alfisols; S(z) based on Montanez (2012)</t>
  </si>
  <si>
    <t>Aridisols; S(z) based on Montanez (2012)</t>
  </si>
  <si>
    <t>calcic Alfisols, Aridisols; S(z) based on Montanez (2012)</t>
  </si>
  <si>
    <t>muddy calcisols; S(z) based on Montanez (2012)</t>
  </si>
  <si>
    <t>Ghost Ranch section (Aridisol); Irmis et al (2011) provide a maximum age of 211.9 Ma for the base of the Ghost ranch; the Norian / Rhaetian boundary (209.5 Ma) is the upper age constraint</t>
  </si>
  <si>
    <t>Montoya section (Aridisol)</t>
  </si>
  <si>
    <t>Ghost Ranch section (Aridisol)</t>
  </si>
  <si>
    <t>Ghost Ranch section</t>
  </si>
  <si>
    <t>+/- 1 standard error; uncertainty determined by Gaussian error propagation by quadrature</t>
  </si>
  <si>
    <t>Aridisol; S(z) calculated with depth-to-Bk-horizon transfer equation of Retallack (2009b), updated here with the transfer function of Breecker and Retallack (2014)</t>
  </si>
  <si>
    <t>Vertisols; S(z) assumed here to be similar to what is calculated for the Schaller et al. 2012 study</t>
  </si>
  <si>
    <t>Argillic and vertic calcisols; S(z) originally calculated with depth-to-Bk-horizon transfer equation of Retallack (2009b), updated here with the transfer function of Breecker and Retallack (2014)</t>
  </si>
  <si>
    <t>S(z) calculated with depth-to-Bk-horizon transfer equation of Retallack (2009b), updated here with the transfer function of Breecker and Retallack (2014)</t>
  </si>
  <si>
    <t>16 and 84 percentiles; uncertainty based on Monte Carlo simulations of Breecker (2013); best estimate (column F) is the median; mean = 310 ppm</t>
  </si>
  <si>
    <t>Inceptisols, Entisols, and Alfisols; S(z) calculated with transfer function from mean annual precipitation (Cotton &amp; Sheldon, 2012); actual values are not reported in text</t>
  </si>
  <si>
    <t>S(z) calculated with depth-to-Bk-horizon transfer equation of Retallack (2009b), updated here with the transfer function of Breecker and Retallack (2014); all dates adjusted by +0.5 Myrs because the authors assume a KPB age of 65.5 Myrs ago</t>
  </si>
  <si>
    <t>Alfisols and Inceptisols; S(z) is based on transfer function from mean annual precipitation (Cotton &amp; Sheldon, 2012); actual values are not reported in text</t>
  </si>
  <si>
    <t>16 and 84 percentiles; uncertainty not reported; uncertainty determined here by adopted the generalized, right-skewed errors of +100/-50% from Breecker et al. (2013, p. 3218)</t>
  </si>
  <si>
    <t>16 and 84 percentiles; uncertainty determined originally by varying only S(z); uncertainty determined here by adopted the generalized, right-skewed errors of +100/-50% from Breecker et al. (2013, p. 3218)</t>
  </si>
  <si>
    <t>16 and 84 percentiles; uncertainty based on Monte Carlo simulations of Breecker (2013); best estimate (column F) is the median; mean = 297 ppm</t>
  </si>
  <si>
    <t>Mollisol; Ogallala Formation</t>
  </si>
  <si>
    <t>16 and 84 percentiles; uncertainty based on Monte Carlo simulations of Breecker (2013); best estimate (column F) is the median; mean = 391 ppm</t>
  </si>
  <si>
    <t>16 and 84 percentiles; uncertainty based on Monte Carlo simulations of Breecker (2013); best estimate (column F) is the median; mean = 523 ppm</t>
  </si>
  <si>
    <t>Mollisol; Bridwell Formation</t>
  </si>
  <si>
    <t>16 and 84 percentiles; uncertainty based on Monte Carlo simulations of Breecker (2013); best estimate (column F) is the median; mean = 387 ppm</t>
  </si>
  <si>
    <t>16 and 84 percentiles; uncertainty based on Monte Carlo simulations of Breecker (2013); best estimate (column F) is the median; mean = 283 ppm</t>
  </si>
  <si>
    <t>Aridisol; Ash Hollow Formation</t>
  </si>
  <si>
    <t>16 and 84 percentiles; uncertainty based on Monte Carlo simulations of Breecker (2013); best estimate (column F) is the median; mean = 370 ppm</t>
  </si>
  <si>
    <t>16 and 84 percentiles; uncertainty based on Monte Carlo simulations of Breecker (2013); best estimate (column F) is the median; mean = 156 ppm</t>
  </si>
  <si>
    <t>Aridisol; Devil's Gulch Member of Valentine Formation</t>
  </si>
  <si>
    <t>16 and 84 percentiles; uncertainty based on Monte Carlo simulations of Breecker (2013); best estimate (column F) is the median; mean = 362 ppm</t>
  </si>
  <si>
    <t>Aridisol; Dawes Clay Member of Box Butte Formation</t>
  </si>
  <si>
    <t>16 and 84 percentiles; uncertainty based on Monte Carlo simulations of Breecker (2013); best estimate (column F) is the median; mean = 560 ppm</t>
  </si>
  <si>
    <t>vertic Inceptisol; Hiwegi Formation</t>
  </si>
  <si>
    <t>16 and 84 percentiles; uncertainty based on Monte Carlo simulations of Breecker (2013); best estimate (column F) is the median; mean = 373 ppm</t>
  </si>
  <si>
    <t>Mollisol; Kiahera Formation</t>
  </si>
  <si>
    <t>16 and 84 percentiles; uncertainty based on Monte Carlo simulations of Breecker (2013); best estimate (column F) is the median; mean = 286 ppm</t>
  </si>
  <si>
    <t>Alfisol; Wayondo Formation</t>
  </si>
  <si>
    <t>16 and 84 percentiles; uncertainty based on Monte Carlo simulations of Breecker (2013); best estimate (column F) is the median; mean = 289 ppm</t>
  </si>
  <si>
    <t>Aridisol; Monroe Creek - Harrison Formation</t>
  </si>
  <si>
    <t>sample GX-06A; CO2 value comes from column 15 in Table 2</t>
  </si>
  <si>
    <t>sampleGX-04A; CO2 value comes from column 15 in Table 2</t>
  </si>
  <si>
    <t>sample1109–02A; CO2 value comes from column 15 in Table 2</t>
  </si>
  <si>
    <t>sample1109–01A; CO2 value comes from column 15 in Table 2</t>
  </si>
  <si>
    <t>sample1108–06A; CO2 value comes from column 15 in Table 2</t>
  </si>
  <si>
    <t>sample1108–07A; CO2 value comes from column 15 in Table 2</t>
  </si>
  <si>
    <t>sample1108–05A; CO2 value comes from column 15 in Table 2</t>
  </si>
  <si>
    <t>sample1103–07A; CO2 value comes from column 15 in Table 2</t>
  </si>
  <si>
    <t>sample1103–06A; CO2 value comes from column 15 in Table 2</t>
  </si>
  <si>
    <t>sampleZD-04A; CO2 value comes from column 15 in Table 2</t>
  </si>
  <si>
    <t>sample1103–05A; CO2 value comes from column 15 in Table 2</t>
  </si>
  <si>
    <t>sample1103–04A; CO2 value comes from column 15 in Table 2</t>
  </si>
  <si>
    <t>sample0127–11A; CO2 value comes from column 15 in Table 2</t>
  </si>
  <si>
    <t>sample0127–12A; CO2 value comes from column 15 in Table 2</t>
  </si>
  <si>
    <t>sample1102–03bA; CO2 value comes from column 15 in Table 2</t>
  </si>
  <si>
    <t>sample0127–08A; CO2 value comes from column 15 in Table 2</t>
  </si>
  <si>
    <t>sample0127–07A; CO2 value comes from column 15 in Table 2</t>
  </si>
  <si>
    <t>sampleNX-03; CO2 value comes from column 15 in Table 2</t>
  </si>
  <si>
    <t>sampleYK-K1c-07; CO2 value comes from column 15 in Table 2</t>
  </si>
  <si>
    <t>sample0127–09A; CO2 value comes from column 15 in Table 2</t>
  </si>
  <si>
    <t>sample1109–04A; CO2 value comes from column 15 in Table 2</t>
  </si>
  <si>
    <t>sample0127–06A; CO2 value comes from column 15 in Table 2</t>
  </si>
  <si>
    <t>sample0127–05A; CO2 value comes from column 15 in Table 2</t>
  </si>
  <si>
    <t>sampleLZ2–18A; CO2 value comes from column 15 in Table 2</t>
  </si>
  <si>
    <t>sampleLZ2–12A; CO2 value comes from column 15 in Table 2</t>
  </si>
  <si>
    <t>sampleLZ2–06A; CO2 value comes from column 15 in Table 2</t>
  </si>
  <si>
    <t>sample1108–03A; CO2 value comes from column 15 in Table 2</t>
  </si>
  <si>
    <t>sample1108–01A; CO2 value comes from column 15 in Table 2</t>
  </si>
  <si>
    <t>sample1108–02A; CO2 value comes from column 15 in Table 2</t>
  </si>
  <si>
    <t>sampleTJ-05A; CO2 value comes from column 15 in Table 2</t>
  </si>
  <si>
    <t>sampleZC-27aA; CO2 value comes from column 15 in Table 2</t>
  </si>
  <si>
    <t>sampleZC-27bA; CO2 value comes from column 15 in Table 2</t>
  </si>
  <si>
    <t>sample1104–01A; CO2 value comes from column 15 in Table 2</t>
  </si>
  <si>
    <t>sampleZC-29bA; CO2 value comes from column 15 in Table 2</t>
  </si>
  <si>
    <t>sampleZC-29A; CO2 value comes from column 15 in Table 2</t>
  </si>
  <si>
    <t>sampleZC-32A; CO2 value comes from column 15 in Table 2</t>
  </si>
  <si>
    <t>sampleZC-37A; CO2 value comes from column 15 in Table 2</t>
  </si>
  <si>
    <t>sample0128–03A; CO2 value comes from column 15 in Table 2</t>
  </si>
  <si>
    <t>16 and 84 percentiles; uncertainty based on Monte Carlo simulations of Breecker (2013); best estimate appears to be mean (not median)</t>
  </si>
  <si>
    <t>Vertisols; S(z) originally calculated with depth-to-Bk-horizon transfer equation of Retallack (2009b), updated here with the transfer function of Breecker and Retallack (2014)</t>
  </si>
  <si>
    <t>16 and 84 percentiles; uncertainty determined originally by varying S(z) from 1500 to 3000 ppm; uncertainty calculated here by adopted the generalized, right-skewed errors of +100/-50% taken from the conservative, fully-propagated estimates of Breecker et al. (2013, p. 3218)</t>
  </si>
  <si>
    <r>
      <t>Average D</t>
    </r>
    <r>
      <rPr>
        <vertAlign val="superscript"/>
        <sz val="10"/>
        <rFont val="Arial"/>
        <family val="2"/>
      </rPr>
      <t>13</t>
    </r>
    <r>
      <rPr>
        <sz val="10"/>
        <rFont val="Arial"/>
        <family val="2"/>
      </rPr>
      <t>C value (22.5‰) is higher than the threshold proposed by Montañez (2013) for soils suitable for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analysis (16‰); thus these soils may have been water saturated (other sedimentological evidence suggests the same)</t>
    </r>
  </si>
  <si>
    <t>16 and 84 percentiles; uncertainty determined by varying S(z) from 798 to 2103 ppm</t>
  </si>
  <si>
    <t>loess unit S9 (Lingtai)</t>
  </si>
  <si>
    <t>loess unit S11 (Lingtai)</t>
  </si>
  <si>
    <t>loess unit S12 (Lingtai)</t>
  </si>
  <si>
    <t>loess unit S13 (Lingtai)</t>
  </si>
  <si>
    <t>loess unit S13 (Baoji)</t>
  </si>
  <si>
    <t>loess unit S15 (Lingtai)</t>
  </si>
  <si>
    <t>loess unit S16 (Lingtai)</t>
  </si>
  <si>
    <t>loess unit S16 (Baoji)</t>
  </si>
  <si>
    <t>loess unit S17 (Lingtai)</t>
  </si>
  <si>
    <t>loess unit S18 (Lingtai)</t>
  </si>
  <si>
    <t>loess unit S18 (Baoji)</t>
  </si>
  <si>
    <t>loess unit S19 (Lingtai)</t>
  </si>
  <si>
    <t>loess unit S20 (Lingtai)</t>
  </si>
  <si>
    <t>loess unit S20 (Baoji)</t>
  </si>
  <si>
    <t>loess unit S21 (Baoji)</t>
  </si>
  <si>
    <t>loess unit S22 (Lingtai)</t>
  </si>
  <si>
    <t>loess unit S22 (Baoji)</t>
  </si>
  <si>
    <t>loess unit S23 (Lingtai)</t>
  </si>
  <si>
    <t>loess unit S23 (Baoji)</t>
  </si>
  <si>
    <t>loess unit S24 (Baoji)</t>
  </si>
  <si>
    <t>loess unit S25 (Baoji)</t>
  </si>
  <si>
    <t>loess unit S26 (Lingtai)</t>
  </si>
  <si>
    <t>loess unit S26 (Baoji)</t>
  </si>
  <si>
    <t>loess unit S27 (Lingtai)</t>
  </si>
  <si>
    <t>loess unit S27 (Baoji)</t>
  </si>
  <si>
    <t>loess unit S28 (Baoji)</t>
  </si>
  <si>
    <t>loess unit S29 (Baoji)</t>
  </si>
  <si>
    <t>loess unit S30 (Lingtai)</t>
  </si>
  <si>
    <t>loess unit S31 (Lingtai)</t>
  </si>
  <si>
    <t>loess unit S32 (Lingtai)</t>
  </si>
  <si>
    <t>loess unit S32 (Baoji)</t>
  </si>
  <si>
    <t>Vertisols and Inceptisols</t>
  </si>
  <si>
    <t>Aridisols</t>
  </si>
  <si>
    <t>16 and 84 percentiles; uncertainty determined originally by varying S(z) from 2000 to 4000 ppm; uncertainty calculated here by adopted the generalized, right-skewed errors of +100/-50% taken from the conservative, fully-propagated estimates of Breecker et al. (2013, p. 3218)</t>
  </si>
  <si>
    <t>S(z) originally calculated with depth-to-Bk-horizon transfer equation of Retallack (2009b), updated here with the transfer function of Breecker and Retallack (2014)</t>
  </si>
  <si>
    <t>16 and 84 percentiles; uncertainty determined by propagating uncertainty via quadrature in S(z) (from 1500-3500 ppm), temperature, d13C of soil organic matter, and analytical error.</t>
  </si>
  <si>
    <t>S(z) calculated with transfer function from mean annual precipitation (Cotton &amp; Sheldon, 2012), as reported in paper</t>
  </si>
  <si>
    <t>co2</t>
    <phoneticPr fontId="1" type="noConversion"/>
  </si>
  <si>
    <t>age</t>
    <phoneticPr fontId="1" type="noConversion"/>
  </si>
  <si>
    <t>age_old</t>
    <phoneticPr fontId="1" type="noConversion"/>
  </si>
  <si>
    <t>age_young</t>
    <phoneticPr fontId="1" type="noConversion"/>
  </si>
  <si>
    <t>co2_low</t>
    <phoneticPr fontId="1" type="noConversion"/>
  </si>
  <si>
    <t>co2_high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</si>
</sst>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Helvetica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vertAlign val="superscript"/>
      <sz val="1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vertAlign val="subscript"/>
      <sz val="10"/>
      <name val="Arial"/>
      <family val="2"/>
    </font>
    <font>
      <b/>
      <sz val="10"/>
      <color theme="0"/>
      <name val="Symbol"/>
      <family val="1"/>
      <charset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0" tint="-0.499984740745262"/>
      </bottom>
      <diagonal/>
    </border>
  </borders>
  <cellStyleXfs count="46">
    <xf numFmtId="0" fontId="0" fillId="0" borderId="0"/>
    <xf numFmtId="0" fontId="2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3" fillId="0" borderId="0"/>
    <xf numFmtId="0" fontId="5" fillId="0" borderId="0"/>
    <xf numFmtId="0" fontId="3" fillId="0" borderId="0"/>
    <xf numFmtId="0" fontId="9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76" fontId="3" fillId="0" borderId="0" xfId="0" applyNumberFormat="1" applyFont="1"/>
    <xf numFmtId="1" fontId="3" fillId="0" borderId="0" xfId="0" applyNumberFormat="1" applyFont="1"/>
    <xf numFmtId="1" fontId="3" fillId="0" borderId="0" xfId="0" quotePrefix="1" applyNumberFormat="1" applyFont="1"/>
    <xf numFmtId="0" fontId="7" fillId="24" borderId="0" xfId="38" applyFont="1" applyFill="1" applyAlignment="1">
      <alignment horizontal="center"/>
    </xf>
    <xf numFmtId="0" fontId="8" fillId="0" borderId="0" xfId="40" applyFont="1"/>
    <xf numFmtId="1" fontId="8" fillId="0" borderId="0" xfId="38" applyNumberFormat="1" applyFont="1"/>
    <xf numFmtId="0" fontId="8" fillId="0" borderId="0" xfId="38" applyFont="1"/>
    <xf numFmtId="1" fontId="4" fillId="0" borderId="0" xfId="40" applyNumberFormat="1" applyFont="1"/>
    <xf numFmtId="0" fontId="8" fillId="0" borderId="0" xfId="40" applyFont="1" applyAlignment="1">
      <alignment horizontal="left"/>
    </xf>
    <xf numFmtId="1" fontId="4" fillId="0" borderId="0" xfId="38" applyNumberFormat="1" applyFont="1"/>
    <xf numFmtId="0" fontId="7" fillId="24" borderId="0" xfId="38" applyFont="1" applyFill="1"/>
    <xf numFmtId="176" fontId="4" fillId="0" borderId="0" xfId="38" applyNumberFormat="1" applyFont="1"/>
    <xf numFmtId="0" fontId="3" fillId="0" borderId="0" xfId="38"/>
    <xf numFmtId="1" fontId="3" fillId="0" borderId="0" xfId="38" applyNumberFormat="1"/>
    <xf numFmtId="0" fontId="27" fillId="24" borderId="0" xfId="38" applyFont="1" applyFill="1"/>
    <xf numFmtId="1" fontId="3" fillId="0" borderId="0" xfId="40" applyNumberFormat="1"/>
    <xf numFmtId="1" fontId="3" fillId="0" borderId="0" xfId="39" applyNumberFormat="1" applyFont="1"/>
    <xf numFmtId="0" fontId="7" fillId="24" borderId="0" xfId="38" applyFont="1" applyFill="1" applyAlignment="1">
      <alignment horizontal="left"/>
    </xf>
    <xf numFmtId="0" fontId="3" fillId="0" borderId="0" xfId="40"/>
    <xf numFmtId="0" fontId="3" fillId="0" borderId="0" xfId="40" applyAlignment="1">
      <alignment horizontal="left"/>
    </xf>
    <xf numFmtId="176" fontId="4" fillId="0" borderId="0" xfId="40" applyNumberFormat="1" applyFont="1"/>
    <xf numFmtId="0" fontId="3" fillId="24" borderId="0" xfId="38" applyFill="1"/>
    <xf numFmtId="176" fontId="3" fillId="0" borderId="0" xfId="38" applyNumberFormat="1"/>
    <xf numFmtId="176" fontId="3" fillId="0" borderId="0" xfId="40" applyNumberFormat="1"/>
    <xf numFmtId="176" fontId="3" fillId="0" borderId="0" xfId="39" applyNumberFormat="1" applyFont="1"/>
    <xf numFmtId="177" fontId="3" fillId="0" borderId="0" xfId="38" applyNumberFormat="1"/>
    <xf numFmtId="0" fontId="8" fillId="0" borderId="10" xfId="40" applyFont="1" applyBorder="1"/>
  </cellXfs>
  <cellStyles count="46">
    <cellStyle name="20% - 着色 1 2" xfId="2" xr:uid="{D6B4699C-258B-4A1C-81DC-F1218F3807AF}"/>
    <cellStyle name="20% - 着色 2 2" xfId="3" xr:uid="{3ABD33A4-775C-4761-9517-FAF75C67710A}"/>
    <cellStyle name="20% - 着色 3 2" xfId="4" xr:uid="{B17E316C-1C4E-48B5-BB62-A631523B5C53}"/>
    <cellStyle name="20% - 着色 4 2" xfId="5" xr:uid="{97BE057F-1456-430C-99C1-60BB2AC85648}"/>
    <cellStyle name="20% - 着色 5 2" xfId="6" xr:uid="{5C7693A3-EB7E-4422-ADEC-34E7DCF04B07}"/>
    <cellStyle name="20% - 着色 6 2" xfId="7" xr:uid="{0D2F98CB-779E-43AD-A480-8B0BAC9E2E04}"/>
    <cellStyle name="40% - 着色 1 2" xfId="8" xr:uid="{41FE78DC-F4DA-4026-B7E7-5DE49CD7F465}"/>
    <cellStyle name="40% - 着色 2 2" xfId="9" xr:uid="{8C83D5E3-0D97-4A51-A853-975345CD2EB5}"/>
    <cellStyle name="40% - 着色 3 2" xfId="10" xr:uid="{73634A09-86FC-465B-8009-2288EF787FB7}"/>
    <cellStyle name="40% - 着色 4 2" xfId="11" xr:uid="{37BC7F8F-5DB3-4862-837D-E5C30A005E3D}"/>
    <cellStyle name="40% - 着色 5 2" xfId="12" xr:uid="{FA473FC0-3544-4A2C-B8B1-C335CF6BA0A3}"/>
    <cellStyle name="40% - 着色 6 2" xfId="13" xr:uid="{4E9174FE-438D-4B74-BC4B-B6DC9DE6F290}"/>
    <cellStyle name="60% - 着色 1 2" xfId="14" xr:uid="{3420DF7B-8217-401E-9EAD-0C81F8EC50AA}"/>
    <cellStyle name="60% - 着色 2 2" xfId="15" xr:uid="{EEB449B9-B17D-4332-ABCF-CAEA537FBAE1}"/>
    <cellStyle name="60% - 着色 3 2" xfId="16" xr:uid="{E9B742B6-EA78-4C0A-9079-79A1FECE672A}"/>
    <cellStyle name="60% - 着色 4 2" xfId="17" xr:uid="{778A349E-6AA2-457E-8E02-346C00D96250}"/>
    <cellStyle name="60% - 着色 5 2" xfId="18" xr:uid="{0C0C5462-1307-4E92-AD25-5EB516C3B203}"/>
    <cellStyle name="60% - 着色 6 2" xfId="19" xr:uid="{8C3B69BB-14BE-41F1-831F-BA048A4D7B30}"/>
    <cellStyle name="Normal_CO2 proxy data &amp; documentation" xfId="38" xr:uid="{AA39AAC5-D3BD-4F92-9EEE-AFA6ACD432B5}"/>
    <cellStyle name="Normal_pCO2 by formation" xfId="39" xr:uid="{50677492-F985-4BE4-BFF1-C81FE4A9EEDC}"/>
    <cellStyle name="Normal_Sheet1" xfId="40" xr:uid="{00CD8474-6133-4166-87C6-01BFCE3F5975}"/>
    <cellStyle name="标题 1 2" xfId="31" xr:uid="{B3EA82FA-65A0-4C02-AA17-6F4275C6B6AA}"/>
    <cellStyle name="标题 2 2" xfId="32" xr:uid="{57F5C7A9-C71F-47BA-93CC-4E7C7DA65873}"/>
    <cellStyle name="标题 3 2" xfId="33" xr:uid="{369F938A-A800-4E4E-8F86-ADDD923B95F9}"/>
    <cellStyle name="标题 4 2" xfId="34" xr:uid="{960F28E8-E9C1-4229-B040-DCE88A599689}"/>
    <cellStyle name="标题 5" xfId="43" xr:uid="{6AE83C16-FC38-4ACA-B8B6-1D4205891F63}"/>
    <cellStyle name="差 2" xfId="26" xr:uid="{773891D1-8053-4C8C-8865-8C1B3F9F4FA1}"/>
    <cellStyle name="常规" xfId="0" builtinId="0"/>
    <cellStyle name="常规 2" xfId="1" xr:uid="{163084A8-B2BA-492E-B15E-B06A536EF314}"/>
    <cellStyle name="好 2" xfId="30" xr:uid="{8BEA4D4A-3DD2-465A-B729-1CA634902048}"/>
    <cellStyle name="汇总 2" xfId="44" xr:uid="{108DB020-C9FB-45A9-AB3A-9140FFDADB37}"/>
    <cellStyle name="计算 2" xfId="27" xr:uid="{3421D2D2-453A-4661-8E6F-276B9211146B}"/>
    <cellStyle name="检查单元格 2" xfId="28" xr:uid="{9439006F-DDA7-4B44-88F6-C587141F7A6F}"/>
    <cellStyle name="解释性文本 2" xfId="29" xr:uid="{61675DE8-2E90-45B0-95D9-F1F0CF5EA0E9}"/>
    <cellStyle name="警告文本 2" xfId="45" xr:uid="{DD5B8345-9221-496A-8F8A-99E090676A2B}"/>
    <cellStyle name="链接单元格 2" xfId="36" xr:uid="{40ECE56C-BF7B-480F-A5DD-39F0C776AA27}"/>
    <cellStyle name="适中 2" xfId="37" xr:uid="{82DE4A85-C3AB-464F-855D-5453F7AA47E8}"/>
    <cellStyle name="输出 2" xfId="42" xr:uid="{620C412B-6384-45E4-8AA3-23893EE245A6}"/>
    <cellStyle name="输入 2" xfId="35" xr:uid="{E0377B45-14DC-454E-9601-81AFB5EE29B1}"/>
    <cellStyle name="着色 1 2" xfId="20" xr:uid="{27D20CC5-EF53-41BA-9905-C11F66495627}"/>
    <cellStyle name="着色 2 2" xfId="21" xr:uid="{3260A9D7-B69D-4250-B641-48B9E7133C43}"/>
    <cellStyle name="着色 3 2" xfId="22" xr:uid="{865D1764-F805-4505-BF80-12A3F7E82DFD}"/>
    <cellStyle name="着色 4 2" xfId="23" xr:uid="{5C073E1F-5FBE-4DF2-BA5A-6A3FB642B85F}"/>
    <cellStyle name="着色 5 2" xfId="24" xr:uid="{919A1C66-757A-4711-BD79-FFC9F7D3D6E1}"/>
    <cellStyle name="着色 6 2" xfId="25" xr:uid="{87CD2C1C-BF43-4257-8952-64DAEFCBC363}"/>
    <cellStyle name="注释 2" xfId="41" xr:uid="{F2577562-74E3-48D3-BC8B-9BD65DBFC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3"/>
  <sheetViews>
    <sheetView workbookViewId="0">
      <selection sqref="A1:Q1"/>
    </sheetView>
  </sheetViews>
  <sheetFormatPr defaultRowHeight="14"/>
  <cols>
    <col min="1" max="1" width="37.1640625" customWidth="1"/>
  </cols>
  <sheetData>
    <row r="1" spans="1:17" ht="15">
      <c r="A1" s="19" t="s">
        <v>74</v>
      </c>
      <c r="B1" s="15"/>
      <c r="C1" s="8" t="s">
        <v>297</v>
      </c>
      <c r="D1" s="8" t="s">
        <v>298</v>
      </c>
      <c r="E1" s="8" t="s">
        <v>299</v>
      </c>
      <c r="F1" s="8" t="s">
        <v>296</v>
      </c>
      <c r="G1" s="26"/>
      <c r="H1" s="26" t="s">
        <v>300</v>
      </c>
      <c r="I1" s="26" t="s">
        <v>301</v>
      </c>
      <c r="J1" s="26"/>
      <c r="K1" s="26"/>
      <c r="L1" s="22" t="s">
        <v>75</v>
      </c>
      <c r="M1" s="22" t="s">
        <v>75</v>
      </c>
      <c r="N1" s="22" t="s">
        <v>75</v>
      </c>
      <c r="O1" s="22" t="s">
        <v>75</v>
      </c>
      <c r="P1" s="26"/>
      <c r="Q1" s="26"/>
    </row>
    <row r="2" spans="1:17">
      <c r="A2" s="31" t="s">
        <v>76</v>
      </c>
      <c r="B2" s="23" t="s">
        <v>77</v>
      </c>
      <c r="C2" s="27">
        <f>AVERAGE(D2:E2)</f>
        <v>196.05</v>
      </c>
      <c r="D2" s="28">
        <v>201.3</v>
      </c>
      <c r="E2" s="28">
        <v>190.8</v>
      </c>
      <c r="F2" s="6">
        <f>L2*$P2/$O2</f>
        <v>1204</v>
      </c>
      <c r="G2" s="6" t="s">
        <v>2</v>
      </c>
      <c r="H2" s="6">
        <f>F2*0.5</f>
        <v>602</v>
      </c>
      <c r="I2" s="6">
        <f>F2*2</f>
        <v>2408</v>
      </c>
      <c r="J2" s="6" t="s">
        <v>78</v>
      </c>
      <c r="K2" s="6"/>
      <c r="L2" s="20">
        <v>3010</v>
      </c>
      <c r="M2" s="20">
        <v>2600</v>
      </c>
      <c r="N2" s="18">
        <v>3550</v>
      </c>
      <c r="O2" s="18">
        <v>5000</v>
      </c>
      <c r="P2" s="6">
        <v>2000</v>
      </c>
      <c r="Q2" s="6"/>
    </row>
    <row r="3" spans="1:17" s="1" customFormat="1">
      <c r="A3" s="10" t="s">
        <v>66</v>
      </c>
      <c r="B3" s="17" t="s">
        <v>67</v>
      </c>
      <c r="C3" s="27">
        <v>0.95</v>
      </c>
      <c r="D3" s="17"/>
      <c r="E3" s="17"/>
      <c r="F3" s="18">
        <f>L3</f>
        <v>3160</v>
      </c>
      <c r="G3" s="6" t="s">
        <v>2</v>
      </c>
      <c r="H3" s="18">
        <f>M3</f>
        <v>1800</v>
      </c>
      <c r="I3" s="18">
        <f>N3</f>
        <v>5400</v>
      </c>
      <c r="J3" s="6" t="s">
        <v>258</v>
      </c>
      <c r="K3" s="6"/>
      <c r="L3" s="20">
        <v>3160</v>
      </c>
      <c r="M3" s="20">
        <v>1800</v>
      </c>
      <c r="N3" s="18">
        <v>5400</v>
      </c>
      <c r="O3" s="18">
        <v>5000</v>
      </c>
      <c r="P3" s="6">
        <v>2000</v>
      </c>
      <c r="Q3" s="6"/>
    </row>
    <row r="4" spans="1:17" s="1" customFormat="1">
      <c r="A4" s="10" t="s">
        <v>66</v>
      </c>
      <c r="B4" s="17" t="s">
        <v>67</v>
      </c>
      <c r="C4" s="27">
        <v>1.07</v>
      </c>
      <c r="D4" s="17"/>
      <c r="E4" s="17"/>
      <c r="F4" s="18">
        <f>L4</f>
        <v>2000</v>
      </c>
      <c r="G4" s="6" t="s">
        <v>2</v>
      </c>
      <c r="H4" s="18">
        <f>M4</f>
        <v>1600</v>
      </c>
      <c r="I4" s="18">
        <f>N4</f>
        <v>2400</v>
      </c>
      <c r="J4" s="6" t="s">
        <v>258</v>
      </c>
      <c r="K4" s="6"/>
      <c r="L4" s="20">
        <v>2000</v>
      </c>
      <c r="M4" s="20">
        <v>1600</v>
      </c>
      <c r="N4" s="18">
        <v>2400</v>
      </c>
      <c r="O4" s="18">
        <v>5000</v>
      </c>
      <c r="P4" s="6">
        <v>2000</v>
      </c>
      <c r="Q4" s="6"/>
    </row>
    <row r="5" spans="1:17" s="1" customFormat="1">
      <c r="A5" s="10" t="s">
        <v>66</v>
      </c>
      <c r="B5" s="17" t="s">
        <v>67</v>
      </c>
      <c r="C5" s="27">
        <v>1.1599999999999999</v>
      </c>
      <c r="D5" s="17"/>
      <c r="E5" s="17"/>
      <c r="F5" s="18">
        <f>L5</f>
        <v>2100</v>
      </c>
      <c r="G5" s="6" t="s">
        <v>2</v>
      </c>
      <c r="H5" s="18">
        <f>M5</f>
        <v>1600</v>
      </c>
      <c r="I5" s="18">
        <f>N5</f>
        <v>2600</v>
      </c>
      <c r="J5" s="6" t="s">
        <v>258</v>
      </c>
      <c r="K5" s="6"/>
      <c r="L5" s="20">
        <v>2100</v>
      </c>
      <c r="M5" s="20">
        <v>1600</v>
      </c>
      <c r="N5" s="18">
        <v>2600</v>
      </c>
      <c r="O5" s="18">
        <v>7500</v>
      </c>
      <c r="P5" s="6">
        <v>2000</v>
      </c>
      <c r="Q5" s="6"/>
    </row>
    <row r="6" spans="1:17" s="1" customFormat="1">
      <c r="A6" s="10" t="s">
        <v>66</v>
      </c>
      <c r="B6" s="17" t="s">
        <v>67</v>
      </c>
      <c r="C6" s="27">
        <v>1.23</v>
      </c>
      <c r="D6" s="17"/>
      <c r="E6" s="17"/>
      <c r="F6" s="18">
        <f>L6</f>
        <v>710</v>
      </c>
      <c r="G6" s="6" t="s">
        <v>2</v>
      </c>
      <c r="H6" s="18">
        <f>M6</f>
        <v>400</v>
      </c>
      <c r="I6" s="18">
        <f>N6</f>
        <v>1000</v>
      </c>
      <c r="J6" s="6" t="s">
        <v>258</v>
      </c>
      <c r="K6" s="6"/>
      <c r="L6" s="20">
        <v>710</v>
      </c>
      <c r="M6" s="20">
        <v>400</v>
      </c>
      <c r="N6" s="18">
        <v>1000</v>
      </c>
      <c r="O6" s="18">
        <v>5000</v>
      </c>
      <c r="P6" s="6">
        <v>2000</v>
      </c>
      <c r="Q6" s="6"/>
    </row>
    <row r="7" spans="1:17">
      <c r="A7" s="10" t="s">
        <v>66</v>
      </c>
      <c r="B7" s="17" t="s">
        <v>67</v>
      </c>
      <c r="C7" s="27">
        <v>1.23</v>
      </c>
      <c r="D7" s="17"/>
      <c r="E7" s="17"/>
      <c r="F7" s="18">
        <f>L7</f>
        <v>2500</v>
      </c>
      <c r="G7" s="6" t="s">
        <v>2</v>
      </c>
      <c r="H7" s="18">
        <f>M7</f>
        <v>2000</v>
      </c>
      <c r="I7" s="18">
        <f>N7</f>
        <v>3000</v>
      </c>
      <c r="J7" s="6" t="s">
        <v>258</v>
      </c>
      <c r="K7" s="6"/>
      <c r="L7" s="20">
        <v>2500</v>
      </c>
      <c r="M7" s="20">
        <v>2000</v>
      </c>
      <c r="N7" s="18">
        <v>3000</v>
      </c>
      <c r="O7" s="18">
        <v>7500</v>
      </c>
      <c r="P7" s="6">
        <v>2000</v>
      </c>
      <c r="Q7" s="6"/>
    </row>
    <row r="8" spans="1:17">
      <c r="A8" s="10" t="s">
        <v>66</v>
      </c>
      <c r="B8" s="17" t="s">
        <v>67</v>
      </c>
      <c r="C8" s="27">
        <v>1.28</v>
      </c>
      <c r="D8" s="17"/>
      <c r="E8" s="17"/>
      <c r="F8" s="18">
        <f>L8</f>
        <v>300</v>
      </c>
      <c r="G8" s="6" t="s">
        <v>2</v>
      </c>
      <c r="H8" s="18">
        <f>M8</f>
        <v>0</v>
      </c>
      <c r="I8" s="18">
        <f>N8</f>
        <v>1000</v>
      </c>
      <c r="J8" s="6" t="s">
        <v>258</v>
      </c>
      <c r="K8" s="6"/>
      <c r="L8" s="20">
        <v>300</v>
      </c>
      <c r="M8" s="20">
        <v>0</v>
      </c>
      <c r="N8" s="18">
        <v>1000</v>
      </c>
      <c r="O8" s="18">
        <v>7500</v>
      </c>
      <c r="P8" s="6">
        <v>2000</v>
      </c>
      <c r="Q8" s="6"/>
    </row>
    <row r="9" spans="1:17">
      <c r="A9" s="10" t="s">
        <v>66</v>
      </c>
      <c r="B9" s="17" t="s">
        <v>67</v>
      </c>
      <c r="C9" s="27">
        <v>1.31</v>
      </c>
      <c r="D9" s="17"/>
      <c r="E9" s="17"/>
      <c r="F9" s="18">
        <f>L9</f>
        <v>500</v>
      </c>
      <c r="G9" s="6" t="s">
        <v>2</v>
      </c>
      <c r="H9" s="18">
        <f>M9</f>
        <v>0</v>
      </c>
      <c r="I9" s="18">
        <f>N9</f>
        <v>1000</v>
      </c>
      <c r="J9" s="6" t="s">
        <v>258</v>
      </c>
      <c r="K9" s="6"/>
      <c r="L9" s="20">
        <v>500</v>
      </c>
      <c r="M9" s="20">
        <v>0</v>
      </c>
      <c r="N9" s="18">
        <v>1000</v>
      </c>
      <c r="O9" s="18">
        <v>7500</v>
      </c>
      <c r="P9" s="6">
        <v>2000</v>
      </c>
      <c r="Q9" s="6"/>
    </row>
    <row r="10" spans="1:17">
      <c r="A10" s="10" t="s">
        <v>66</v>
      </c>
      <c r="B10" s="17" t="s">
        <v>67</v>
      </c>
      <c r="C10" s="27">
        <v>1.31</v>
      </c>
      <c r="D10" s="17"/>
      <c r="E10" s="17"/>
      <c r="F10" s="18">
        <f>L10</f>
        <v>500</v>
      </c>
      <c r="G10" s="6" t="s">
        <v>2</v>
      </c>
      <c r="H10" s="18">
        <f>M10</f>
        <v>0</v>
      </c>
      <c r="I10" s="18">
        <f>N10</f>
        <v>1000</v>
      </c>
      <c r="J10" s="6" t="s">
        <v>258</v>
      </c>
      <c r="K10" s="6"/>
      <c r="L10" s="20">
        <v>500</v>
      </c>
      <c r="M10" s="20">
        <v>0</v>
      </c>
      <c r="N10" s="18">
        <v>1000</v>
      </c>
      <c r="O10" s="18">
        <v>7500</v>
      </c>
      <c r="P10" s="6">
        <v>2000</v>
      </c>
      <c r="Q10" s="6"/>
    </row>
    <row r="11" spans="1:17">
      <c r="A11" s="10" t="s">
        <v>66</v>
      </c>
      <c r="B11" s="17" t="s">
        <v>67</v>
      </c>
      <c r="C11" s="27">
        <v>1.36</v>
      </c>
      <c r="D11" s="17"/>
      <c r="E11" s="17"/>
      <c r="F11" s="18">
        <f>L11</f>
        <v>300</v>
      </c>
      <c r="G11" s="6" t="s">
        <v>2</v>
      </c>
      <c r="H11" s="18">
        <f>M11</f>
        <v>0</v>
      </c>
      <c r="I11" s="18">
        <f>N11</f>
        <v>1000</v>
      </c>
      <c r="J11" s="6" t="s">
        <v>258</v>
      </c>
      <c r="K11" s="6"/>
      <c r="L11" s="20">
        <v>300</v>
      </c>
      <c r="M11" s="20">
        <v>0</v>
      </c>
      <c r="N11" s="18">
        <v>1000</v>
      </c>
      <c r="O11" s="18">
        <v>7500</v>
      </c>
      <c r="P11" s="6">
        <v>2000</v>
      </c>
      <c r="Q11" s="6"/>
    </row>
    <row r="12" spans="1:17">
      <c r="A12" s="10" t="s">
        <v>66</v>
      </c>
      <c r="B12" s="17" t="s">
        <v>67</v>
      </c>
      <c r="C12" s="27">
        <v>1.39</v>
      </c>
      <c r="D12" s="17"/>
      <c r="E12" s="17"/>
      <c r="F12" s="18">
        <f>L12</f>
        <v>2250</v>
      </c>
      <c r="G12" s="6" t="s">
        <v>2</v>
      </c>
      <c r="H12" s="18">
        <f>M12</f>
        <v>1500</v>
      </c>
      <c r="I12" s="18">
        <f>N12</f>
        <v>3000</v>
      </c>
      <c r="J12" s="6" t="s">
        <v>258</v>
      </c>
      <c r="K12" s="6"/>
      <c r="L12" s="20">
        <v>2250</v>
      </c>
      <c r="M12" s="20">
        <v>1500</v>
      </c>
      <c r="N12" s="18">
        <v>3000</v>
      </c>
      <c r="O12" s="18">
        <v>7500</v>
      </c>
      <c r="P12" s="6">
        <v>2000</v>
      </c>
      <c r="Q12" s="6"/>
    </row>
    <row r="13" spans="1:17">
      <c r="A13" s="10" t="s">
        <v>66</v>
      </c>
      <c r="B13" s="17" t="s">
        <v>67</v>
      </c>
      <c r="C13" s="27">
        <v>1.39</v>
      </c>
      <c r="D13" s="17"/>
      <c r="E13" s="17"/>
      <c r="F13" s="18">
        <f>L13</f>
        <v>820</v>
      </c>
      <c r="G13" s="6" t="s">
        <v>2</v>
      </c>
      <c r="H13" s="18">
        <f>M13</f>
        <v>500</v>
      </c>
      <c r="I13" s="18">
        <f>N13</f>
        <v>1150</v>
      </c>
      <c r="J13" s="6" t="s">
        <v>258</v>
      </c>
      <c r="K13" s="6"/>
      <c r="L13" s="20">
        <v>820</v>
      </c>
      <c r="M13" s="20">
        <v>500</v>
      </c>
      <c r="N13" s="18">
        <v>1150</v>
      </c>
      <c r="O13" s="18">
        <v>5000</v>
      </c>
      <c r="P13" s="6">
        <v>2000</v>
      </c>
      <c r="Q13" s="6"/>
    </row>
    <row r="14" spans="1:17">
      <c r="A14" s="10" t="s">
        <v>66</v>
      </c>
      <c r="B14" s="17" t="s">
        <v>67</v>
      </c>
      <c r="C14" s="27">
        <v>1.44</v>
      </c>
      <c r="D14" s="17"/>
      <c r="E14" s="17"/>
      <c r="F14" s="18">
        <f>L14</f>
        <v>1070</v>
      </c>
      <c r="G14" s="6" t="s">
        <v>2</v>
      </c>
      <c r="H14" s="18">
        <f>M14</f>
        <v>500</v>
      </c>
      <c r="I14" s="18">
        <f>N14</f>
        <v>1700</v>
      </c>
      <c r="J14" s="6" t="s">
        <v>258</v>
      </c>
      <c r="K14" s="6"/>
      <c r="L14" s="20">
        <v>1070</v>
      </c>
      <c r="M14" s="20">
        <v>500</v>
      </c>
      <c r="N14" s="20">
        <v>1700</v>
      </c>
      <c r="O14" s="20">
        <v>5000</v>
      </c>
      <c r="P14" s="6">
        <v>2000</v>
      </c>
      <c r="Q14" s="6"/>
    </row>
    <row r="15" spans="1:17">
      <c r="A15" s="10" t="s">
        <v>66</v>
      </c>
      <c r="B15" s="17" t="s">
        <v>67</v>
      </c>
      <c r="C15" s="27">
        <v>1.48</v>
      </c>
      <c r="D15" s="17"/>
      <c r="E15" s="17"/>
      <c r="F15" s="18">
        <f>L15</f>
        <v>1470</v>
      </c>
      <c r="G15" s="6" t="s">
        <v>2</v>
      </c>
      <c r="H15" s="18">
        <f>M15</f>
        <v>850</v>
      </c>
      <c r="I15" s="18">
        <f>N15</f>
        <v>2050</v>
      </c>
      <c r="J15" s="6" t="s">
        <v>258</v>
      </c>
      <c r="K15" s="6"/>
      <c r="L15" s="12">
        <v>1470</v>
      </c>
      <c r="M15" s="12">
        <v>850</v>
      </c>
      <c r="N15" s="14">
        <v>2050</v>
      </c>
      <c r="O15" s="18">
        <v>5000</v>
      </c>
      <c r="P15" s="6">
        <v>2000</v>
      </c>
      <c r="Q15" s="6"/>
    </row>
    <row r="16" spans="1:17">
      <c r="A16" s="10" t="s">
        <v>66</v>
      </c>
      <c r="B16" s="17" t="s">
        <v>67</v>
      </c>
      <c r="C16" s="27">
        <v>1.48</v>
      </c>
      <c r="D16" s="17"/>
      <c r="E16" s="17"/>
      <c r="F16" s="18">
        <f>L16</f>
        <v>1310</v>
      </c>
      <c r="G16" s="6" t="s">
        <v>2</v>
      </c>
      <c r="H16" s="18">
        <f>M16</f>
        <v>690</v>
      </c>
      <c r="I16" s="18">
        <f>N16</f>
        <v>1890</v>
      </c>
      <c r="J16" s="6" t="s">
        <v>258</v>
      </c>
      <c r="K16" s="6"/>
      <c r="L16" s="20">
        <v>1310</v>
      </c>
      <c r="M16" s="20">
        <v>690</v>
      </c>
      <c r="N16" s="18">
        <v>1890</v>
      </c>
      <c r="O16" s="18">
        <v>5000</v>
      </c>
      <c r="P16" s="6">
        <v>2000</v>
      </c>
      <c r="Q16" s="6"/>
    </row>
    <row r="17" spans="1:17">
      <c r="A17" s="10" t="s">
        <v>66</v>
      </c>
      <c r="B17" s="17" t="s">
        <v>67</v>
      </c>
      <c r="C17" s="27">
        <v>1.52</v>
      </c>
      <c r="D17" s="17"/>
      <c r="E17" s="17"/>
      <c r="F17" s="18">
        <f>L17</f>
        <v>730</v>
      </c>
      <c r="G17" s="6" t="s">
        <v>2</v>
      </c>
      <c r="H17" s="18">
        <f>M17</f>
        <v>330</v>
      </c>
      <c r="I17" s="18">
        <f>N17</f>
        <v>1130</v>
      </c>
      <c r="J17" s="6" t="s">
        <v>258</v>
      </c>
      <c r="K17" s="6"/>
      <c r="L17" s="20">
        <v>730</v>
      </c>
      <c r="M17" s="20">
        <v>330</v>
      </c>
      <c r="N17" s="18">
        <v>1130</v>
      </c>
      <c r="O17" s="18">
        <v>5000</v>
      </c>
      <c r="P17" s="6">
        <v>2000</v>
      </c>
      <c r="Q17" s="6"/>
    </row>
    <row r="18" spans="1:17">
      <c r="A18" s="10" t="s">
        <v>66</v>
      </c>
      <c r="B18" s="17" t="s">
        <v>67</v>
      </c>
      <c r="C18" s="27">
        <v>1.56</v>
      </c>
      <c r="D18" s="17"/>
      <c r="E18" s="17"/>
      <c r="F18" s="18">
        <f>L18</f>
        <v>1120</v>
      </c>
      <c r="G18" s="6" t="s">
        <v>2</v>
      </c>
      <c r="H18" s="18">
        <f>M18</f>
        <v>720</v>
      </c>
      <c r="I18" s="18">
        <f>N18</f>
        <v>1520</v>
      </c>
      <c r="J18" s="6" t="s">
        <v>258</v>
      </c>
      <c r="K18" s="6"/>
      <c r="L18" s="20">
        <v>1120</v>
      </c>
      <c r="M18" s="20">
        <v>720</v>
      </c>
      <c r="N18" s="18">
        <v>1520</v>
      </c>
      <c r="O18" s="18">
        <v>5000</v>
      </c>
      <c r="P18" s="6">
        <v>2000</v>
      </c>
      <c r="Q18" s="6"/>
    </row>
    <row r="19" spans="1:17">
      <c r="A19" s="10" t="s">
        <v>66</v>
      </c>
      <c r="B19" s="17" t="s">
        <v>67</v>
      </c>
      <c r="C19" s="27">
        <v>1.56</v>
      </c>
      <c r="D19" s="17"/>
      <c r="E19" s="17"/>
      <c r="F19" s="18">
        <f>L19</f>
        <v>1170</v>
      </c>
      <c r="G19" s="6" t="s">
        <v>2</v>
      </c>
      <c r="H19" s="18">
        <f>M19</f>
        <v>770</v>
      </c>
      <c r="I19" s="18">
        <f>N19</f>
        <v>1570</v>
      </c>
      <c r="J19" s="6" t="s">
        <v>258</v>
      </c>
      <c r="K19" s="6"/>
      <c r="L19" s="20">
        <v>1170</v>
      </c>
      <c r="M19" s="20">
        <v>770</v>
      </c>
      <c r="N19" s="20">
        <v>1570</v>
      </c>
      <c r="O19" s="18">
        <v>5000</v>
      </c>
      <c r="P19" s="6">
        <v>2000</v>
      </c>
      <c r="Q19" s="6"/>
    </row>
    <row r="20" spans="1:17">
      <c r="A20" s="10" t="s">
        <v>66</v>
      </c>
      <c r="B20" s="17" t="s">
        <v>67</v>
      </c>
      <c r="C20" s="27">
        <v>1.64</v>
      </c>
      <c r="D20" s="17"/>
      <c r="E20" s="17"/>
      <c r="F20" s="18">
        <f>L20</f>
        <v>500</v>
      </c>
      <c r="G20" s="6" t="s">
        <v>2</v>
      </c>
      <c r="H20" s="18">
        <f>M20</f>
        <v>300</v>
      </c>
      <c r="I20" s="18">
        <f>N20</f>
        <v>700</v>
      </c>
      <c r="J20" s="6" t="s">
        <v>258</v>
      </c>
      <c r="K20" s="6"/>
      <c r="L20" s="20">
        <v>500</v>
      </c>
      <c r="M20" s="20">
        <v>300</v>
      </c>
      <c r="N20" s="18">
        <v>700</v>
      </c>
      <c r="O20" s="18">
        <v>10000</v>
      </c>
      <c r="P20" s="6">
        <v>2000</v>
      </c>
      <c r="Q20" s="6" t="s">
        <v>105</v>
      </c>
    </row>
    <row r="21" spans="1:17">
      <c r="A21" s="10" t="s">
        <v>66</v>
      </c>
      <c r="B21" s="17" t="s">
        <v>67</v>
      </c>
      <c r="C21" s="27">
        <v>1.64</v>
      </c>
      <c r="D21" s="17"/>
      <c r="E21" s="17"/>
      <c r="F21" s="18">
        <f>L21</f>
        <v>500</v>
      </c>
      <c r="G21" s="6" t="s">
        <v>2</v>
      </c>
      <c r="H21" s="18">
        <f>M21</f>
        <v>300</v>
      </c>
      <c r="I21" s="18">
        <f>N21</f>
        <v>700</v>
      </c>
      <c r="J21" s="6" t="s">
        <v>258</v>
      </c>
      <c r="K21" s="6"/>
      <c r="L21" s="20">
        <v>500</v>
      </c>
      <c r="M21" s="20">
        <v>300</v>
      </c>
      <c r="N21" s="20">
        <v>700</v>
      </c>
      <c r="O21" s="20">
        <v>10000</v>
      </c>
      <c r="P21" s="6">
        <v>2000</v>
      </c>
      <c r="Q21" s="6" t="s">
        <v>105</v>
      </c>
    </row>
    <row r="22" spans="1:17">
      <c r="A22" s="10" t="s">
        <v>66</v>
      </c>
      <c r="B22" s="17" t="s">
        <v>67</v>
      </c>
      <c r="C22" s="27">
        <v>1.73</v>
      </c>
      <c r="D22" s="17"/>
      <c r="E22" s="17"/>
      <c r="F22" s="18">
        <f>L22</f>
        <v>300</v>
      </c>
      <c r="G22" s="6" t="s">
        <v>2</v>
      </c>
      <c r="H22" s="18">
        <f>M22</f>
        <v>0</v>
      </c>
      <c r="I22" s="18">
        <f>N22</f>
        <v>1300</v>
      </c>
      <c r="J22" s="6" t="s">
        <v>258</v>
      </c>
      <c r="K22" s="6"/>
      <c r="L22" s="20">
        <v>300</v>
      </c>
      <c r="M22" s="20">
        <v>0</v>
      </c>
      <c r="N22" s="18">
        <v>1300</v>
      </c>
      <c r="O22" s="18">
        <v>10000</v>
      </c>
      <c r="P22" s="6">
        <v>2000</v>
      </c>
      <c r="Q22" s="6"/>
    </row>
    <row r="23" spans="1:17">
      <c r="A23" s="10" t="s">
        <v>66</v>
      </c>
      <c r="B23" s="17" t="s">
        <v>67</v>
      </c>
      <c r="C23" s="27">
        <v>1.82</v>
      </c>
      <c r="D23" s="17"/>
      <c r="E23" s="17"/>
      <c r="F23" s="18">
        <f>L23</f>
        <v>370</v>
      </c>
      <c r="G23" s="6" t="s">
        <v>2</v>
      </c>
      <c r="H23" s="18">
        <f>M23</f>
        <v>0</v>
      </c>
      <c r="I23" s="18">
        <f>N23</f>
        <v>970</v>
      </c>
      <c r="J23" s="6" t="s">
        <v>258</v>
      </c>
      <c r="K23" s="6"/>
      <c r="L23" s="20">
        <v>370</v>
      </c>
      <c r="M23" s="20">
        <v>0</v>
      </c>
      <c r="N23" s="18">
        <v>970</v>
      </c>
      <c r="O23" s="18">
        <v>5000</v>
      </c>
      <c r="P23" s="6">
        <v>2000</v>
      </c>
      <c r="Q23" s="6"/>
    </row>
    <row r="24" spans="1:17">
      <c r="A24" s="10" t="s">
        <v>66</v>
      </c>
      <c r="B24" s="17" t="s">
        <v>67</v>
      </c>
      <c r="C24" s="27">
        <v>1.94</v>
      </c>
      <c r="D24" s="17"/>
      <c r="E24" s="17"/>
      <c r="F24" s="18">
        <f>L24</f>
        <v>510</v>
      </c>
      <c r="G24" s="6" t="s">
        <v>2</v>
      </c>
      <c r="H24" s="18">
        <f>M24</f>
        <v>110</v>
      </c>
      <c r="I24" s="18">
        <f>N24</f>
        <v>910</v>
      </c>
      <c r="J24" s="6" t="s">
        <v>258</v>
      </c>
      <c r="K24" s="6"/>
      <c r="L24" s="20">
        <v>510</v>
      </c>
      <c r="M24" s="20">
        <v>110</v>
      </c>
      <c r="N24" s="18">
        <v>910</v>
      </c>
      <c r="O24" s="18">
        <v>5000</v>
      </c>
      <c r="P24" s="6">
        <v>2000</v>
      </c>
      <c r="Q24" s="6"/>
    </row>
    <row r="25" spans="1:17">
      <c r="A25" s="10" t="s">
        <v>66</v>
      </c>
      <c r="B25" s="17" t="s">
        <v>67</v>
      </c>
      <c r="C25" s="27">
        <v>1.9400000000000002</v>
      </c>
      <c r="D25" s="17"/>
      <c r="E25" s="17"/>
      <c r="F25" s="18">
        <f>L25</f>
        <v>740</v>
      </c>
      <c r="G25" s="6" t="s">
        <v>2</v>
      </c>
      <c r="H25" s="18">
        <f>M25</f>
        <v>440</v>
      </c>
      <c r="I25" s="18">
        <f>N25</f>
        <v>1040</v>
      </c>
      <c r="J25" s="6" t="s">
        <v>258</v>
      </c>
      <c r="K25" s="6"/>
      <c r="L25" s="20">
        <v>740</v>
      </c>
      <c r="M25" s="20">
        <v>440</v>
      </c>
      <c r="N25" s="18">
        <v>1040</v>
      </c>
      <c r="O25" s="18">
        <v>5000</v>
      </c>
      <c r="P25" s="6">
        <v>2000</v>
      </c>
      <c r="Q25" s="6"/>
    </row>
    <row r="26" spans="1:17">
      <c r="A26" s="10" t="s">
        <v>66</v>
      </c>
      <c r="B26" s="17" t="s">
        <v>67</v>
      </c>
      <c r="C26" s="27">
        <v>2.12</v>
      </c>
      <c r="D26" s="17"/>
      <c r="E26" s="17"/>
      <c r="F26" s="18">
        <f>L26</f>
        <v>440</v>
      </c>
      <c r="G26" s="6" t="s">
        <v>2</v>
      </c>
      <c r="H26" s="18">
        <f>M26</f>
        <v>140</v>
      </c>
      <c r="I26" s="18">
        <f>N26</f>
        <v>740</v>
      </c>
      <c r="J26" s="6" t="s">
        <v>258</v>
      </c>
      <c r="K26" s="6"/>
      <c r="L26" s="20">
        <v>440</v>
      </c>
      <c r="M26" s="20">
        <v>140</v>
      </c>
      <c r="N26" s="18">
        <v>740</v>
      </c>
      <c r="O26" s="18">
        <v>5000</v>
      </c>
      <c r="P26" s="6">
        <v>2000</v>
      </c>
      <c r="Q26" s="6"/>
    </row>
    <row r="27" spans="1:17">
      <c r="A27" s="10" t="s">
        <v>66</v>
      </c>
      <c r="B27" s="17" t="s">
        <v>67</v>
      </c>
      <c r="C27" s="27">
        <v>2.12</v>
      </c>
      <c r="D27" s="17"/>
      <c r="E27" s="17"/>
      <c r="F27" s="18">
        <f>L27</f>
        <v>175</v>
      </c>
      <c r="G27" s="6" t="s">
        <v>2</v>
      </c>
      <c r="H27" s="18">
        <f>M27</f>
        <v>150</v>
      </c>
      <c r="I27" s="18">
        <f>N27</f>
        <v>200</v>
      </c>
      <c r="J27" s="6" t="s">
        <v>258</v>
      </c>
      <c r="K27" s="6"/>
      <c r="L27" s="20">
        <v>175</v>
      </c>
      <c r="M27" s="20">
        <v>150</v>
      </c>
      <c r="N27" s="18">
        <v>200</v>
      </c>
      <c r="O27" s="18">
        <v>5000</v>
      </c>
      <c r="P27" s="6">
        <v>2000</v>
      </c>
      <c r="Q27" s="6" t="s">
        <v>113</v>
      </c>
    </row>
    <row r="28" spans="1:17">
      <c r="A28" s="10" t="s">
        <v>66</v>
      </c>
      <c r="B28" s="17" t="s">
        <v>67</v>
      </c>
      <c r="C28" s="27">
        <v>2.14</v>
      </c>
      <c r="D28" s="17"/>
      <c r="E28" s="17"/>
      <c r="F28" s="18">
        <f>L28</f>
        <v>625</v>
      </c>
      <c r="G28" s="6" t="s">
        <v>2</v>
      </c>
      <c r="H28" s="18">
        <f>M28</f>
        <v>450</v>
      </c>
      <c r="I28" s="18">
        <f>N28</f>
        <v>800</v>
      </c>
      <c r="J28" s="6" t="s">
        <v>258</v>
      </c>
      <c r="K28" s="6"/>
      <c r="L28" s="20">
        <v>625</v>
      </c>
      <c r="M28" s="20">
        <v>450</v>
      </c>
      <c r="N28" s="18">
        <v>800</v>
      </c>
      <c r="O28" s="18">
        <v>5000</v>
      </c>
      <c r="P28" s="6">
        <v>2000</v>
      </c>
      <c r="Q28" s="6" t="s">
        <v>113</v>
      </c>
    </row>
    <row r="29" spans="1:17">
      <c r="A29" s="10" t="s">
        <v>66</v>
      </c>
      <c r="B29" s="17" t="s">
        <v>67</v>
      </c>
      <c r="C29" s="27">
        <v>2.2000000000000002</v>
      </c>
      <c r="D29" s="17"/>
      <c r="E29" s="17"/>
      <c r="F29" s="18">
        <f>L29</f>
        <v>725</v>
      </c>
      <c r="G29" s="6" t="s">
        <v>2</v>
      </c>
      <c r="H29" s="18">
        <f>M29</f>
        <v>600</v>
      </c>
      <c r="I29" s="18">
        <f>N29</f>
        <v>1000</v>
      </c>
      <c r="J29" s="6" t="s">
        <v>258</v>
      </c>
      <c r="K29" s="6"/>
      <c r="L29" s="20">
        <v>725</v>
      </c>
      <c r="M29" s="20">
        <v>600</v>
      </c>
      <c r="N29" s="18">
        <v>1000</v>
      </c>
      <c r="O29" s="18">
        <v>5000</v>
      </c>
      <c r="P29" s="6">
        <v>2000</v>
      </c>
      <c r="Q29" s="6" t="s">
        <v>113</v>
      </c>
    </row>
    <row r="30" spans="1:17">
      <c r="A30" s="10" t="s">
        <v>66</v>
      </c>
      <c r="B30" s="17" t="s">
        <v>67</v>
      </c>
      <c r="C30" s="27">
        <v>2.2599999999999998</v>
      </c>
      <c r="D30" s="17"/>
      <c r="E30" s="17"/>
      <c r="F30" s="18">
        <f>L30</f>
        <v>525</v>
      </c>
      <c r="G30" s="6" t="s">
        <v>2</v>
      </c>
      <c r="H30" s="18">
        <f>M30</f>
        <v>450</v>
      </c>
      <c r="I30" s="18">
        <f>N30</f>
        <v>600</v>
      </c>
      <c r="J30" s="6" t="s">
        <v>258</v>
      </c>
      <c r="K30" s="6"/>
      <c r="L30" s="20">
        <v>525</v>
      </c>
      <c r="M30" s="20">
        <v>450</v>
      </c>
      <c r="N30" s="18">
        <v>600</v>
      </c>
      <c r="O30" s="18">
        <v>5000</v>
      </c>
      <c r="P30" s="6">
        <v>2000</v>
      </c>
      <c r="Q30" s="6" t="s">
        <v>113</v>
      </c>
    </row>
    <row r="31" spans="1:17">
      <c r="A31" s="10" t="s">
        <v>66</v>
      </c>
      <c r="B31" s="17" t="s">
        <v>67</v>
      </c>
      <c r="C31" s="27">
        <v>2.2599999999999998</v>
      </c>
      <c r="D31" s="17"/>
      <c r="E31" s="17"/>
      <c r="F31" s="18">
        <f>L31</f>
        <v>800</v>
      </c>
      <c r="G31" s="6" t="s">
        <v>2</v>
      </c>
      <c r="H31" s="18">
        <f>M31</f>
        <v>600</v>
      </c>
      <c r="I31" s="18">
        <f>N31</f>
        <v>1000</v>
      </c>
      <c r="J31" s="6" t="s">
        <v>258</v>
      </c>
      <c r="K31" s="6"/>
      <c r="L31" s="20">
        <v>800</v>
      </c>
      <c r="M31" s="20">
        <v>600</v>
      </c>
      <c r="N31" s="18">
        <v>1000</v>
      </c>
      <c r="O31" s="18">
        <v>5000</v>
      </c>
      <c r="P31" s="6">
        <v>2000</v>
      </c>
      <c r="Q31" s="6" t="s">
        <v>113</v>
      </c>
    </row>
    <row r="32" spans="1:17">
      <c r="A32" s="10" t="s">
        <v>66</v>
      </c>
      <c r="B32" s="17" t="s">
        <v>67</v>
      </c>
      <c r="C32" s="27">
        <v>2.34</v>
      </c>
      <c r="D32" s="17"/>
      <c r="E32" s="17"/>
      <c r="F32" s="18">
        <f>L32</f>
        <v>475</v>
      </c>
      <c r="G32" s="6" t="s">
        <v>2</v>
      </c>
      <c r="H32" s="18">
        <f>M32</f>
        <v>450</v>
      </c>
      <c r="I32" s="18">
        <f>N32</f>
        <v>500</v>
      </c>
      <c r="J32" s="6" t="s">
        <v>258</v>
      </c>
      <c r="K32" s="6"/>
      <c r="L32" s="20">
        <v>475</v>
      </c>
      <c r="M32" s="20">
        <v>450</v>
      </c>
      <c r="N32" s="18">
        <v>500</v>
      </c>
      <c r="O32" s="18">
        <v>5000</v>
      </c>
      <c r="P32" s="6">
        <v>2000</v>
      </c>
      <c r="Q32" s="6" t="s">
        <v>113</v>
      </c>
    </row>
    <row r="33" spans="1:17">
      <c r="A33" s="10" t="s">
        <v>66</v>
      </c>
      <c r="B33" s="17" t="s">
        <v>67</v>
      </c>
      <c r="C33" s="27">
        <v>2.56</v>
      </c>
      <c r="D33" s="17"/>
      <c r="E33" s="17"/>
      <c r="F33" s="18">
        <f>L33</f>
        <v>988</v>
      </c>
      <c r="G33" s="6" t="s">
        <v>2</v>
      </c>
      <c r="H33" s="18">
        <f>M33</f>
        <v>700</v>
      </c>
      <c r="I33" s="18">
        <f>N33</f>
        <v>1275</v>
      </c>
      <c r="J33" s="6" t="s">
        <v>258</v>
      </c>
      <c r="K33" s="6"/>
      <c r="L33" s="20">
        <v>988</v>
      </c>
      <c r="M33" s="20">
        <v>700</v>
      </c>
      <c r="N33" s="18">
        <v>1275</v>
      </c>
      <c r="O33" s="18">
        <v>5000</v>
      </c>
      <c r="P33" s="6">
        <v>2000</v>
      </c>
      <c r="Q33" s="6" t="s">
        <v>113</v>
      </c>
    </row>
    <row r="34" spans="1:17">
      <c r="A34" s="10" t="s">
        <v>66</v>
      </c>
      <c r="B34" s="17" t="s">
        <v>67</v>
      </c>
      <c r="C34" s="27">
        <v>2.56</v>
      </c>
      <c r="D34" s="17"/>
      <c r="E34" s="17"/>
      <c r="F34" s="18">
        <f>L34</f>
        <v>1500</v>
      </c>
      <c r="G34" s="6" t="s">
        <v>2</v>
      </c>
      <c r="H34" s="18">
        <f>M34</f>
        <v>950</v>
      </c>
      <c r="I34" s="18">
        <f>N34</f>
        <v>2050</v>
      </c>
      <c r="J34" s="6" t="s">
        <v>258</v>
      </c>
      <c r="K34" s="6"/>
      <c r="L34" s="20">
        <v>1500</v>
      </c>
      <c r="M34" s="20">
        <v>950</v>
      </c>
      <c r="N34" s="18">
        <v>2050</v>
      </c>
      <c r="O34" s="18">
        <v>5000</v>
      </c>
      <c r="P34" s="6">
        <v>2000</v>
      </c>
      <c r="Q34" s="6" t="s">
        <v>113</v>
      </c>
    </row>
    <row r="35" spans="1:17">
      <c r="A35" s="9" t="s">
        <v>86</v>
      </c>
      <c r="B35" s="23" t="s">
        <v>87</v>
      </c>
      <c r="C35" s="27">
        <f>AVERAGE(D35:E35)</f>
        <v>3.96</v>
      </c>
      <c r="D35" s="28">
        <v>5.33</v>
      </c>
      <c r="E35" s="28">
        <v>2.59</v>
      </c>
      <c r="F35" s="6">
        <f>L35*$P35/$O35</f>
        <v>1680</v>
      </c>
      <c r="G35" s="6" t="s">
        <v>2</v>
      </c>
      <c r="H35" s="6">
        <f>F35*0.5</f>
        <v>840</v>
      </c>
      <c r="I35" s="6">
        <f>F35*2</f>
        <v>3360</v>
      </c>
      <c r="J35" s="6" t="s">
        <v>78</v>
      </c>
      <c r="K35" s="6"/>
      <c r="L35" s="20">
        <v>4200</v>
      </c>
      <c r="M35" s="20">
        <v>3200</v>
      </c>
      <c r="N35" s="18">
        <v>5200</v>
      </c>
      <c r="O35" s="18">
        <v>5000</v>
      </c>
      <c r="P35" s="6">
        <v>2000</v>
      </c>
      <c r="Q35" s="6" t="s">
        <v>113</v>
      </c>
    </row>
    <row r="36" spans="1:17">
      <c r="A36" s="13" t="s">
        <v>120</v>
      </c>
      <c r="B36" s="24" t="s">
        <v>121</v>
      </c>
      <c r="C36" s="28">
        <v>5</v>
      </c>
      <c r="D36" s="28"/>
      <c r="E36" s="28"/>
      <c r="F36" s="6">
        <f>L36*$P36/$O36</f>
        <v>324</v>
      </c>
      <c r="G36" s="6" t="s">
        <v>2</v>
      </c>
      <c r="H36" s="6">
        <f>F36*0.5</f>
        <v>162</v>
      </c>
      <c r="I36" s="6">
        <f>F36*2</f>
        <v>648</v>
      </c>
      <c r="J36" s="6" t="s">
        <v>78</v>
      </c>
      <c r="K36" s="6"/>
      <c r="L36" s="18">
        <v>810</v>
      </c>
      <c r="M36" s="20">
        <v>410</v>
      </c>
      <c r="N36" s="18">
        <v>1210</v>
      </c>
      <c r="O36" s="18">
        <v>5000</v>
      </c>
      <c r="P36" s="6">
        <v>2000</v>
      </c>
      <c r="Q36" s="6" t="s">
        <v>122</v>
      </c>
    </row>
    <row r="37" spans="1:17">
      <c r="A37" s="10" t="s">
        <v>41</v>
      </c>
      <c r="B37" s="18" t="s">
        <v>42</v>
      </c>
      <c r="C37" s="27">
        <f>AVERAGE(D37:E37)</f>
        <v>5.5</v>
      </c>
      <c r="D37" s="27">
        <v>6.1</v>
      </c>
      <c r="E37" s="27">
        <v>4.9000000000000004</v>
      </c>
      <c r="F37" s="6">
        <f>L37*$P37/$O37</f>
        <v>312</v>
      </c>
      <c r="G37" s="6" t="s">
        <v>43</v>
      </c>
      <c r="H37" s="6">
        <f>M37*$P37/$O37</f>
        <v>152</v>
      </c>
      <c r="I37" s="6">
        <f>N37*$P37/$O37</f>
        <v>472</v>
      </c>
      <c r="J37" s="6" t="s">
        <v>189</v>
      </c>
      <c r="K37" s="6"/>
      <c r="L37" s="20">
        <v>780</v>
      </c>
      <c r="M37" s="20">
        <v>380</v>
      </c>
      <c r="N37" s="18">
        <v>1180</v>
      </c>
      <c r="O37" s="18">
        <v>5000</v>
      </c>
      <c r="P37" s="6">
        <v>2000</v>
      </c>
      <c r="Q37" s="6"/>
    </row>
    <row r="38" spans="1:17">
      <c r="A38" s="10" t="s">
        <v>58</v>
      </c>
      <c r="B38" s="17" t="s">
        <v>59</v>
      </c>
      <c r="C38" s="27">
        <v>6.4</v>
      </c>
      <c r="D38" s="27"/>
      <c r="E38" s="27"/>
      <c r="F38" s="18">
        <f>L38*$P38/$O38</f>
        <v>588</v>
      </c>
      <c r="G38" s="6" t="s">
        <v>43</v>
      </c>
      <c r="H38" s="18">
        <f>M38*$P38/$O38</f>
        <v>308</v>
      </c>
      <c r="I38" s="18">
        <f>N38*$P38/$O38</f>
        <v>880</v>
      </c>
      <c r="J38" s="6" t="s">
        <v>195</v>
      </c>
      <c r="K38" s="6"/>
      <c r="L38" s="20">
        <v>1470</v>
      </c>
      <c r="M38" s="20">
        <v>770</v>
      </c>
      <c r="N38" s="18">
        <v>2200</v>
      </c>
      <c r="O38" s="18">
        <v>5000</v>
      </c>
      <c r="P38" s="6">
        <v>2000</v>
      </c>
      <c r="Q38" s="6"/>
    </row>
    <row r="39" spans="1:17">
      <c r="A39" s="10" t="s">
        <v>58</v>
      </c>
      <c r="B39" s="17" t="s">
        <v>59</v>
      </c>
      <c r="C39" s="27">
        <v>6.65</v>
      </c>
      <c r="D39" s="27"/>
      <c r="E39" s="27"/>
      <c r="F39" s="18">
        <f>L39*$P39/$O39</f>
        <v>780</v>
      </c>
      <c r="G39" s="6" t="s">
        <v>43</v>
      </c>
      <c r="H39" s="18">
        <f>M39*$P39/$O39</f>
        <v>640</v>
      </c>
      <c r="I39" s="18">
        <f>N39*$P39/$O39</f>
        <v>880</v>
      </c>
      <c r="J39" s="6" t="s">
        <v>197</v>
      </c>
      <c r="K39" s="6"/>
      <c r="L39" s="20">
        <v>1950</v>
      </c>
      <c r="M39" s="20">
        <v>1600</v>
      </c>
      <c r="N39" s="18">
        <v>2200</v>
      </c>
      <c r="O39" s="18">
        <v>5000</v>
      </c>
      <c r="P39" s="6">
        <v>2000</v>
      </c>
      <c r="Q39" s="6"/>
    </row>
    <row r="40" spans="1:17">
      <c r="A40" s="10" t="s">
        <v>58</v>
      </c>
      <c r="B40" s="17" t="s">
        <v>59</v>
      </c>
      <c r="C40" s="27">
        <v>6.8</v>
      </c>
      <c r="D40" s="27"/>
      <c r="E40" s="27"/>
      <c r="F40" s="18">
        <f>L40*$P40/$O40</f>
        <v>0</v>
      </c>
      <c r="G40" s="6" t="s">
        <v>43</v>
      </c>
      <c r="H40" s="18">
        <f>M40*$P40/$O40</f>
        <v>0</v>
      </c>
      <c r="I40" s="18">
        <f>N40*$P40/$O40</f>
        <v>84</v>
      </c>
      <c r="J40" s="6" t="s">
        <v>198</v>
      </c>
      <c r="K40" s="6"/>
      <c r="L40" s="20">
        <v>0</v>
      </c>
      <c r="M40" s="20">
        <v>0</v>
      </c>
      <c r="N40" s="18">
        <v>210</v>
      </c>
      <c r="O40" s="18">
        <v>5000</v>
      </c>
      <c r="P40" s="6">
        <v>2000</v>
      </c>
      <c r="Q40" s="6"/>
    </row>
    <row r="41" spans="1:17">
      <c r="A41" s="13" t="s">
        <v>109</v>
      </c>
      <c r="B41" s="24" t="s">
        <v>110</v>
      </c>
      <c r="C41" s="28">
        <v>7</v>
      </c>
      <c r="D41" s="28">
        <v>9</v>
      </c>
      <c r="E41" s="28">
        <v>5</v>
      </c>
      <c r="F41" s="6">
        <f>L41*$P41/$O41</f>
        <v>328</v>
      </c>
      <c r="G41" s="6" t="s">
        <v>2</v>
      </c>
      <c r="H41" s="6">
        <f>F41*0.5</f>
        <v>164</v>
      </c>
      <c r="I41" s="6">
        <f>F41*2</f>
        <v>656</v>
      </c>
      <c r="J41" s="6" t="s">
        <v>78</v>
      </c>
      <c r="K41" s="6"/>
      <c r="L41" s="20">
        <v>820</v>
      </c>
      <c r="M41" s="20">
        <v>520</v>
      </c>
      <c r="N41" s="18">
        <v>1120</v>
      </c>
      <c r="O41" s="18">
        <v>5000</v>
      </c>
      <c r="P41" s="6">
        <v>2000</v>
      </c>
      <c r="Q41" s="6"/>
    </row>
    <row r="42" spans="1:17">
      <c r="A42" s="13" t="s">
        <v>99</v>
      </c>
      <c r="B42" s="24" t="s">
        <v>102</v>
      </c>
      <c r="C42" s="27">
        <f>AVERAGE(D42:E42)</f>
        <v>7.1</v>
      </c>
      <c r="D42" s="28">
        <v>8.9</v>
      </c>
      <c r="E42" s="28">
        <v>5.3</v>
      </c>
      <c r="F42" s="6">
        <f>L42*$P42/$O42</f>
        <v>172</v>
      </c>
      <c r="G42" s="6" t="s">
        <v>2</v>
      </c>
      <c r="H42" s="6">
        <f>F42*0.5</f>
        <v>86</v>
      </c>
      <c r="I42" s="6">
        <f>F42*2</f>
        <v>344</v>
      </c>
      <c r="J42" s="6" t="s">
        <v>78</v>
      </c>
      <c r="K42" s="6"/>
      <c r="L42" s="20">
        <v>430</v>
      </c>
      <c r="M42" s="20">
        <v>130</v>
      </c>
      <c r="N42" s="18">
        <v>730</v>
      </c>
      <c r="O42" s="18">
        <v>5000</v>
      </c>
      <c r="P42" s="6">
        <v>2000</v>
      </c>
      <c r="Q42" s="6"/>
    </row>
    <row r="43" spans="1:17">
      <c r="A43" s="13" t="s">
        <v>99</v>
      </c>
      <c r="B43" s="24" t="s">
        <v>100</v>
      </c>
      <c r="C43" s="28">
        <v>7.66</v>
      </c>
      <c r="D43" s="28">
        <f>C43+0.13</f>
        <v>7.79</v>
      </c>
      <c r="E43" s="28">
        <f>C43-0.13</f>
        <v>7.53</v>
      </c>
      <c r="F43" s="6">
        <f>L43*$P43/$O43</f>
        <v>252</v>
      </c>
      <c r="G43" s="6" t="s">
        <v>2</v>
      </c>
      <c r="H43" s="6">
        <f>F43*0.5</f>
        <v>126</v>
      </c>
      <c r="I43" s="6">
        <f>F43*2</f>
        <v>504</v>
      </c>
      <c r="J43" s="6" t="s">
        <v>78</v>
      </c>
      <c r="K43" s="6"/>
      <c r="L43" s="20">
        <v>630</v>
      </c>
      <c r="M43" s="20">
        <v>330</v>
      </c>
      <c r="N43" s="18">
        <v>930</v>
      </c>
      <c r="O43" s="18">
        <v>5000</v>
      </c>
      <c r="P43" s="6">
        <v>2000</v>
      </c>
      <c r="Q43" s="6"/>
    </row>
    <row r="44" spans="1:17">
      <c r="A44" s="9" t="s">
        <v>86</v>
      </c>
      <c r="B44" s="23" t="s">
        <v>88</v>
      </c>
      <c r="C44" s="27">
        <f>AVERAGE(D44:E44)</f>
        <v>8.3650000000000002</v>
      </c>
      <c r="D44" s="28">
        <v>11.4</v>
      </c>
      <c r="E44" s="28">
        <v>5.33</v>
      </c>
      <c r="F44" s="6">
        <f>L44*$P44/$O44</f>
        <v>1180</v>
      </c>
      <c r="G44" s="6" t="s">
        <v>2</v>
      </c>
      <c r="H44" s="6">
        <f>F44*0.5</f>
        <v>590</v>
      </c>
      <c r="I44" s="6">
        <f>F44*2</f>
        <v>2360</v>
      </c>
      <c r="J44" s="6" t="s">
        <v>78</v>
      </c>
      <c r="K44" s="6"/>
      <c r="L44" s="20">
        <v>2950</v>
      </c>
      <c r="M44" s="20">
        <v>2340</v>
      </c>
      <c r="N44" s="18">
        <v>3540</v>
      </c>
      <c r="O44" s="18">
        <v>5000</v>
      </c>
      <c r="P44" s="6">
        <v>2000</v>
      </c>
      <c r="Q44" s="6"/>
    </row>
    <row r="45" spans="1:17">
      <c r="A45" s="10" t="s">
        <v>58</v>
      </c>
      <c r="B45" s="17" t="s">
        <v>59</v>
      </c>
      <c r="C45" s="27">
        <v>8.75</v>
      </c>
      <c r="D45" s="27"/>
      <c r="E45" s="27"/>
      <c r="F45" s="18">
        <f>L45*$P45/$O45</f>
        <v>504</v>
      </c>
      <c r="G45" s="6" t="s">
        <v>43</v>
      </c>
      <c r="H45" s="18">
        <f>M45*$P45/$O45</f>
        <v>264</v>
      </c>
      <c r="I45" s="18">
        <f>N45*$P45/$O45</f>
        <v>744</v>
      </c>
      <c r="J45" s="6" t="s">
        <v>200</v>
      </c>
      <c r="K45" s="6"/>
      <c r="L45" s="20">
        <v>1260</v>
      </c>
      <c r="M45" s="20">
        <v>660</v>
      </c>
      <c r="N45" s="18">
        <v>1860</v>
      </c>
      <c r="O45" s="18">
        <v>5000</v>
      </c>
      <c r="P45" s="6">
        <v>2000</v>
      </c>
      <c r="Q45" s="6"/>
    </row>
    <row r="46" spans="1:17">
      <c r="A46" s="13" t="s">
        <v>109</v>
      </c>
      <c r="B46" s="24" t="s">
        <v>110</v>
      </c>
      <c r="C46" s="28">
        <v>9</v>
      </c>
      <c r="D46" s="28">
        <v>11</v>
      </c>
      <c r="E46" s="28">
        <v>7</v>
      </c>
      <c r="F46" s="6">
        <f>L46*$P46/$O46</f>
        <v>904</v>
      </c>
      <c r="G46" s="6" t="s">
        <v>2</v>
      </c>
      <c r="H46" s="6">
        <f>F46*0.5</f>
        <v>452</v>
      </c>
      <c r="I46" s="6">
        <f>F46*2</f>
        <v>1808</v>
      </c>
      <c r="J46" s="6" t="s">
        <v>78</v>
      </c>
      <c r="K46" s="6"/>
      <c r="L46" s="20">
        <v>2260</v>
      </c>
      <c r="M46" s="20">
        <v>1350</v>
      </c>
      <c r="N46" s="18">
        <v>3300</v>
      </c>
      <c r="O46" s="18">
        <v>5000</v>
      </c>
      <c r="P46" s="6">
        <v>2000</v>
      </c>
      <c r="Q46" s="6"/>
    </row>
    <row r="47" spans="1:17">
      <c r="A47" s="10" t="s">
        <v>58</v>
      </c>
      <c r="B47" s="17" t="s">
        <v>59</v>
      </c>
      <c r="C47" s="27">
        <v>9.1</v>
      </c>
      <c r="D47" s="27"/>
      <c r="E47" s="27"/>
      <c r="F47" s="18">
        <f>L47*$P47/$O47</f>
        <v>1084</v>
      </c>
      <c r="G47" s="6" t="s">
        <v>43</v>
      </c>
      <c r="H47" s="18">
        <f>M47*$P47/$O47</f>
        <v>540</v>
      </c>
      <c r="I47" s="18">
        <f>N47*$P47/$O47</f>
        <v>1320</v>
      </c>
      <c r="J47" s="6" t="s">
        <v>201</v>
      </c>
      <c r="K47" s="6"/>
      <c r="L47" s="20">
        <v>2710</v>
      </c>
      <c r="M47" s="20">
        <v>1350</v>
      </c>
      <c r="N47" s="18">
        <v>3300</v>
      </c>
      <c r="O47" s="18">
        <v>5000</v>
      </c>
      <c r="P47" s="6">
        <v>2000</v>
      </c>
      <c r="Q47" s="6"/>
    </row>
    <row r="48" spans="1:17">
      <c r="A48" s="13" t="s">
        <v>99</v>
      </c>
      <c r="B48" s="24" t="s">
        <v>101</v>
      </c>
      <c r="C48" s="27">
        <f>AVERAGE(D48:E48)</f>
        <v>10.55</v>
      </c>
      <c r="D48" s="28">
        <v>11.2</v>
      </c>
      <c r="E48" s="28">
        <v>9.9</v>
      </c>
      <c r="F48" s="6">
        <f>L48*$P48/$O48</f>
        <v>1076</v>
      </c>
      <c r="G48" s="6" t="s">
        <v>2</v>
      </c>
      <c r="H48" s="6">
        <f>F48*0.5</f>
        <v>538</v>
      </c>
      <c r="I48" s="6">
        <f>F48*2</f>
        <v>2152</v>
      </c>
      <c r="J48" s="6" t="s">
        <v>78</v>
      </c>
      <c r="K48" s="6"/>
      <c r="L48" s="20">
        <v>2690</v>
      </c>
      <c r="M48" s="20">
        <v>1350</v>
      </c>
      <c r="N48" s="18">
        <v>3300</v>
      </c>
      <c r="O48" s="18">
        <v>5000</v>
      </c>
      <c r="P48" s="6">
        <v>2000</v>
      </c>
      <c r="Q48" s="6"/>
    </row>
    <row r="49" spans="1:17">
      <c r="A49" s="10" t="s">
        <v>58</v>
      </c>
      <c r="B49" s="17" t="s">
        <v>59</v>
      </c>
      <c r="C49" s="27">
        <v>12.7</v>
      </c>
      <c r="D49" s="27"/>
      <c r="E49" s="27"/>
      <c r="F49" s="18">
        <f>L49*$P49/$O49</f>
        <v>592</v>
      </c>
      <c r="G49" s="6" t="s">
        <v>43</v>
      </c>
      <c r="H49" s="18">
        <f>M49*$P49/$O49</f>
        <v>480</v>
      </c>
      <c r="I49" s="18">
        <f>N49*$P49/$O49</f>
        <v>720</v>
      </c>
      <c r="J49" s="6" t="s">
        <v>203</v>
      </c>
      <c r="K49" s="6"/>
      <c r="L49" s="20">
        <v>1480</v>
      </c>
      <c r="M49" s="20">
        <v>1200</v>
      </c>
      <c r="N49" s="18">
        <v>1800</v>
      </c>
      <c r="O49" s="18">
        <v>5000</v>
      </c>
      <c r="P49" s="6">
        <v>2000</v>
      </c>
      <c r="Q49" s="6"/>
    </row>
    <row r="50" spans="1:17">
      <c r="A50" s="10" t="s">
        <v>23</v>
      </c>
      <c r="B50" s="18" t="s">
        <v>24</v>
      </c>
      <c r="C50" s="27">
        <v>12.8</v>
      </c>
      <c r="D50" s="27"/>
      <c r="E50" s="27"/>
      <c r="F50" s="6">
        <f>L50*$P50/$O50</f>
        <v>1272</v>
      </c>
      <c r="G50" s="6" t="s">
        <v>2</v>
      </c>
      <c r="H50" s="6">
        <f>M50*$P50/$O50</f>
        <v>912</v>
      </c>
      <c r="I50" s="6">
        <f>N50*$P50/$O50</f>
        <v>1392</v>
      </c>
      <c r="J50" s="7" t="s">
        <v>184</v>
      </c>
      <c r="K50" s="6"/>
      <c r="L50" s="20">
        <v>3180</v>
      </c>
      <c r="M50" s="20">
        <v>2280</v>
      </c>
      <c r="N50" s="18">
        <v>3480</v>
      </c>
      <c r="O50" s="18">
        <v>5000</v>
      </c>
      <c r="P50" s="6">
        <v>2000</v>
      </c>
      <c r="Q50" s="6"/>
    </row>
    <row r="51" spans="1:17">
      <c r="A51" s="13" t="s">
        <v>109</v>
      </c>
      <c r="B51" s="24" t="s">
        <v>110</v>
      </c>
      <c r="C51" s="28">
        <v>13</v>
      </c>
      <c r="D51" s="28">
        <v>15</v>
      </c>
      <c r="E51" s="28">
        <v>11</v>
      </c>
      <c r="F51" s="6">
        <f>L51*$P51/$O51</f>
        <v>1824</v>
      </c>
      <c r="G51" s="6" t="s">
        <v>2</v>
      </c>
      <c r="H51" s="6">
        <f>F51*0.5</f>
        <v>912</v>
      </c>
      <c r="I51" s="6">
        <f>F51*2</f>
        <v>3648</v>
      </c>
      <c r="J51" s="6" t="s">
        <v>78</v>
      </c>
      <c r="K51" s="6"/>
      <c r="L51" s="20">
        <v>4560</v>
      </c>
      <c r="M51" s="20">
        <v>3960</v>
      </c>
      <c r="N51" s="18">
        <v>5160</v>
      </c>
      <c r="O51" s="18">
        <v>5000</v>
      </c>
      <c r="P51" s="6">
        <v>2000</v>
      </c>
      <c r="Q51" s="6"/>
    </row>
    <row r="52" spans="1:17">
      <c r="A52" s="13" t="s">
        <v>109</v>
      </c>
      <c r="B52" s="24" t="s">
        <v>110</v>
      </c>
      <c r="C52" s="28">
        <v>13</v>
      </c>
      <c r="D52" s="28">
        <v>15</v>
      </c>
      <c r="E52" s="28">
        <v>11</v>
      </c>
      <c r="F52" s="6">
        <f>L52*$P52/$O52</f>
        <v>768</v>
      </c>
      <c r="G52" s="6" t="s">
        <v>2</v>
      </c>
      <c r="H52" s="6">
        <f>F52*0.5</f>
        <v>384</v>
      </c>
      <c r="I52" s="6">
        <f>F52*2</f>
        <v>1536</v>
      </c>
      <c r="J52" s="6" t="s">
        <v>78</v>
      </c>
      <c r="K52" s="6"/>
      <c r="L52" s="20">
        <v>1920</v>
      </c>
      <c r="M52" s="20">
        <v>1320</v>
      </c>
      <c r="N52" s="18">
        <v>2520</v>
      </c>
      <c r="O52" s="18">
        <v>5000</v>
      </c>
      <c r="P52" s="6">
        <v>2000</v>
      </c>
      <c r="Q52" s="6"/>
    </row>
    <row r="53" spans="1:17">
      <c r="A53" s="10" t="s">
        <v>23</v>
      </c>
      <c r="B53" s="18" t="s">
        <v>24</v>
      </c>
      <c r="C53" s="27">
        <v>13.14</v>
      </c>
      <c r="D53" s="27"/>
      <c r="E53" s="27"/>
      <c r="F53" s="6">
        <f>L53*$P53/$O53</f>
        <v>660</v>
      </c>
      <c r="G53" s="6" t="s">
        <v>2</v>
      </c>
      <c r="H53" s="6">
        <f>M53*$P53/$O53</f>
        <v>360</v>
      </c>
      <c r="I53" s="6">
        <f>N53*$P53/$O53</f>
        <v>1380</v>
      </c>
      <c r="J53" s="7" t="s">
        <v>184</v>
      </c>
      <c r="K53" s="6"/>
      <c r="L53" s="20">
        <v>1650</v>
      </c>
      <c r="M53" s="20">
        <v>900</v>
      </c>
      <c r="N53" s="18">
        <v>3450</v>
      </c>
      <c r="O53" s="18">
        <v>5000</v>
      </c>
      <c r="P53" s="6">
        <v>2000</v>
      </c>
      <c r="Q53" s="6"/>
    </row>
    <row r="54" spans="1:17">
      <c r="A54" s="9" t="s">
        <v>86</v>
      </c>
      <c r="B54" s="23" t="s">
        <v>89</v>
      </c>
      <c r="C54" s="27">
        <f>AVERAGE(D54:E54)</f>
        <v>13.7</v>
      </c>
      <c r="D54" s="28">
        <v>16</v>
      </c>
      <c r="E54" s="28">
        <v>11.4</v>
      </c>
      <c r="F54" s="6">
        <f>L54*$P54/$O54</f>
        <v>732</v>
      </c>
      <c r="G54" s="6" t="s">
        <v>2</v>
      </c>
      <c r="H54" s="6">
        <f>F54*0.5</f>
        <v>366</v>
      </c>
      <c r="I54" s="6">
        <f>F54*2</f>
        <v>1464</v>
      </c>
      <c r="J54" s="6" t="s">
        <v>78</v>
      </c>
      <c r="K54" s="6"/>
      <c r="L54" s="20">
        <v>1830</v>
      </c>
      <c r="M54" s="20">
        <v>900</v>
      </c>
      <c r="N54" s="18">
        <v>3450</v>
      </c>
      <c r="O54" s="18">
        <v>5000</v>
      </c>
      <c r="P54" s="6">
        <v>2000</v>
      </c>
      <c r="Q54" s="6"/>
    </row>
    <row r="55" spans="1:17">
      <c r="A55" s="10" t="s">
        <v>58</v>
      </c>
      <c r="B55" s="17" t="s">
        <v>59</v>
      </c>
      <c r="C55" s="27">
        <v>13.7</v>
      </c>
      <c r="D55" s="27"/>
      <c r="E55" s="27"/>
      <c r="F55" s="18">
        <f>L55*$P55/$O55</f>
        <v>1140</v>
      </c>
      <c r="G55" s="6" t="s">
        <v>43</v>
      </c>
      <c r="H55" s="18">
        <f>M55*$P55/$O55</f>
        <v>360</v>
      </c>
      <c r="I55" s="18">
        <f>N55*$P55/$O55</f>
        <v>1380</v>
      </c>
      <c r="J55" s="6" t="s">
        <v>204</v>
      </c>
      <c r="K55" s="6"/>
      <c r="L55" s="20">
        <v>2850</v>
      </c>
      <c r="M55" s="20">
        <v>900</v>
      </c>
      <c r="N55" s="18">
        <v>3450</v>
      </c>
      <c r="O55" s="18">
        <v>5000</v>
      </c>
      <c r="P55" s="6">
        <v>2000</v>
      </c>
      <c r="Q55" s="6"/>
    </row>
    <row r="56" spans="1:17">
      <c r="A56" s="10" t="s">
        <v>23</v>
      </c>
      <c r="B56" s="18" t="s">
        <v>24</v>
      </c>
      <c r="C56" s="27">
        <v>13.76</v>
      </c>
      <c r="D56" s="27"/>
      <c r="E56" s="27"/>
      <c r="F56" s="6">
        <f>L56*$P56/$O56</f>
        <v>244</v>
      </c>
      <c r="G56" s="6" t="s">
        <v>2</v>
      </c>
      <c r="H56" s="6">
        <f>M56*$P56/$O56</f>
        <v>120</v>
      </c>
      <c r="I56" s="6">
        <f>N56*$P56/$O56</f>
        <v>360</v>
      </c>
      <c r="J56" s="7" t="s">
        <v>184</v>
      </c>
      <c r="K56" s="6"/>
      <c r="L56" s="20">
        <v>610</v>
      </c>
      <c r="M56" s="20">
        <v>300</v>
      </c>
      <c r="N56" s="18">
        <v>900</v>
      </c>
      <c r="O56" s="18">
        <v>5000</v>
      </c>
      <c r="P56" s="6">
        <v>2000</v>
      </c>
      <c r="Q56" s="6"/>
    </row>
    <row r="57" spans="1:17">
      <c r="A57" s="10" t="s">
        <v>23</v>
      </c>
      <c r="B57" s="18" t="s">
        <v>24</v>
      </c>
      <c r="C57" s="27">
        <v>14.4</v>
      </c>
      <c r="D57" s="27"/>
      <c r="E57" s="27"/>
      <c r="F57" s="6">
        <f>L57*$P57/$O57</f>
        <v>400</v>
      </c>
      <c r="G57" s="6" t="s">
        <v>2</v>
      </c>
      <c r="H57" s="6">
        <f>M57*$P57/$O57</f>
        <v>240</v>
      </c>
      <c r="I57" s="6">
        <f>N57*$P57/$O57</f>
        <v>600</v>
      </c>
      <c r="J57" s="7" t="s">
        <v>184</v>
      </c>
      <c r="K57" s="6"/>
      <c r="L57" s="20">
        <v>1000</v>
      </c>
      <c r="M57" s="20">
        <v>600</v>
      </c>
      <c r="N57" s="18">
        <v>1500</v>
      </c>
      <c r="O57" s="18">
        <v>5000</v>
      </c>
      <c r="P57" s="6">
        <v>2000</v>
      </c>
      <c r="Q57" s="6"/>
    </row>
    <row r="58" spans="1:17">
      <c r="A58" s="10" t="s">
        <v>23</v>
      </c>
      <c r="B58" s="18" t="s">
        <v>24</v>
      </c>
      <c r="C58" s="27">
        <v>14.66</v>
      </c>
      <c r="D58" s="27"/>
      <c r="E58" s="27"/>
      <c r="F58" s="6">
        <f>L58*$P58/$O58</f>
        <v>0</v>
      </c>
      <c r="G58" s="6" t="s">
        <v>2</v>
      </c>
      <c r="H58" s="6">
        <f>M58*$P58/$O58</f>
        <v>0</v>
      </c>
      <c r="I58" s="6">
        <f>N58*$P58/$O58</f>
        <v>120</v>
      </c>
      <c r="J58" s="7" t="s">
        <v>184</v>
      </c>
      <c r="K58" s="6"/>
      <c r="L58" s="12">
        <v>0</v>
      </c>
      <c r="M58" s="12">
        <v>0</v>
      </c>
      <c r="N58" s="14">
        <v>300</v>
      </c>
      <c r="O58" s="18">
        <v>5000</v>
      </c>
      <c r="P58" s="6">
        <v>2000</v>
      </c>
      <c r="Q58" s="6"/>
    </row>
    <row r="59" spans="1:17">
      <c r="A59" s="10" t="s">
        <v>23</v>
      </c>
      <c r="B59" s="18" t="s">
        <v>24</v>
      </c>
      <c r="C59" s="27">
        <v>15.11</v>
      </c>
      <c r="D59" s="27"/>
      <c r="E59" s="27"/>
      <c r="F59" s="6">
        <f>L59*$P59/$O59</f>
        <v>608</v>
      </c>
      <c r="G59" s="6" t="s">
        <v>2</v>
      </c>
      <c r="H59" s="6">
        <f>M59*$P59/$O59</f>
        <v>360</v>
      </c>
      <c r="I59" s="6">
        <f>N59*$P59/$O59</f>
        <v>840</v>
      </c>
      <c r="J59" s="7" t="s">
        <v>184</v>
      </c>
      <c r="K59" s="6"/>
      <c r="L59" s="20">
        <v>1520</v>
      </c>
      <c r="M59" s="20">
        <v>900</v>
      </c>
      <c r="N59" s="18">
        <v>2100</v>
      </c>
      <c r="O59" s="18">
        <v>5000</v>
      </c>
      <c r="P59" s="6">
        <v>2000</v>
      </c>
      <c r="Q59" s="6"/>
    </row>
    <row r="60" spans="1:17">
      <c r="A60" s="10" t="s">
        <v>23</v>
      </c>
      <c r="B60" s="18" t="s">
        <v>24</v>
      </c>
      <c r="C60" s="27">
        <v>15.61</v>
      </c>
      <c r="D60" s="27"/>
      <c r="E60" s="27"/>
      <c r="F60" s="6">
        <f>L60*$P60/$O60</f>
        <v>824</v>
      </c>
      <c r="G60" s="6" t="s">
        <v>2</v>
      </c>
      <c r="H60" s="6">
        <f>M60*$P60/$O60</f>
        <v>600</v>
      </c>
      <c r="I60" s="6">
        <f>N60*$P60/$O60</f>
        <v>1020</v>
      </c>
      <c r="J60" s="7" t="s">
        <v>184</v>
      </c>
      <c r="K60" s="6"/>
      <c r="L60" s="20">
        <v>2060</v>
      </c>
      <c r="M60" s="20">
        <v>1500</v>
      </c>
      <c r="N60" s="18">
        <v>2550</v>
      </c>
      <c r="O60" s="18">
        <v>5000</v>
      </c>
      <c r="P60" s="6">
        <v>2000</v>
      </c>
      <c r="Q60" s="6"/>
    </row>
    <row r="61" spans="1:17">
      <c r="A61" s="10" t="s">
        <v>23</v>
      </c>
      <c r="B61" s="18" t="s">
        <v>24</v>
      </c>
      <c r="C61" s="27">
        <v>15.98</v>
      </c>
      <c r="D61" s="27"/>
      <c r="E61" s="27"/>
      <c r="F61" s="6">
        <f>L61*$P61/$O61</f>
        <v>624</v>
      </c>
      <c r="G61" s="6" t="s">
        <v>2</v>
      </c>
      <c r="H61" s="6">
        <f>M61*$P61/$O61</f>
        <v>384</v>
      </c>
      <c r="I61" s="6">
        <f>N61*$P61/$O61</f>
        <v>864</v>
      </c>
      <c r="J61" s="7" t="s">
        <v>184</v>
      </c>
      <c r="K61" s="6"/>
      <c r="L61" s="20">
        <v>1560</v>
      </c>
      <c r="M61" s="20">
        <v>960</v>
      </c>
      <c r="N61" s="18">
        <v>2160</v>
      </c>
      <c r="O61" s="18">
        <v>5000</v>
      </c>
      <c r="P61" s="6">
        <v>2000</v>
      </c>
      <c r="Q61" s="6"/>
    </row>
    <row r="62" spans="1:17">
      <c r="A62" s="10" t="s">
        <v>23</v>
      </c>
      <c r="B62" s="18" t="s">
        <v>24</v>
      </c>
      <c r="C62" s="27">
        <v>16.13</v>
      </c>
      <c r="D62" s="27"/>
      <c r="E62" s="27"/>
      <c r="F62" s="6">
        <f>L62*$P62/$O62</f>
        <v>1150</v>
      </c>
      <c r="G62" s="6" t="s">
        <v>2</v>
      </c>
      <c r="H62" s="6">
        <f>M62*$P62/$O62</f>
        <v>1100</v>
      </c>
      <c r="I62" s="6">
        <f>N62*$P62/$O62</f>
        <v>1200</v>
      </c>
      <c r="J62" s="7" t="s">
        <v>184</v>
      </c>
      <c r="K62" s="6"/>
      <c r="L62" s="20">
        <v>2300</v>
      </c>
      <c r="M62" s="20">
        <v>2200</v>
      </c>
      <c r="N62" s="20">
        <v>2400</v>
      </c>
      <c r="O62" s="20">
        <v>4000</v>
      </c>
      <c r="P62" s="6">
        <v>2000</v>
      </c>
      <c r="Q62" s="6"/>
    </row>
    <row r="63" spans="1:17">
      <c r="A63" s="10" t="s">
        <v>58</v>
      </c>
      <c r="B63" s="17" t="s">
        <v>59</v>
      </c>
      <c r="C63" s="27">
        <v>17.5</v>
      </c>
      <c r="D63" s="27"/>
      <c r="E63" s="27"/>
      <c r="F63" s="18">
        <f>L63*$P63/$O63</f>
        <v>653.33333333333337</v>
      </c>
      <c r="G63" s="6" t="s">
        <v>43</v>
      </c>
      <c r="H63" s="18">
        <f>M63*$P63/$O63</f>
        <v>453.33333333333331</v>
      </c>
      <c r="I63" s="18">
        <f>N63*$P63/$O63</f>
        <v>853.33333333333337</v>
      </c>
      <c r="J63" s="6" t="s">
        <v>206</v>
      </c>
      <c r="K63" s="6"/>
      <c r="L63" s="20">
        <v>2450</v>
      </c>
      <c r="M63" s="20">
        <v>1700</v>
      </c>
      <c r="N63" s="20">
        <v>3200</v>
      </c>
      <c r="O63" s="20">
        <v>7500</v>
      </c>
      <c r="P63" s="6">
        <v>2000</v>
      </c>
      <c r="Q63" s="6"/>
    </row>
    <row r="64" spans="1:17">
      <c r="A64" s="10" t="s">
        <v>58</v>
      </c>
      <c r="B64" s="17" t="s">
        <v>53</v>
      </c>
      <c r="C64" s="27">
        <v>17.8</v>
      </c>
      <c r="D64" s="27"/>
      <c r="E64" s="27"/>
      <c r="F64" s="18">
        <f>L64*$P64/$O64</f>
        <v>1140</v>
      </c>
      <c r="G64" s="6" t="s">
        <v>43</v>
      </c>
      <c r="H64" s="18">
        <f>M64*$P64/$O64</f>
        <v>840</v>
      </c>
      <c r="I64" s="18">
        <f>N64*$P64/$O64</f>
        <v>1440</v>
      </c>
      <c r="J64" s="6" t="s">
        <v>208</v>
      </c>
      <c r="K64" s="6"/>
      <c r="L64" s="20">
        <v>2850</v>
      </c>
      <c r="M64" s="20">
        <v>2100</v>
      </c>
      <c r="N64" s="18">
        <v>3600</v>
      </c>
      <c r="O64" s="18">
        <v>5000</v>
      </c>
      <c r="P64" s="6">
        <v>2000</v>
      </c>
      <c r="Q64" s="18" t="s">
        <v>142</v>
      </c>
    </row>
    <row r="65" spans="1:17">
      <c r="A65" s="10" t="s">
        <v>58</v>
      </c>
      <c r="B65" s="17" t="s">
        <v>53</v>
      </c>
      <c r="C65" s="27">
        <v>18</v>
      </c>
      <c r="D65" s="27"/>
      <c r="E65" s="27"/>
      <c r="F65" s="18">
        <f>L65*$P65/$O65</f>
        <v>1260</v>
      </c>
      <c r="G65" s="6" t="s">
        <v>43</v>
      </c>
      <c r="H65" s="18">
        <f>M65*$P65/$O65</f>
        <v>960</v>
      </c>
      <c r="I65" s="18">
        <f>N65*$P65/$O65</f>
        <v>1560</v>
      </c>
      <c r="J65" s="6" t="s">
        <v>210</v>
      </c>
      <c r="K65" s="6"/>
      <c r="L65" s="20">
        <v>3150</v>
      </c>
      <c r="M65" s="20">
        <v>2400</v>
      </c>
      <c r="N65" s="18">
        <v>3900</v>
      </c>
      <c r="O65" s="18">
        <v>5000</v>
      </c>
      <c r="P65" s="6">
        <v>2000</v>
      </c>
      <c r="Q65" s="18" t="s">
        <v>142</v>
      </c>
    </row>
    <row r="66" spans="1:17">
      <c r="A66" s="10" t="s">
        <v>58</v>
      </c>
      <c r="B66" s="17" t="s">
        <v>60</v>
      </c>
      <c r="C66" s="27">
        <v>18.2</v>
      </c>
      <c r="D66" s="27"/>
      <c r="E66" s="27"/>
      <c r="F66" s="18">
        <f>L66*$P66/$O66</f>
        <v>1320</v>
      </c>
      <c r="G66" s="6" t="s">
        <v>43</v>
      </c>
      <c r="H66" s="18">
        <f>M66*$P66/$O66</f>
        <v>960</v>
      </c>
      <c r="I66" s="18">
        <f>N66*$P66/$O66</f>
        <v>1680</v>
      </c>
      <c r="J66" s="6" t="s">
        <v>212</v>
      </c>
      <c r="K66" s="6"/>
      <c r="L66" s="20">
        <v>3300</v>
      </c>
      <c r="M66" s="20">
        <v>2400</v>
      </c>
      <c r="N66" s="20">
        <v>4200</v>
      </c>
      <c r="O66" s="20">
        <v>5000</v>
      </c>
      <c r="P66" s="6">
        <v>2000</v>
      </c>
      <c r="Q66" s="18" t="s">
        <v>142</v>
      </c>
    </row>
    <row r="67" spans="1:17">
      <c r="A67" s="13" t="s">
        <v>120</v>
      </c>
      <c r="B67" s="24" t="s">
        <v>123</v>
      </c>
      <c r="C67" s="28">
        <v>21</v>
      </c>
      <c r="D67" s="28"/>
      <c r="E67" s="28"/>
      <c r="F67" s="6">
        <f>L67*$P67/$O67</f>
        <v>1440</v>
      </c>
      <c r="G67" s="6" t="s">
        <v>2</v>
      </c>
      <c r="H67" s="6">
        <f>F67*0.5</f>
        <v>720</v>
      </c>
      <c r="I67" s="6">
        <f>F67*2</f>
        <v>2880</v>
      </c>
      <c r="J67" s="6" t="s">
        <v>78</v>
      </c>
      <c r="K67" s="6"/>
      <c r="L67" s="20">
        <v>3600</v>
      </c>
      <c r="M67" s="20">
        <v>2700</v>
      </c>
      <c r="N67" s="18">
        <v>4500</v>
      </c>
      <c r="O67" s="18">
        <v>5000</v>
      </c>
      <c r="P67" s="6">
        <v>2000</v>
      </c>
      <c r="Q67" s="18" t="s">
        <v>142</v>
      </c>
    </row>
    <row r="68" spans="1:17">
      <c r="A68" s="10" t="s">
        <v>58</v>
      </c>
      <c r="B68" s="17" t="s">
        <v>59</v>
      </c>
      <c r="C68" s="27">
        <v>23</v>
      </c>
      <c r="D68" s="27"/>
      <c r="E68" s="27"/>
      <c r="F68" s="18">
        <f>L68*$P68/$O68</f>
        <v>1120</v>
      </c>
      <c r="G68" s="6" t="s">
        <v>43</v>
      </c>
      <c r="H68" s="18">
        <f>M68*$P68/$O68</f>
        <v>920</v>
      </c>
      <c r="I68" s="18">
        <f>N68*$P68/$O68</f>
        <v>1280</v>
      </c>
      <c r="J68" s="6" t="s">
        <v>214</v>
      </c>
      <c r="K68" s="6"/>
      <c r="L68" s="20">
        <v>2800</v>
      </c>
      <c r="M68" s="20">
        <v>2300</v>
      </c>
      <c r="N68" s="18">
        <v>3200</v>
      </c>
      <c r="O68" s="18">
        <v>5000</v>
      </c>
      <c r="P68" s="6">
        <v>2000</v>
      </c>
      <c r="Q68" s="6"/>
    </row>
    <row r="69" spans="1:17">
      <c r="A69" s="13" t="s">
        <v>120</v>
      </c>
      <c r="B69" s="24" t="s">
        <v>124</v>
      </c>
      <c r="C69" s="27">
        <f>AVERAGE(D69:E69)</f>
        <v>25.55</v>
      </c>
      <c r="D69" s="28">
        <v>28.1</v>
      </c>
      <c r="E69" s="28">
        <v>23</v>
      </c>
      <c r="F69" s="6">
        <f>L69*$P69/$O69</f>
        <v>1560</v>
      </c>
      <c r="G69" s="6" t="s">
        <v>2</v>
      </c>
      <c r="H69" s="6">
        <f>F69*0.5</f>
        <v>780</v>
      </c>
      <c r="I69" s="6">
        <f>F69*2</f>
        <v>3120</v>
      </c>
      <c r="J69" s="6" t="s">
        <v>78</v>
      </c>
      <c r="K69" s="6"/>
      <c r="L69" s="20">
        <v>3900</v>
      </c>
      <c r="M69" s="20">
        <v>2900</v>
      </c>
      <c r="N69" s="18">
        <v>5200</v>
      </c>
      <c r="O69" s="18">
        <v>5000</v>
      </c>
      <c r="P69" s="6">
        <v>2000</v>
      </c>
      <c r="Q69" s="6"/>
    </row>
    <row r="70" spans="1:17">
      <c r="A70" s="10" t="s">
        <v>52</v>
      </c>
      <c r="B70" s="17" t="s">
        <v>53</v>
      </c>
      <c r="C70" s="27">
        <v>31.6</v>
      </c>
      <c r="D70" s="27">
        <f>C70+3.9</f>
        <v>35.5</v>
      </c>
      <c r="E70" s="27">
        <f>C70-3.9</f>
        <v>27.700000000000003</v>
      </c>
      <c r="F70" s="18">
        <f>L70*$P70/$O70</f>
        <v>813.6</v>
      </c>
      <c r="G70" s="6" t="s">
        <v>2</v>
      </c>
      <c r="H70" s="6">
        <f>F70*0.5</f>
        <v>406.8</v>
      </c>
      <c r="I70" s="6">
        <f>F70*2</f>
        <v>1627.2</v>
      </c>
      <c r="J70" s="6" t="s">
        <v>193</v>
      </c>
      <c r="K70" s="6"/>
      <c r="L70" s="20">
        <v>2034</v>
      </c>
      <c r="M70" s="18">
        <v>1434</v>
      </c>
      <c r="N70" s="18">
        <v>2634</v>
      </c>
      <c r="O70" s="18">
        <v>5000</v>
      </c>
      <c r="P70" s="6">
        <v>2000</v>
      </c>
      <c r="Q70" s="30">
        <v>0.76600000000000001</v>
      </c>
    </row>
    <row r="71" spans="1:17">
      <c r="A71" s="10" t="s">
        <v>52</v>
      </c>
      <c r="B71" s="17" t="s">
        <v>53</v>
      </c>
      <c r="C71" s="27">
        <v>31.6</v>
      </c>
      <c r="D71" s="27">
        <f>C71+3.9</f>
        <v>35.5</v>
      </c>
      <c r="E71" s="27">
        <f>C71-3.9</f>
        <v>27.700000000000003</v>
      </c>
      <c r="F71" s="18">
        <f>L71*$P71/$O71</f>
        <v>230.8</v>
      </c>
      <c r="G71" s="6" t="s">
        <v>2</v>
      </c>
      <c r="H71" s="6">
        <f>F71*0.5</f>
        <v>115.4</v>
      </c>
      <c r="I71" s="6">
        <f>F71*2</f>
        <v>461.6</v>
      </c>
      <c r="J71" s="6" t="s">
        <v>193</v>
      </c>
      <c r="K71" s="6"/>
      <c r="L71" s="20">
        <v>577</v>
      </c>
      <c r="M71" s="18">
        <v>177</v>
      </c>
      <c r="N71" s="18">
        <v>977</v>
      </c>
      <c r="O71" s="18">
        <v>5000</v>
      </c>
      <c r="P71" s="6">
        <v>2000</v>
      </c>
      <c r="Q71" s="6"/>
    </row>
    <row r="72" spans="1:17">
      <c r="A72" s="10" t="s">
        <v>72</v>
      </c>
      <c r="B72" s="17" t="s">
        <v>73</v>
      </c>
      <c r="C72" s="27">
        <v>34.17</v>
      </c>
      <c r="D72" s="17"/>
      <c r="E72" s="17"/>
      <c r="F72" s="18">
        <f>L72*$P72/$O72</f>
        <v>460.8</v>
      </c>
      <c r="G72" s="6" t="s">
        <v>2</v>
      </c>
      <c r="H72" s="18">
        <f>M72*$P72/$O72</f>
        <v>260.8</v>
      </c>
      <c r="I72" s="18">
        <f>N72*$P72/$O72</f>
        <v>660.8</v>
      </c>
      <c r="J72" s="6" t="s">
        <v>294</v>
      </c>
      <c r="K72" s="6"/>
      <c r="L72" s="20">
        <v>1152</v>
      </c>
      <c r="M72" s="18">
        <v>652</v>
      </c>
      <c r="N72" s="18">
        <v>1652</v>
      </c>
      <c r="O72" s="18">
        <v>5000</v>
      </c>
      <c r="P72" s="6">
        <v>2000</v>
      </c>
      <c r="Q72" s="6"/>
    </row>
    <row r="73" spans="1:17">
      <c r="A73" s="13" t="s">
        <v>120</v>
      </c>
      <c r="B73" s="24" t="s">
        <v>125</v>
      </c>
      <c r="C73" s="28">
        <v>45</v>
      </c>
      <c r="D73" s="28"/>
      <c r="E73" s="28"/>
      <c r="F73" s="6">
        <f>L73*$P73/$O73</f>
        <v>486.8</v>
      </c>
      <c r="G73" s="6" t="s">
        <v>2</v>
      </c>
      <c r="H73" s="6">
        <f>F73*0.5</f>
        <v>243.4</v>
      </c>
      <c r="I73" s="6">
        <f>F73*2</f>
        <v>973.6</v>
      </c>
      <c r="J73" s="6" t="s">
        <v>78</v>
      </c>
      <c r="K73" s="6"/>
      <c r="L73" s="18">
        <v>1217</v>
      </c>
      <c r="M73" s="18">
        <v>727</v>
      </c>
      <c r="N73" s="18">
        <v>1717</v>
      </c>
      <c r="O73" s="18">
        <v>5000</v>
      </c>
      <c r="P73" s="6">
        <v>2000</v>
      </c>
      <c r="Q73" s="6"/>
    </row>
    <row r="74" spans="1:17">
      <c r="A74" s="10" t="s">
        <v>44</v>
      </c>
      <c r="B74" s="17" t="s">
        <v>45</v>
      </c>
      <c r="C74" s="27">
        <v>50.4846</v>
      </c>
      <c r="D74" s="27">
        <f>C74+0.05</f>
        <v>50.534599999999998</v>
      </c>
      <c r="E74" s="27">
        <f>C74-0.05</f>
        <v>50.434600000000003</v>
      </c>
      <c r="F74" s="18">
        <f>L74</f>
        <v>1448</v>
      </c>
      <c r="G74" s="6" t="s">
        <v>2</v>
      </c>
      <c r="H74" s="18">
        <f>M74</f>
        <v>948</v>
      </c>
      <c r="I74" s="18">
        <f>N74</f>
        <v>1948</v>
      </c>
      <c r="J74" s="7" t="s">
        <v>184</v>
      </c>
      <c r="K74" s="6"/>
      <c r="L74" s="18">
        <v>1448</v>
      </c>
      <c r="M74" s="18">
        <v>948</v>
      </c>
      <c r="N74" s="18">
        <v>1948</v>
      </c>
      <c r="O74" s="18">
        <v>5000</v>
      </c>
      <c r="P74" s="6">
        <v>2000</v>
      </c>
      <c r="Q74" s="6"/>
    </row>
    <row r="75" spans="1:17">
      <c r="A75" s="10" t="s">
        <v>44</v>
      </c>
      <c r="B75" s="17" t="s">
        <v>45</v>
      </c>
      <c r="C75" s="27">
        <v>50.731299999999997</v>
      </c>
      <c r="D75" s="27">
        <f>C75+0.05</f>
        <v>50.781299999999995</v>
      </c>
      <c r="E75" s="27">
        <f>C75-0.05</f>
        <v>50.6813</v>
      </c>
      <c r="F75" s="18">
        <f>L75</f>
        <v>2041</v>
      </c>
      <c r="G75" s="6" t="s">
        <v>2</v>
      </c>
      <c r="H75" s="18">
        <f>M75</f>
        <v>1441</v>
      </c>
      <c r="I75" s="18">
        <f>N75</f>
        <v>2641</v>
      </c>
      <c r="J75" s="7" t="s">
        <v>184</v>
      </c>
      <c r="K75" s="6"/>
      <c r="L75" s="18">
        <v>2041</v>
      </c>
      <c r="M75" s="18">
        <v>1441</v>
      </c>
      <c r="N75" s="18">
        <v>2641</v>
      </c>
      <c r="O75" s="18">
        <v>5000</v>
      </c>
      <c r="P75" s="6">
        <v>2000</v>
      </c>
      <c r="Q75" s="6"/>
    </row>
    <row r="76" spans="1:17">
      <c r="A76" s="10" t="s">
        <v>44</v>
      </c>
      <c r="B76" s="17" t="s">
        <v>45</v>
      </c>
      <c r="C76" s="27">
        <v>50.889899999999997</v>
      </c>
      <c r="D76" s="27">
        <f>C76+0.05</f>
        <v>50.939899999999994</v>
      </c>
      <c r="E76" s="27">
        <f>C76-0.05</f>
        <v>50.8399</v>
      </c>
      <c r="F76" s="18">
        <f>L76</f>
        <v>1185</v>
      </c>
      <c r="G76" s="6" t="s">
        <v>2</v>
      </c>
      <c r="H76" s="18">
        <f>M76</f>
        <v>685</v>
      </c>
      <c r="I76" s="18">
        <f>N76</f>
        <v>1685</v>
      </c>
      <c r="J76" s="7" t="s">
        <v>184</v>
      </c>
      <c r="K76" s="6"/>
      <c r="L76" s="18">
        <v>1185</v>
      </c>
      <c r="M76" s="18">
        <v>685</v>
      </c>
      <c r="N76" s="18">
        <v>1685</v>
      </c>
      <c r="O76" s="18">
        <v>5000</v>
      </c>
      <c r="P76" s="6">
        <v>2000</v>
      </c>
      <c r="Q76" s="6"/>
    </row>
    <row r="77" spans="1:17">
      <c r="A77" s="10" t="s">
        <v>44</v>
      </c>
      <c r="B77" s="17" t="s">
        <v>45</v>
      </c>
      <c r="C77" s="27">
        <v>51.110100000000003</v>
      </c>
      <c r="D77" s="27">
        <f>C77+0.05</f>
        <v>51.1601</v>
      </c>
      <c r="E77" s="27">
        <f>C77-0.05</f>
        <v>51.060100000000006</v>
      </c>
      <c r="F77" s="18">
        <f>L77</f>
        <v>2480</v>
      </c>
      <c r="G77" s="6" t="s">
        <v>2</v>
      </c>
      <c r="H77" s="18">
        <f>M77</f>
        <v>1490</v>
      </c>
      <c r="I77" s="18">
        <f>N77</f>
        <v>3470</v>
      </c>
      <c r="J77" s="7" t="s">
        <v>184</v>
      </c>
      <c r="K77" s="6"/>
      <c r="L77" s="18">
        <v>2480</v>
      </c>
      <c r="M77" s="18">
        <v>1490</v>
      </c>
      <c r="N77" s="18">
        <v>3470</v>
      </c>
      <c r="O77" s="18">
        <v>5000</v>
      </c>
      <c r="P77" s="6">
        <v>2000</v>
      </c>
      <c r="Q77" s="6"/>
    </row>
    <row r="78" spans="1:17">
      <c r="A78" s="10" t="s">
        <v>48</v>
      </c>
      <c r="B78" s="17" t="s">
        <v>49</v>
      </c>
      <c r="C78" s="27">
        <v>51.14</v>
      </c>
      <c r="D78" s="27">
        <f>C78+0.1</f>
        <v>51.24</v>
      </c>
      <c r="E78" s="27">
        <f>C78-0.1</f>
        <v>51.04</v>
      </c>
      <c r="F78" s="17">
        <v>725</v>
      </c>
      <c r="G78" s="6" t="s">
        <v>2</v>
      </c>
      <c r="H78" s="17">
        <v>640</v>
      </c>
      <c r="I78" s="17">
        <v>800</v>
      </c>
      <c r="J78" s="7" t="s">
        <v>184</v>
      </c>
      <c r="K78" s="6"/>
      <c r="L78" s="18">
        <v>2250</v>
      </c>
      <c r="M78" s="18">
        <v>1350</v>
      </c>
      <c r="N78" s="18">
        <v>3150</v>
      </c>
      <c r="O78" s="18">
        <v>5000</v>
      </c>
      <c r="P78" s="6">
        <v>2000</v>
      </c>
      <c r="Q78" s="6"/>
    </row>
    <row r="79" spans="1:17">
      <c r="A79" s="10" t="s">
        <v>44</v>
      </c>
      <c r="B79" s="17" t="s">
        <v>45</v>
      </c>
      <c r="C79" s="27">
        <v>51.233499999999999</v>
      </c>
      <c r="D79" s="27">
        <f>C79+0.05</f>
        <v>51.283499999999997</v>
      </c>
      <c r="E79" s="27">
        <f>C79-0.05</f>
        <v>51.183500000000002</v>
      </c>
      <c r="F79" s="18">
        <f>L79</f>
        <v>560</v>
      </c>
      <c r="G79" s="6" t="s">
        <v>2</v>
      </c>
      <c r="H79" s="18">
        <f>M79</f>
        <v>244</v>
      </c>
      <c r="I79" s="18">
        <f>N79</f>
        <v>895</v>
      </c>
      <c r="J79" s="7" t="s">
        <v>184</v>
      </c>
      <c r="K79" s="6"/>
      <c r="L79" s="18">
        <v>560</v>
      </c>
      <c r="M79" s="18">
        <v>244</v>
      </c>
      <c r="N79" s="18">
        <v>895</v>
      </c>
      <c r="O79" s="18">
        <v>10000</v>
      </c>
      <c r="P79" s="6">
        <v>2000</v>
      </c>
      <c r="Q79" s="6" t="s">
        <v>105</v>
      </c>
    </row>
    <row r="80" spans="1:17">
      <c r="A80" s="10" t="s">
        <v>44</v>
      </c>
      <c r="B80" s="17" t="s">
        <v>45</v>
      </c>
      <c r="C80" s="27">
        <v>51.374400000000001</v>
      </c>
      <c r="D80" s="27">
        <f>C80+0.05</f>
        <v>51.424399999999999</v>
      </c>
      <c r="E80" s="27">
        <f>C80-0.05</f>
        <v>51.324400000000004</v>
      </c>
      <c r="F80" s="18">
        <f>L80</f>
        <v>1000</v>
      </c>
      <c r="G80" s="6" t="s">
        <v>2</v>
      </c>
      <c r="H80" s="18">
        <f>M80</f>
        <v>800</v>
      </c>
      <c r="I80" s="18">
        <f>N80</f>
        <v>1200</v>
      </c>
      <c r="J80" s="7" t="s">
        <v>184</v>
      </c>
      <c r="K80" s="6"/>
      <c r="L80" s="14">
        <v>1000</v>
      </c>
      <c r="M80" s="18">
        <v>800</v>
      </c>
      <c r="N80" s="18">
        <v>1200</v>
      </c>
      <c r="O80" s="18">
        <v>5000</v>
      </c>
      <c r="P80" s="6">
        <v>2000</v>
      </c>
      <c r="Q80" s="6"/>
    </row>
    <row r="81" spans="1:17">
      <c r="A81" s="10" t="s">
        <v>44</v>
      </c>
      <c r="B81" s="17" t="s">
        <v>45</v>
      </c>
      <c r="C81" s="27">
        <v>51.462600000000002</v>
      </c>
      <c r="D81" s="27">
        <f>C81+0.05</f>
        <v>51.512599999999999</v>
      </c>
      <c r="E81" s="27">
        <f>C81-0.05</f>
        <v>51.412600000000005</v>
      </c>
      <c r="F81" s="18">
        <f>L81</f>
        <v>850</v>
      </c>
      <c r="G81" s="6" t="s">
        <v>2</v>
      </c>
      <c r="H81" s="18">
        <f>M81</f>
        <v>700</v>
      </c>
      <c r="I81" s="18">
        <f>N81</f>
        <v>1000</v>
      </c>
      <c r="J81" s="7" t="s">
        <v>184</v>
      </c>
      <c r="K81" s="6"/>
      <c r="L81" s="14">
        <v>850</v>
      </c>
      <c r="M81" s="18">
        <v>700</v>
      </c>
      <c r="N81" s="18">
        <v>1000</v>
      </c>
      <c r="O81" s="18">
        <v>5000</v>
      </c>
      <c r="P81" s="6">
        <v>2000</v>
      </c>
      <c r="Q81" s="6"/>
    </row>
    <row r="82" spans="1:17">
      <c r="A82" s="10" t="s">
        <v>44</v>
      </c>
      <c r="B82" s="17" t="s">
        <v>45</v>
      </c>
      <c r="C82" s="27">
        <v>51.5154</v>
      </c>
      <c r="D82" s="27">
        <f>C82+0.05</f>
        <v>51.565399999999997</v>
      </c>
      <c r="E82" s="27">
        <f>C82-0.05</f>
        <v>51.465400000000002</v>
      </c>
      <c r="F82" s="18">
        <f>L82</f>
        <v>750</v>
      </c>
      <c r="G82" s="6" t="s">
        <v>2</v>
      </c>
      <c r="H82" s="18">
        <f>M82</f>
        <v>600</v>
      </c>
      <c r="I82" s="18">
        <f>N82</f>
        <v>900</v>
      </c>
      <c r="J82" s="7" t="s">
        <v>184</v>
      </c>
      <c r="K82" s="6"/>
      <c r="L82" s="14">
        <v>750</v>
      </c>
      <c r="M82" s="18">
        <v>600</v>
      </c>
      <c r="N82" s="18">
        <v>900</v>
      </c>
      <c r="O82" s="18">
        <v>5000</v>
      </c>
      <c r="P82" s="6">
        <v>2000</v>
      </c>
      <c r="Q82" s="6"/>
    </row>
    <row r="83" spans="1:17">
      <c r="A83" s="10" t="s">
        <v>44</v>
      </c>
      <c r="B83" s="17" t="s">
        <v>45</v>
      </c>
      <c r="C83" s="27">
        <v>51.779699999999998</v>
      </c>
      <c r="D83" s="27">
        <f>C83+0.05</f>
        <v>51.829699999999995</v>
      </c>
      <c r="E83" s="27">
        <f>C83-0.05</f>
        <v>51.729700000000001</v>
      </c>
      <c r="F83" s="18">
        <f>L83</f>
        <v>1400</v>
      </c>
      <c r="G83" s="6" t="s">
        <v>2</v>
      </c>
      <c r="H83" s="18">
        <f>M83</f>
        <v>1100</v>
      </c>
      <c r="I83" s="18">
        <f>N83</f>
        <v>1700</v>
      </c>
      <c r="J83" s="7" t="s">
        <v>184</v>
      </c>
      <c r="K83" s="6"/>
      <c r="L83" s="14">
        <v>1400</v>
      </c>
      <c r="M83" s="18">
        <v>1100</v>
      </c>
      <c r="N83" s="18">
        <v>1700</v>
      </c>
      <c r="O83" s="18">
        <v>5000</v>
      </c>
      <c r="P83" s="6">
        <v>2000</v>
      </c>
      <c r="Q83" s="6"/>
    </row>
    <row r="84" spans="1:17">
      <c r="A84" s="10" t="s">
        <v>48</v>
      </c>
      <c r="B84" s="17" t="s">
        <v>49</v>
      </c>
      <c r="C84" s="27">
        <v>51.84</v>
      </c>
      <c r="D84" s="27">
        <f>C84+0.1</f>
        <v>51.940000000000005</v>
      </c>
      <c r="E84" s="27">
        <f>C84-0.1</f>
        <v>51.74</v>
      </c>
      <c r="F84" s="17">
        <v>1210</v>
      </c>
      <c r="G84" s="6" t="s">
        <v>2</v>
      </c>
      <c r="H84" s="17">
        <v>1030</v>
      </c>
      <c r="I84" s="17">
        <v>1400</v>
      </c>
      <c r="J84" s="7" t="s">
        <v>184</v>
      </c>
      <c r="K84" s="6"/>
      <c r="L84" s="14">
        <v>750</v>
      </c>
      <c r="M84" s="18">
        <v>600</v>
      </c>
      <c r="N84" s="18">
        <v>900</v>
      </c>
      <c r="O84" s="18">
        <v>5000</v>
      </c>
      <c r="P84" s="6">
        <v>2000</v>
      </c>
      <c r="Q84" s="6"/>
    </row>
    <row r="85" spans="1:17">
      <c r="A85" s="10" t="s">
        <v>48</v>
      </c>
      <c r="B85" s="17" t="s">
        <v>49</v>
      </c>
      <c r="C85" s="27">
        <v>51.9</v>
      </c>
      <c r="D85" s="27">
        <f>C85+0.1</f>
        <v>52</v>
      </c>
      <c r="E85" s="27">
        <f>C85-0.1</f>
        <v>51.8</v>
      </c>
      <c r="F85" s="17">
        <v>1260</v>
      </c>
      <c r="G85" s="6" t="s">
        <v>2</v>
      </c>
      <c r="H85" s="17">
        <v>1075</v>
      </c>
      <c r="I85" s="17">
        <v>1440</v>
      </c>
      <c r="J85" s="7" t="s">
        <v>184</v>
      </c>
      <c r="K85" s="6"/>
      <c r="L85" s="18">
        <v>1200</v>
      </c>
      <c r="M85" s="18">
        <v>900</v>
      </c>
      <c r="N85" s="18">
        <v>1500</v>
      </c>
      <c r="O85" s="18">
        <v>5000</v>
      </c>
      <c r="P85" s="6">
        <v>2000</v>
      </c>
      <c r="Q85" s="6"/>
    </row>
    <row r="86" spans="1:17">
      <c r="A86" s="10" t="s">
        <v>44</v>
      </c>
      <c r="B86" s="17" t="s">
        <v>45</v>
      </c>
      <c r="C86" s="27">
        <v>51.982399999999998</v>
      </c>
      <c r="D86" s="27">
        <f>C86+0.05</f>
        <v>52.032399999999996</v>
      </c>
      <c r="E86" s="27">
        <f>C86-0.05</f>
        <v>51.932400000000001</v>
      </c>
      <c r="F86" s="18">
        <f>L86</f>
        <v>534.20077780357622</v>
      </c>
      <c r="G86" s="6" t="s">
        <v>2</v>
      </c>
      <c r="H86" s="18">
        <f>M86</f>
        <v>445.16731483631355</v>
      </c>
      <c r="I86" s="18">
        <f>N86</f>
        <v>623.23424077083894</v>
      </c>
      <c r="J86" s="7" t="s">
        <v>184</v>
      </c>
      <c r="K86" s="6"/>
      <c r="L86" s="6">
        <v>534.20077780357622</v>
      </c>
      <c r="M86" s="6">
        <v>445.16731483631355</v>
      </c>
      <c r="N86" s="6">
        <v>623.23424077083894</v>
      </c>
      <c r="O86" s="6">
        <v>6000</v>
      </c>
      <c r="P86" s="6">
        <v>2000</v>
      </c>
      <c r="Q86" s="18">
        <v>1</v>
      </c>
    </row>
    <row r="87" spans="1:17">
      <c r="A87" s="10" t="s">
        <v>48</v>
      </c>
      <c r="B87" s="17" t="s">
        <v>49</v>
      </c>
      <c r="C87" s="27">
        <v>52.57</v>
      </c>
      <c r="D87" s="27">
        <f>C87+0.1</f>
        <v>52.67</v>
      </c>
      <c r="E87" s="27">
        <f>C87-0.1</f>
        <v>52.47</v>
      </c>
      <c r="F87" s="17">
        <v>750</v>
      </c>
      <c r="G87" s="6" t="s">
        <v>2</v>
      </c>
      <c r="H87" s="17">
        <v>630</v>
      </c>
      <c r="I87" s="17">
        <v>880</v>
      </c>
      <c r="J87" s="7" t="s">
        <v>184</v>
      </c>
      <c r="K87" s="6"/>
      <c r="L87" s="6">
        <v>488.41269017980898</v>
      </c>
      <c r="M87" s="6">
        <v>407.0105751498408</v>
      </c>
      <c r="N87" s="6">
        <v>569.81480520977709</v>
      </c>
      <c r="O87" s="6">
        <v>6000</v>
      </c>
      <c r="P87" s="6">
        <v>2000</v>
      </c>
      <c r="Q87" s="6"/>
    </row>
    <row r="88" spans="1:17">
      <c r="A88" s="10" t="s">
        <v>48</v>
      </c>
      <c r="B88" s="17" t="s">
        <v>49</v>
      </c>
      <c r="C88" s="27">
        <v>52.81</v>
      </c>
      <c r="D88" s="27">
        <f>C88+0.1</f>
        <v>52.910000000000004</v>
      </c>
      <c r="E88" s="27">
        <f>C88-0.1</f>
        <v>52.71</v>
      </c>
      <c r="F88" s="17">
        <v>400</v>
      </c>
      <c r="G88" s="6" t="s">
        <v>2</v>
      </c>
      <c r="H88" s="17">
        <v>275</v>
      </c>
      <c r="I88" s="17">
        <v>530</v>
      </c>
      <c r="J88" s="7" t="s">
        <v>184</v>
      </c>
      <c r="K88" s="6"/>
      <c r="L88" s="6">
        <v>264.15546720787262</v>
      </c>
      <c r="M88" s="6">
        <v>220.12955600656051</v>
      </c>
      <c r="N88" s="6">
        <v>308.18137840918467</v>
      </c>
      <c r="O88" s="6">
        <v>6000</v>
      </c>
      <c r="P88" s="6">
        <v>2000</v>
      </c>
      <c r="Q88" s="6"/>
    </row>
    <row r="89" spans="1:17">
      <c r="A89" s="11" t="s">
        <v>148</v>
      </c>
      <c r="B89" s="17" t="s">
        <v>149</v>
      </c>
      <c r="C89" s="27">
        <f>53.4+Q89</f>
        <v>53.4</v>
      </c>
      <c r="D89" s="27">
        <f>C89+0.3</f>
        <v>53.699999999999996</v>
      </c>
      <c r="E89" s="27">
        <f>C89-0.3</f>
        <v>53.1</v>
      </c>
      <c r="F89" s="6">
        <f>L89*$P89/$O89</f>
        <v>111.16932153392366</v>
      </c>
      <c r="G89" s="6" t="s">
        <v>2</v>
      </c>
      <c r="H89" s="6">
        <f>F89*0.5</f>
        <v>55.584660766961832</v>
      </c>
      <c r="I89" s="6">
        <f>F89*2</f>
        <v>222.33864306784733</v>
      </c>
      <c r="J89" s="6" t="s">
        <v>78</v>
      </c>
      <c r="K89" s="6"/>
      <c r="L89" s="6">
        <v>333.50796460177099</v>
      </c>
      <c r="M89" s="6">
        <v>277.92330383480913</v>
      </c>
      <c r="N89" s="6">
        <v>389.0926253687328</v>
      </c>
      <c r="O89" s="6">
        <v>6000</v>
      </c>
      <c r="P89" s="6">
        <v>2000</v>
      </c>
      <c r="Q89" s="6"/>
    </row>
    <row r="90" spans="1:17">
      <c r="A90" s="9" t="s">
        <v>86</v>
      </c>
      <c r="B90" s="23" t="s">
        <v>90</v>
      </c>
      <c r="C90" s="27">
        <f>AVERAGE(D90:E90)</f>
        <v>53.5</v>
      </c>
      <c r="D90" s="28">
        <v>55</v>
      </c>
      <c r="E90" s="28">
        <v>52</v>
      </c>
      <c r="F90" s="6">
        <f>L90*$P90/$O90</f>
        <v>177.52590366667656</v>
      </c>
      <c r="G90" s="6" t="s">
        <v>2</v>
      </c>
      <c r="H90" s="6">
        <f>F90*0.5</f>
        <v>88.762951833338278</v>
      </c>
      <c r="I90" s="6">
        <f>F90*2</f>
        <v>355.05180733335311</v>
      </c>
      <c r="J90" s="6" t="s">
        <v>78</v>
      </c>
      <c r="K90" s="6"/>
      <c r="L90" s="6">
        <v>532.57771100002969</v>
      </c>
      <c r="M90" s="6">
        <v>443.81475916669137</v>
      </c>
      <c r="N90" s="6">
        <v>621.34066283336801</v>
      </c>
      <c r="O90" s="6">
        <v>6000</v>
      </c>
      <c r="P90" s="6">
        <v>2000</v>
      </c>
      <c r="Q90" s="6"/>
    </row>
    <row r="91" spans="1:17">
      <c r="A91" s="11" t="s">
        <v>148</v>
      </c>
      <c r="B91" s="17" t="s">
        <v>149</v>
      </c>
      <c r="C91" s="27">
        <f>54.09+Q90</f>
        <v>54.09</v>
      </c>
      <c r="D91" s="27">
        <f>C91+0.3</f>
        <v>54.39</v>
      </c>
      <c r="E91" s="27">
        <f>C91-0.3</f>
        <v>53.790000000000006</v>
      </c>
      <c r="F91" s="6">
        <f>L91*$P91/$O91</f>
        <v>53.751859419697908</v>
      </c>
      <c r="G91" s="6" t="s">
        <v>2</v>
      </c>
      <c r="H91" s="6">
        <f>F91*0.5</f>
        <v>26.875929709848954</v>
      </c>
      <c r="I91" s="6">
        <f>F91*2</f>
        <v>107.50371883939582</v>
      </c>
      <c r="J91" s="6" t="s">
        <v>78</v>
      </c>
      <c r="K91" s="6"/>
      <c r="L91" s="6">
        <v>161.25557825909371</v>
      </c>
      <c r="M91" s="6">
        <v>134.37964854924476</v>
      </c>
      <c r="N91" s="6">
        <v>188.13150796894269</v>
      </c>
      <c r="O91" s="6">
        <v>6000</v>
      </c>
      <c r="P91" s="6">
        <v>2000</v>
      </c>
      <c r="Q91" s="6"/>
    </row>
    <row r="92" spans="1:17">
      <c r="A92" s="11" t="s">
        <v>148</v>
      </c>
      <c r="B92" s="17" t="s">
        <v>150</v>
      </c>
      <c r="C92" s="27">
        <f>55.4+Q90</f>
        <v>55.4</v>
      </c>
      <c r="D92" s="27">
        <f>C92+0.3</f>
        <v>55.699999999999996</v>
      </c>
      <c r="E92" s="27">
        <f>C92-0.3</f>
        <v>55.1</v>
      </c>
      <c r="F92" s="6">
        <f>L92*$P92/$O92</f>
        <v>183.11429896249933</v>
      </c>
      <c r="G92" s="6" t="s">
        <v>2</v>
      </c>
      <c r="H92" s="6">
        <f>F92*0.5</f>
        <v>91.557149481249667</v>
      </c>
      <c r="I92" s="6">
        <f>F92*2</f>
        <v>366.22859792499867</v>
      </c>
      <c r="J92" s="6" t="s">
        <v>78</v>
      </c>
      <c r="K92" s="6"/>
      <c r="L92" s="6">
        <v>549.342896887498</v>
      </c>
      <c r="M92" s="6">
        <v>457.78574740624833</v>
      </c>
      <c r="N92" s="6">
        <v>640.90004636874767</v>
      </c>
      <c r="O92" s="6">
        <v>6000</v>
      </c>
      <c r="P92" s="6">
        <v>2000</v>
      </c>
      <c r="Q92" s="6"/>
    </row>
    <row r="93" spans="1:17">
      <c r="A93" s="9" t="s">
        <v>92</v>
      </c>
      <c r="B93" s="23" t="s">
        <v>93</v>
      </c>
      <c r="C93" s="28">
        <v>55.5</v>
      </c>
      <c r="D93" s="28">
        <v>56</v>
      </c>
      <c r="E93" s="28">
        <v>55</v>
      </c>
      <c r="F93" s="6">
        <f>L93*$P93/$O93</f>
        <v>277.33230490018167</v>
      </c>
      <c r="G93" s="6" t="s">
        <v>2</v>
      </c>
      <c r="H93" s="6">
        <f>F93*0.5</f>
        <v>138.66615245009083</v>
      </c>
      <c r="I93" s="6">
        <f>F93*2</f>
        <v>554.66460980036334</v>
      </c>
      <c r="J93" s="6" t="s">
        <v>78</v>
      </c>
      <c r="K93" s="6"/>
      <c r="L93" s="6">
        <v>831.99691470054506</v>
      </c>
      <c r="M93" s="6">
        <v>693.3307622504542</v>
      </c>
      <c r="N93" s="6">
        <v>970.66306715063592</v>
      </c>
      <c r="O93" s="6">
        <v>6000</v>
      </c>
      <c r="P93" s="6">
        <v>2000</v>
      </c>
      <c r="Q93" s="6"/>
    </row>
    <row r="94" spans="1:17">
      <c r="A94" s="9" t="s">
        <v>103</v>
      </c>
      <c r="B94" s="23" t="s">
        <v>104</v>
      </c>
      <c r="C94" s="28">
        <v>55.5</v>
      </c>
      <c r="D94" s="28">
        <v>56</v>
      </c>
      <c r="E94" s="28">
        <v>55</v>
      </c>
      <c r="F94" s="6">
        <f>L94*$P94/$O94</f>
        <v>90.239695377860102</v>
      </c>
      <c r="G94" s="6" t="s">
        <v>2</v>
      </c>
      <c r="H94" s="6">
        <f>F94*0.5</f>
        <v>45.119847688930051</v>
      </c>
      <c r="I94" s="6">
        <f>F94*2</f>
        <v>180.4793907557202</v>
      </c>
      <c r="J94" s="6" t="s">
        <v>78</v>
      </c>
      <c r="K94" s="6"/>
      <c r="L94" s="6">
        <v>270.71908613358028</v>
      </c>
      <c r="M94" s="6">
        <v>225.59923844465021</v>
      </c>
      <c r="N94" s="6">
        <v>315.83893382251028</v>
      </c>
      <c r="O94" s="6">
        <v>6000</v>
      </c>
      <c r="P94" s="6">
        <v>2000</v>
      </c>
      <c r="Q94" s="6"/>
    </row>
    <row r="95" spans="1:17">
      <c r="A95" s="11" t="s">
        <v>148</v>
      </c>
      <c r="B95" s="17" t="s">
        <v>150</v>
      </c>
      <c r="C95" s="27">
        <f>55.725+Q92</f>
        <v>55.725000000000001</v>
      </c>
      <c r="D95" s="27">
        <f>C95+0.3</f>
        <v>56.024999999999999</v>
      </c>
      <c r="E95" s="27">
        <f>C95-0.3</f>
        <v>55.425000000000004</v>
      </c>
      <c r="F95" s="6">
        <f>L95*$P95/$O95</f>
        <v>0</v>
      </c>
      <c r="G95" s="6" t="s">
        <v>2</v>
      </c>
      <c r="H95" s="6">
        <f>F95*0.5</f>
        <v>0</v>
      </c>
      <c r="I95" s="6">
        <f>F95*2</f>
        <v>0</v>
      </c>
      <c r="J95" s="6" t="s">
        <v>78</v>
      </c>
      <c r="K95" s="6"/>
      <c r="L95" s="6">
        <v>0</v>
      </c>
      <c r="M95" s="6">
        <v>0</v>
      </c>
      <c r="N95" s="6">
        <v>0</v>
      </c>
      <c r="O95" s="6">
        <v>6000</v>
      </c>
      <c r="P95" s="6">
        <v>2000</v>
      </c>
      <c r="Q95" s="6"/>
    </row>
    <row r="96" spans="1:17">
      <c r="A96" s="11" t="s">
        <v>148</v>
      </c>
      <c r="B96" s="17" t="s">
        <v>150</v>
      </c>
      <c r="C96" s="27">
        <f>55.943+Q92</f>
        <v>55.942999999999998</v>
      </c>
      <c r="D96" s="27">
        <f>C96+0.3</f>
        <v>56.242999999999995</v>
      </c>
      <c r="E96" s="27">
        <f>C96-0.3</f>
        <v>55.643000000000001</v>
      </c>
      <c r="F96" s="6">
        <f>L96*$P96/$O96</f>
        <v>42.475583748017719</v>
      </c>
      <c r="G96" s="6" t="s">
        <v>2</v>
      </c>
      <c r="H96" s="6">
        <f>F96*0.5</f>
        <v>21.23779187400886</v>
      </c>
      <c r="I96" s="6">
        <f>F96*2</f>
        <v>84.951167496035438</v>
      </c>
      <c r="J96" s="6" t="s">
        <v>78</v>
      </c>
      <c r="K96" s="6"/>
      <c r="L96" s="6">
        <v>127.42675124405315</v>
      </c>
      <c r="M96" s="6">
        <v>106.18895937004429</v>
      </c>
      <c r="N96" s="6">
        <v>148.664543118062</v>
      </c>
      <c r="O96" s="6">
        <v>6000</v>
      </c>
      <c r="P96" s="6">
        <v>2000</v>
      </c>
      <c r="Q96" s="6"/>
    </row>
    <row r="97" spans="1:17">
      <c r="A97" s="9" t="s">
        <v>92</v>
      </c>
      <c r="B97" s="23" t="s">
        <v>94</v>
      </c>
      <c r="C97" s="28">
        <v>56.5</v>
      </c>
      <c r="D97" s="28">
        <v>57</v>
      </c>
      <c r="E97" s="28">
        <v>56</v>
      </c>
      <c r="F97" s="6">
        <f>L97*$P97/$O97</f>
        <v>14.995849504097869</v>
      </c>
      <c r="G97" s="6" t="s">
        <v>2</v>
      </c>
      <c r="H97" s="6">
        <f>F97*0.5</f>
        <v>7.4979247520489345</v>
      </c>
      <c r="I97" s="6">
        <f>F97*2</f>
        <v>29.991699008195738</v>
      </c>
      <c r="J97" s="6" t="s">
        <v>78</v>
      </c>
      <c r="K97" s="6"/>
      <c r="L97" s="6">
        <v>44.987548512293607</v>
      </c>
      <c r="M97" s="6">
        <v>37.489623760244669</v>
      </c>
      <c r="N97" s="6">
        <v>52.485473264342538</v>
      </c>
      <c r="O97" s="6">
        <v>6000</v>
      </c>
      <c r="P97" s="6">
        <v>2000</v>
      </c>
      <c r="Q97" s="6"/>
    </row>
    <row r="98" spans="1:17">
      <c r="A98" s="9" t="s">
        <v>103</v>
      </c>
      <c r="B98" s="23" t="s">
        <v>106</v>
      </c>
      <c r="C98" s="28">
        <v>56.5</v>
      </c>
      <c r="D98" s="28">
        <v>57</v>
      </c>
      <c r="E98" s="28">
        <v>56</v>
      </c>
      <c r="F98" s="6">
        <f>L98*$P98/$O98</f>
        <v>263.31409209172978</v>
      </c>
      <c r="G98" s="6" t="s">
        <v>2</v>
      </c>
      <c r="H98" s="6">
        <f>F98*0.5</f>
        <v>131.65704604586489</v>
      </c>
      <c r="I98" s="6">
        <f>F98*2</f>
        <v>526.62818418345955</v>
      </c>
      <c r="J98" s="6" t="s">
        <v>78</v>
      </c>
      <c r="K98" s="6"/>
      <c r="L98" s="6">
        <v>789.94227627518933</v>
      </c>
      <c r="M98" s="6">
        <v>658.2852302293245</v>
      </c>
      <c r="N98" s="6">
        <v>921.59932232105427</v>
      </c>
      <c r="O98" s="6">
        <v>6000</v>
      </c>
      <c r="P98" s="6">
        <v>2000</v>
      </c>
      <c r="Q98" s="6"/>
    </row>
    <row r="99" spans="1:17">
      <c r="A99" s="11" t="s">
        <v>148</v>
      </c>
      <c r="B99" s="17" t="s">
        <v>150</v>
      </c>
      <c r="C99" s="27">
        <f>56.543+Q94</f>
        <v>56.542999999999999</v>
      </c>
      <c r="D99" s="27">
        <f>C99+0.3</f>
        <v>56.842999999999996</v>
      </c>
      <c r="E99" s="27">
        <f>C99-0.3</f>
        <v>56.243000000000002</v>
      </c>
      <c r="F99" s="6">
        <f>L99*$P99/$O99</f>
        <v>452.75840136388962</v>
      </c>
      <c r="G99" s="6" t="s">
        <v>2</v>
      </c>
      <c r="H99" s="6">
        <f>F99*0.5</f>
        <v>226.37920068194481</v>
      </c>
      <c r="I99" s="6">
        <f>F99*2</f>
        <v>905.51680272777924</v>
      </c>
      <c r="J99" s="6" t="s">
        <v>78</v>
      </c>
      <c r="K99" s="6"/>
      <c r="L99" s="6">
        <v>1358.2752040916689</v>
      </c>
      <c r="M99" s="6">
        <v>1131.896003409724</v>
      </c>
      <c r="N99" s="6">
        <v>1584.6544047736136</v>
      </c>
      <c r="O99" s="6">
        <v>6000</v>
      </c>
      <c r="P99" s="6">
        <v>2000</v>
      </c>
      <c r="Q99" s="6"/>
    </row>
    <row r="100" spans="1:17">
      <c r="A100" s="11" t="s">
        <v>148</v>
      </c>
      <c r="B100" s="17" t="s">
        <v>150</v>
      </c>
      <c r="C100" s="27">
        <f>56.954+Q94</f>
        <v>56.954000000000001</v>
      </c>
      <c r="D100" s="27">
        <f>C100+0.3</f>
        <v>57.253999999999998</v>
      </c>
      <c r="E100" s="27">
        <f>C100-0.3</f>
        <v>56.654000000000003</v>
      </c>
      <c r="F100" s="6">
        <f>L100*$P100/$O100</f>
        <v>425.76644417082503</v>
      </c>
      <c r="G100" s="6" t="s">
        <v>2</v>
      </c>
      <c r="H100" s="6">
        <f>F100*0.5</f>
        <v>212.88322208541251</v>
      </c>
      <c r="I100" s="6">
        <f>F100*2</f>
        <v>851.53288834165005</v>
      </c>
      <c r="J100" s="6" t="s">
        <v>78</v>
      </c>
      <c r="K100" s="6"/>
      <c r="L100" s="6">
        <v>1277.2993325124751</v>
      </c>
      <c r="M100" s="6">
        <v>1064.4161104270627</v>
      </c>
      <c r="N100" s="6">
        <v>1490.1825545978877</v>
      </c>
      <c r="O100" s="6">
        <v>6000</v>
      </c>
      <c r="P100" s="6">
        <v>2000</v>
      </c>
      <c r="Q100" s="6"/>
    </row>
    <row r="101" spans="1:17">
      <c r="A101" s="13" t="s">
        <v>120</v>
      </c>
      <c r="B101" s="24" t="s">
        <v>126</v>
      </c>
      <c r="C101" s="28">
        <f>AVERAGE(D101:E101)</f>
        <v>60.730000000000004</v>
      </c>
      <c r="D101" s="28">
        <v>62.22</v>
      </c>
      <c r="E101" s="28">
        <f>D101-2.98</f>
        <v>59.24</v>
      </c>
      <c r="F101" s="6">
        <f>L101*$P101/$O101</f>
        <v>265.47597109771891</v>
      </c>
      <c r="G101" s="6" t="s">
        <v>2</v>
      </c>
      <c r="H101" s="6">
        <f>F101*0.5</f>
        <v>132.73798554885946</v>
      </c>
      <c r="I101" s="6">
        <f>F101*2</f>
        <v>530.95194219543782</v>
      </c>
      <c r="J101" s="6" t="s">
        <v>78</v>
      </c>
      <c r="K101" s="6"/>
      <c r="L101" s="6">
        <v>796.42791329315662</v>
      </c>
      <c r="M101" s="6">
        <v>663.68992774429717</v>
      </c>
      <c r="N101" s="6">
        <v>929.16589884201608</v>
      </c>
      <c r="O101" s="6">
        <v>6000</v>
      </c>
      <c r="P101" s="6">
        <v>2000</v>
      </c>
      <c r="Q101" s="6"/>
    </row>
    <row r="102" spans="1:17">
      <c r="A102" s="10" t="s">
        <v>46</v>
      </c>
      <c r="B102" s="17" t="s">
        <v>47</v>
      </c>
      <c r="C102" s="27">
        <f>63.1+0.5</f>
        <v>63.6</v>
      </c>
      <c r="D102" s="27"/>
      <c r="E102" s="27"/>
      <c r="F102" s="18">
        <f>L102*$P102/$O102</f>
        <v>219.13705613847904</v>
      </c>
      <c r="G102" s="6" t="s">
        <v>2</v>
      </c>
      <c r="H102" s="18">
        <f>M102*$P102/$O102</f>
        <v>182.61421344873256</v>
      </c>
      <c r="I102" s="18">
        <f>N102*$P102/$O102</f>
        <v>255.65989882822555</v>
      </c>
      <c r="J102" s="7" t="s">
        <v>184</v>
      </c>
      <c r="K102" s="6"/>
      <c r="L102" s="6">
        <v>657.41116841543715</v>
      </c>
      <c r="M102" s="6">
        <v>547.84264034619764</v>
      </c>
      <c r="N102" s="6">
        <v>766.97969648467665</v>
      </c>
      <c r="O102" s="6">
        <v>6000</v>
      </c>
      <c r="P102" s="6">
        <v>2000</v>
      </c>
      <c r="Q102" s="6"/>
    </row>
    <row r="103" spans="1:17">
      <c r="A103" s="10" t="s">
        <v>46</v>
      </c>
      <c r="B103" s="17" t="s">
        <v>47</v>
      </c>
      <c r="C103" s="27">
        <f>63.2+0.5</f>
        <v>63.7</v>
      </c>
      <c r="D103" s="27"/>
      <c r="E103" s="27"/>
      <c r="F103" s="18">
        <f>L103*$P103/$O103</f>
        <v>128.32428587686397</v>
      </c>
      <c r="G103" s="6" t="s">
        <v>2</v>
      </c>
      <c r="H103" s="18">
        <f>M103*$P103/$O103</f>
        <v>106.93690489738664</v>
      </c>
      <c r="I103" s="18">
        <f>N103*$P103/$O103</f>
        <v>149.71166685634128</v>
      </c>
      <c r="J103" s="7" t="s">
        <v>184</v>
      </c>
      <c r="K103" s="6"/>
      <c r="L103" s="6">
        <v>384.97285763059188</v>
      </c>
      <c r="M103" s="6">
        <v>320.81071469215988</v>
      </c>
      <c r="N103" s="6">
        <v>449.13500056902382</v>
      </c>
      <c r="O103" s="6">
        <v>6000</v>
      </c>
      <c r="P103" s="6">
        <v>2000</v>
      </c>
      <c r="Q103" s="6"/>
    </row>
    <row r="104" spans="1:17">
      <c r="A104" s="2" t="s">
        <v>0</v>
      </c>
      <c r="B104" s="3" t="s">
        <v>1</v>
      </c>
      <c r="C104" s="5">
        <f>64.15+Q104</f>
        <v>64.150000000000006</v>
      </c>
      <c r="D104" s="16">
        <f>C104+1</f>
        <v>65.150000000000006</v>
      </c>
      <c r="E104" s="16">
        <f>C104-1</f>
        <v>63.150000000000006</v>
      </c>
      <c r="F104" s="6">
        <f>L104*$P104/$O104</f>
        <v>10.430385206350735</v>
      </c>
      <c r="G104" s="6" t="s">
        <v>2</v>
      </c>
      <c r="H104" s="6">
        <f>F104*0.5</f>
        <v>5.2151926031753675</v>
      </c>
      <c r="I104" s="6">
        <f>F104*2</f>
        <v>20.86077041270147</v>
      </c>
      <c r="J104" s="6" t="s">
        <v>78</v>
      </c>
      <c r="K104" s="6"/>
      <c r="L104" s="6">
        <v>31.291155619052205</v>
      </c>
      <c r="M104" s="6">
        <v>26.075963015876837</v>
      </c>
      <c r="N104" s="6">
        <v>36.506348222227572</v>
      </c>
      <c r="O104" s="6">
        <v>6000</v>
      </c>
      <c r="P104" s="6">
        <v>2000</v>
      </c>
      <c r="Q104" s="6"/>
    </row>
    <row r="105" spans="1:17">
      <c r="A105" s="2" t="s">
        <v>0</v>
      </c>
      <c r="B105" s="3" t="s">
        <v>1</v>
      </c>
      <c r="C105" s="5">
        <f>64.24+Q104</f>
        <v>64.239999999999995</v>
      </c>
      <c r="D105" s="16">
        <f>C105+1</f>
        <v>65.239999999999995</v>
      </c>
      <c r="E105" s="16">
        <f>C105-1</f>
        <v>63.239999999999995</v>
      </c>
      <c r="F105" s="6">
        <f>L105*$P105/$O105</f>
        <v>170.68998632249765</v>
      </c>
      <c r="G105" s="6" t="s">
        <v>2</v>
      </c>
      <c r="H105" s="6">
        <f>F105*0.5</f>
        <v>85.344993161248823</v>
      </c>
      <c r="I105" s="6">
        <f>F105*2</f>
        <v>341.37997264499529</v>
      </c>
      <c r="J105" s="6" t="s">
        <v>78</v>
      </c>
      <c r="K105" s="6"/>
      <c r="L105" s="6">
        <v>512.06995896749299</v>
      </c>
      <c r="M105" s="6">
        <v>426.72496580624414</v>
      </c>
      <c r="N105" s="6">
        <v>597.41495212874179</v>
      </c>
      <c r="O105" s="6">
        <v>6000</v>
      </c>
      <c r="P105" s="6">
        <v>2000</v>
      </c>
      <c r="Q105" s="6"/>
    </row>
    <row r="106" spans="1:17">
      <c r="A106" s="2" t="s">
        <v>0</v>
      </c>
      <c r="B106" s="3" t="s">
        <v>1</v>
      </c>
      <c r="C106" s="5">
        <f>64.37+Q104</f>
        <v>64.37</v>
      </c>
      <c r="D106" s="16">
        <f>C106+1</f>
        <v>65.37</v>
      </c>
      <c r="E106" s="16">
        <f>C106-1</f>
        <v>63.370000000000005</v>
      </c>
      <c r="F106" s="6">
        <f>L106*$P106/$O106</f>
        <v>109.7497738068309</v>
      </c>
      <c r="G106" s="6" t="s">
        <v>2</v>
      </c>
      <c r="H106" s="6">
        <f>F106*0.5</f>
        <v>54.874886903415451</v>
      </c>
      <c r="I106" s="6">
        <f>F106*2</f>
        <v>219.4995476136618</v>
      </c>
      <c r="J106" s="6" t="s">
        <v>78</v>
      </c>
      <c r="K106" s="6"/>
      <c r="L106" s="6">
        <v>329.24932142049272</v>
      </c>
      <c r="M106" s="6">
        <v>274.37443451707725</v>
      </c>
      <c r="N106" s="6">
        <v>384.12420832390814</v>
      </c>
      <c r="O106" s="6">
        <v>6000</v>
      </c>
      <c r="P106" s="6">
        <v>2000</v>
      </c>
      <c r="Q106" s="6"/>
    </row>
    <row r="107" spans="1:17">
      <c r="A107" s="10" t="s">
        <v>46</v>
      </c>
      <c r="B107" s="17" t="s">
        <v>47</v>
      </c>
      <c r="C107" s="27">
        <f>64.1+0.5</f>
        <v>64.599999999999994</v>
      </c>
      <c r="D107" s="27"/>
      <c r="E107" s="27"/>
      <c r="F107" s="18">
        <f>L107*$P107/$O107</f>
        <v>158.3612981533399</v>
      </c>
      <c r="G107" s="6" t="s">
        <v>2</v>
      </c>
      <c r="H107" s="18">
        <f>M107*$P107/$O107</f>
        <v>131.9677484611166</v>
      </c>
      <c r="I107" s="18">
        <f>N107*$P107/$O107</f>
        <v>184.75484784556321</v>
      </c>
      <c r="J107" s="7" t="s">
        <v>184</v>
      </c>
      <c r="K107" s="6"/>
      <c r="L107" s="6">
        <v>475.08389446001974</v>
      </c>
      <c r="M107" s="6">
        <v>395.90324538334977</v>
      </c>
      <c r="N107" s="6">
        <v>554.26454353668964</v>
      </c>
      <c r="O107" s="6">
        <v>6000</v>
      </c>
      <c r="P107" s="6">
        <v>2000</v>
      </c>
      <c r="Q107" s="6"/>
    </row>
    <row r="108" spans="1:17">
      <c r="A108" s="2" t="s">
        <v>0</v>
      </c>
      <c r="B108" s="3" t="s">
        <v>1</v>
      </c>
      <c r="C108" s="5">
        <f>64.61+Q105</f>
        <v>64.61</v>
      </c>
      <c r="D108" s="16">
        <f>C108+1</f>
        <v>65.61</v>
      </c>
      <c r="E108" s="16">
        <f>C108-1</f>
        <v>63.61</v>
      </c>
      <c r="F108" s="6">
        <f>L108*$P108/$O108</f>
        <v>138.29381797366932</v>
      </c>
      <c r="G108" s="6" t="s">
        <v>2</v>
      </c>
      <c r="H108" s="6">
        <f>F108*0.5</f>
        <v>69.14690898683466</v>
      </c>
      <c r="I108" s="6">
        <f>F108*2</f>
        <v>276.58763594733864</v>
      </c>
      <c r="J108" s="6" t="s">
        <v>78</v>
      </c>
      <c r="K108" s="6"/>
      <c r="L108" s="6">
        <v>414.8814539210079</v>
      </c>
      <c r="M108" s="6">
        <v>345.73454493417324</v>
      </c>
      <c r="N108" s="6">
        <v>484.02836290784256</v>
      </c>
      <c r="O108" s="6">
        <v>6000</v>
      </c>
      <c r="P108" s="6">
        <v>2000</v>
      </c>
      <c r="Q108" s="6"/>
    </row>
    <row r="109" spans="1:17">
      <c r="A109" s="10" t="s">
        <v>46</v>
      </c>
      <c r="B109" s="17" t="s">
        <v>47</v>
      </c>
      <c r="C109" s="27">
        <f>64.2+0.5</f>
        <v>64.7</v>
      </c>
      <c r="D109" s="27"/>
      <c r="E109" s="27"/>
      <c r="F109" s="18">
        <f>L109*$P109/$O109</f>
        <v>202.23822012671329</v>
      </c>
      <c r="G109" s="6" t="s">
        <v>2</v>
      </c>
      <c r="H109" s="18">
        <f>M109*$P109/$O109</f>
        <v>168.53185010559437</v>
      </c>
      <c r="I109" s="18">
        <f>N109*$P109/$O109</f>
        <v>235.94459014783214</v>
      </c>
      <c r="J109" s="7" t="s">
        <v>184</v>
      </c>
      <c r="K109" s="6"/>
      <c r="L109" s="6">
        <v>606.71466038013978</v>
      </c>
      <c r="M109" s="6">
        <v>505.59555031678315</v>
      </c>
      <c r="N109" s="6">
        <v>707.83377044349641</v>
      </c>
      <c r="O109" s="6">
        <v>6000</v>
      </c>
      <c r="P109" s="6">
        <v>2000</v>
      </c>
      <c r="Q109" s="6"/>
    </row>
    <row r="110" spans="1:17">
      <c r="A110" s="2" t="s">
        <v>0</v>
      </c>
      <c r="B110" s="3" t="s">
        <v>1</v>
      </c>
      <c r="C110" s="5">
        <f>64.77+Q106</f>
        <v>64.77</v>
      </c>
      <c r="D110" s="16">
        <f>C110+1</f>
        <v>65.77</v>
      </c>
      <c r="E110" s="16">
        <f>C110-1</f>
        <v>63.769999999999996</v>
      </c>
      <c r="F110" s="6">
        <f>L110*$P110/$O110</f>
        <v>145.04004593081666</v>
      </c>
      <c r="G110" s="6" t="s">
        <v>2</v>
      </c>
      <c r="H110" s="6">
        <f>F110*0.5</f>
        <v>72.52002296540833</v>
      </c>
      <c r="I110" s="6">
        <f>F110*2</f>
        <v>290.08009186163332</v>
      </c>
      <c r="J110" s="6" t="s">
        <v>78</v>
      </c>
      <c r="K110" s="6"/>
      <c r="L110" s="6">
        <v>435.12013779244995</v>
      </c>
      <c r="M110" s="6">
        <v>362.60011482704164</v>
      </c>
      <c r="N110" s="6">
        <v>507.64016075785827</v>
      </c>
      <c r="O110" s="6">
        <v>6000</v>
      </c>
      <c r="P110" s="6">
        <v>2000</v>
      </c>
      <c r="Q110" s="6"/>
    </row>
    <row r="111" spans="1:17">
      <c r="A111" s="11" t="s">
        <v>155</v>
      </c>
      <c r="B111" s="17" t="s">
        <v>156</v>
      </c>
      <c r="C111" s="16">
        <f>AVERAGE(D111:E111)</f>
        <v>64.814999999999998</v>
      </c>
      <c r="D111" s="16">
        <v>64.959999999999994</v>
      </c>
      <c r="E111" s="16">
        <f>D111-0.29</f>
        <v>64.669999999999987</v>
      </c>
      <c r="F111" s="6">
        <f>L111*$P111/$O111</f>
        <v>344.56743864934447</v>
      </c>
      <c r="G111" s="6" t="s">
        <v>2</v>
      </c>
      <c r="H111" s="6">
        <f>F111*0.5</f>
        <v>172.28371932467223</v>
      </c>
      <c r="I111" s="6">
        <f>F111*2</f>
        <v>689.13487729868893</v>
      </c>
      <c r="J111" s="6" t="s">
        <v>78</v>
      </c>
      <c r="K111" s="6"/>
      <c r="L111" s="6">
        <v>1033.7023159480334</v>
      </c>
      <c r="M111" s="6">
        <v>861.41859662336117</v>
      </c>
      <c r="N111" s="6">
        <v>1205.9860352727057</v>
      </c>
      <c r="O111" s="6">
        <v>6000</v>
      </c>
      <c r="P111" s="6">
        <v>2000</v>
      </c>
      <c r="Q111" s="6"/>
    </row>
    <row r="112" spans="1:17">
      <c r="A112" s="10" t="s">
        <v>46</v>
      </c>
      <c r="B112" s="17" t="s">
        <v>47</v>
      </c>
      <c r="C112" s="27">
        <f>64.4+0.5</f>
        <v>64.900000000000006</v>
      </c>
      <c r="D112" s="27"/>
      <c r="E112" s="27"/>
      <c r="F112" s="18">
        <f>L112*$P112/$O112</f>
        <v>203.57725878744944</v>
      </c>
      <c r="G112" s="6" t="s">
        <v>2</v>
      </c>
      <c r="H112" s="18">
        <f>M112*$P112/$O112</f>
        <v>169.64771565620788</v>
      </c>
      <c r="I112" s="18">
        <f>N112*$P112/$O112</f>
        <v>237.50680191869102</v>
      </c>
      <c r="J112" s="7" t="s">
        <v>184</v>
      </c>
      <c r="K112" s="6"/>
      <c r="L112" s="6">
        <v>610.73177636234834</v>
      </c>
      <c r="M112" s="6">
        <v>508.94314696862364</v>
      </c>
      <c r="N112" s="6">
        <v>712.52040575607305</v>
      </c>
      <c r="O112" s="6">
        <v>6000</v>
      </c>
      <c r="P112" s="6">
        <v>2000</v>
      </c>
      <c r="Q112" s="6"/>
    </row>
    <row r="113" spans="1:17">
      <c r="A113" s="2" t="s">
        <v>0</v>
      </c>
      <c r="B113" s="3" t="s">
        <v>1</v>
      </c>
      <c r="C113" s="5">
        <f>64.91+Q108</f>
        <v>64.91</v>
      </c>
      <c r="D113" s="16">
        <f>C113+1</f>
        <v>65.91</v>
      </c>
      <c r="E113" s="16">
        <f>C113-1</f>
        <v>63.91</v>
      </c>
      <c r="F113" s="6">
        <f>L113*$P113/$O113</f>
        <v>309.11131014886683</v>
      </c>
      <c r="G113" s="6" t="s">
        <v>2</v>
      </c>
      <c r="H113" s="6">
        <f>F113*0.5</f>
        <v>154.55565507443342</v>
      </c>
      <c r="I113" s="6">
        <f>F113*2</f>
        <v>618.22262029773367</v>
      </c>
      <c r="J113" s="6" t="s">
        <v>78</v>
      </c>
      <c r="K113" s="6"/>
      <c r="L113" s="6">
        <v>927.33393044660056</v>
      </c>
      <c r="M113" s="6">
        <v>772.77827537216706</v>
      </c>
      <c r="N113" s="6">
        <v>1081.889585521034</v>
      </c>
      <c r="O113" s="6">
        <v>6000</v>
      </c>
      <c r="P113" s="6">
        <v>2000</v>
      </c>
      <c r="Q113" s="6"/>
    </row>
    <row r="114" spans="1:17">
      <c r="A114" s="10" t="s">
        <v>46</v>
      </c>
      <c r="B114" s="17" t="s">
        <v>47</v>
      </c>
      <c r="C114" s="27">
        <f>64.5+0.5</f>
        <v>65</v>
      </c>
      <c r="D114" s="27"/>
      <c r="E114" s="27"/>
      <c r="F114" s="18">
        <f>L114*$P114/$O114</f>
        <v>375.4600076297051</v>
      </c>
      <c r="G114" s="6" t="s">
        <v>2</v>
      </c>
      <c r="H114" s="18">
        <f>M114*$P114/$O114</f>
        <v>312.88333969142099</v>
      </c>
      <c r="I114" s="18">
        <f>N114*$P114/$O114</f>
        <v>438.03667556798933</v>
      </c>
      <c r="J114" s="7" t="s">
        <v>184</v>
      </c>
      <c r="K114" s="6"/>
      <c r="L114" s="6">
        <v>1126.3800228891155</v>
      </c>
      <c r="M114" s="6">
        <v>938.6500190742629</v>
      </c>
      <c r="N114" s="6">
        <v>1314.1100267039681</v>
      </c>
      <c r="O114" s="6">
        <v>6000</v>
      </c>
      <c r="P114" s="6">
        <v>2000</v>
      </c>
      <c r="Q114" s="6"/>
    </row>
    <row r="115" spans="1:17">
      <c r="A115" s="2" t="s">
        <v>0</v>
      </c>
      <c r="B115" s="3" t="s">
        <v>1</v>
      </c>
      <c r="C115" s="5">
        <f>65.08+Q109</f>
        <v>65.08</v>
      </c>
      <c r="D115" s="16">
        <f>C115+1</f>
        <v>66.08</v>
      </c>
      <c r="E115" s="16">
        <f>C115-1</f>
        <v>64.08</v>
      </c>
      <c r="F115" s="6">
        <f>L115*$P115/$O115</f>
        <v>328.6733358264766</v>
      </c>
      <c r="G115" s="6" t="s">
        <v>2</v>
      </c>
      <c r="H115" s="6">
        <f>F115*0.5</f>
        <v>164.3366679132383</v>
      </c>
      <c r="I115" s="6">
        <f>F115*2</f>
        <v>657.34667165295321</v>
      </c>
      <c r="J115" s="6" t="s">
        <v>78</v>
      </c>
      <c r="K115" s="6"/>
      <c r="L115" s="6">
        <v>986.02000747942986</v>
      </c>
      <c r="M115" s="6">
        <v>821.68333956619153</v>
      </c>
      <c r="N115" s="6">
        <v>1150.3566753926682</v>
      </c>
      <c r="O115" s="6">
        <v>6000</v>
      </c>
      <c r="P115" s="6">
        <v>2000</v>
      </c>
      <c r="Q115" s="6"/>
    </row>
    <row r="116" spans="1:17">
      <c r="A116" s="10" t="s">
        <v>46</v>
      </c>
      <c r="B116" s="17" t="s">
        <v>47</v>
      </c>
      <c r="C116" s="27">
        <f>64.6+0.5</f>
        <v>65.099999999999994</v>
      </c>
      <c r="D116" s="27"/>
      <c r="E116" s="27"/>
      <c r="F116" s="18">
        <f>L116*$P116/$O116</f>
        <v>121.5919931856899</v>
      </c>
      <c r="G116" s="6" t="s">
        <v>2</v>
      </c>
      <c r="H116" s="18">
        <f>M116*$P116/$O116</f>
        <v>101.32666098807492</v>
      </c>
      <c r="I116" s="18">
        <f>N116*$P116/$O116</f>
        <v>141.8573253833049</v>
      </c>
      <c r="J116" s="7" t="s">
        <v>184</v>
      </c>
      <c r="K116" s="6"/>
      <c r="L116" s="6">
        <v>364.77597955706972</v>
      </c>
      <c r="M116" s="6">
        <v>303.97998296422475</v>
      </c>
      <c r="N116" s="6">
        <v>425.57197614991469</v>
      </c>
      <c r="O116" s="6">
        <v>6000</v>
      </c>
      <c r="P116" s="6">
        <v>2000</v>
      </c>
      <c r="Q116" s="6"/>
    </row>
    <row r="117" spans="1:17">
      <c r="A117" s="10" t="s">
        <v>46</v>
      </c>
      <c r="B117" s="17" t="s">
        <v>47</v>
      </c>
      <c r="C117" s="27">
        <f>64.7+0.5</f>
        <v>65.2</v>
      </c>
      <c r="D117" s="27"/>
      <c r="E117" s="27"/>
      <c r="F117" s="18">
        <f>L117*$P117/$O117</f>
        <v>38.192725091345459</v>
      </c>
      <c r="G117" s="6" t="s">
        <v>2</v>
      </c>
      <c r="H117" s="18">
        <f>M117*$P117/$O117</f>
        <v>31.827270909454548</v>
      </c>
      <c r="I117" s="18">
        <f>N117*$P117/$O117</f>
        <v>44.558179273236355</v>
      </c>
      <c r="J117" s="7" t="s">
        <v>184</v>
      </c>
      <c r="K117" s="6"/>
      <c r="L117" s="6">
        <v>114.57817527403637</v>
      </c>
      <c r="M117" s="6">
        <v>95.481812728363636</v>
      </c>
      <c r="N117" s="6">
        <v>133.67453781970909</v>
      </c>
      <c r="O117" s="6">
        <v>6000</v>
      </c>
      <c r="P117" s="6">
        <v>2000</v>
      </c>
      <c r="Q117" s="6"/>
    </row>
    <row r="118" spans="1:17">
      <c r="A118" s="2" t="s">
        <v>0</v>
      </c>
      <c r="B118" s="3" t="s">
        <v>1</v>
      </c>
      <c r="C118" s="5">
        <f>65.24+Q111</f>
        <v>65.239999999999995</v>
      </c>
      <c r="D118" s="16">
        <f>C118+1</f>
        <v>66.239999999999995</v>
      </c>
      <c r="E118" s="16">
        <f>C118-1</f>
        <v>64.239999999999995</v>
      </c>
      <c r="F118" s="6">
        <f>L118*$P118/$O118</f>
        <v>125.89250916115131</v>
      </c>
      <c r="G118" s="6" t="s">
        <v>2</v>
      </c>
      <c r="H118" s="6">
        <f>F118*0.5</f>
        <v>62.946254580575655</v>
      </c>
      <c r="I118" s="6">
        <f>F118*2</f>
        <v>251.78501832230262</v>
      </c>
      <c r="J118" s="6" t="s">
        <v>78</v>
      </c>
      <c r="K118" s="6"/>
      <c r="L118" s="6">
        <v>377.6775274834539</v>
      </c>
      <c r="M118" s="6">
        <v>314.73127290287823</v>
      </c>
      <c r="N118" s="6">
        <v>440.62378206402957</v>
      </c>
      <c r="O118" s="6">
        <v>6000</v>
      </c>
      <c r="P118" s="6">
        <v>2000</v>
      </c>
      <c r="Q118" s="6"/>
    </row>
    <row r="119" spans="1:17">
      <c r="A119" s="11" t="s">
        <v>155</v>
      </c>
      <c r="B119" s="17" t="s">
        <v>157</v>
      </c>
      <c r="C119" s="16">
        <f>AVERAGE(D119:E119)</f>
        <v>65.324999999999989</v>
      </c>
      <c r="D119" s="16">
        <v>65.69</v>
      </c>
      <c r="E119" s="16">
        <f>D119-0.73</f>
        <v>64.959999999999994</v>
      </c>
      <c r="F119" s="6">
        <f>L119*$P119/$O119</f>
        <v>254.20821211121407</v>
      </c>
      <c r="G119" s="6" t="s">
        <v>2</v>
      </c>
      <c r="H119" s="6">
        <f>F119*0.5</f>
        <v>127.10410605560703</v>
      </c>
      <c r="I119" s="6">
        <f>F119*2</f>
        <v>508.41642422242813</v>
      </c>
      <c r="J119" s="6" t="s">
        <v>78</v>
      </c>
      <c r="K119" s="6"/>
      <c r="L119" s="6">
        <v>762.62463633364223</v>
      </c>
      <c r="M119" s="6">
        <v>635.52053027803515</v>
      </c>
      <c r="N119" s="6">
        <v>889.72874238924931</v>
      </c>
      <c r="O119" s="6">
        <v>6000</v>
      </c>
      <c r="P119" s="6">
        <v>2000</v>
      </c>
      <c r="Q119" s="6"/>
    </row>
    <row r="120" spans="1:17">
      <c r="A120" s="10" t="s">
        <v>46</v>
      </c>
      <c r="B120" s="17" t="s">
        <v>47</v>
      </c>
      <c r="C120" s="27">
        <f>64.9+0.5</f>
        <v>65.400000000000006</v>
      </c>
      <c r="D120" s="27"/>
      <c r="E120" s="27"/>
      <c r="F120" s="18">
        <f>L120*$P120/$O120</f>
        <v>289.24752656093062</v>
      </c>
      <c r="G120" s="6" t="s">
        <v>2</v>
      </c>
      <c r="H120" s="18">
        <f>M120*$P120/$O120</f>
        <v>241.03960546744219</v>
      </c>
      <c r="I120" s="18">
        <f>N120*$P120/$O120</f>
        <v>337.45544765441912</v>
      </c>
      <c r="J120" s="7" t="s">
        <v>184</v>
      </c>
      <c r="K120" s="6"/>
      <c r="L120" s="6">
        <v>867.74257968279198</v>
      </c>
      <c r="M120" s="6">
        <v>723.11881640232662</v>
      </c>
      <c r="N120" s="6">
        <v>1012.3663429632574</v>
      </c>
      <c r="O120" s="6">
        <v>6000</v>
      </c>
      <c r="P120" s="6">
        <v>2000</v>
      </c>
      <c r="Q120" s="6"/>
    </row>
    <row r="121" spans="1:17">
      <c r="A121" s="2" t="s">
        <v>0</v>
      </c>
      <c r="B121" s="3" t="s">
        <v>1</v>
      </c>
      <c r="C121" s="5">
        <f>65.43+Q113</f>
        <v>65.430000000000007</v>
      </c>
      <c r="D121" s="16">
        <f>C121+1</f>
        <v>66.430000000000007</v>
      </c>
      <c r="E121" s="16">
        <f>C121-1</f>
        <v>64.430000000000007</v>
      </c>
      <c r="F121" s="6">
        <f>L121*$P121/$O121</f>
        <v>294.346228948011</v>
      </c>
      <c r="G121" s="6" t="s">
        <v>2</v>
      </c>
      <c r="H121" s="6">
        <f>F121*0.5</f>
        <v>147.1731144740055</v>
      </c>
      <c r="I121" s="6">
        <f>F121*2</f>
        <v>588.69245789602201</v>
      </c>
      <c r="J121" s="6" t="s">
        <v>78</v>
      </c>
      <c r="K121" s="6"/>
      <c r="L121" s="6">
        <v>883.03868684403301</v>
      </c>
      <c r="M121" s="6">
        <v>735.86557237002751</v>
      </c>
      <c r="N121" s="6">
        <v>1030.2118013180384</v>
      </c>
      <c r="O121" s="6">
        <v>6000</v>
      </c>
      <c r="P121" s="6">
        <v>2000</v>
      </c>
      <c r="Q121" s="6"/>
    </row>
    <row r="122" spans="1:17">
      <c r="A122" s="2" t="s">
        <v>0</v>
      </c>
      <c r="B122" s="3" t="s">
        <v>1</v>
      </c>
      <c r="C122" s="5">
        <f>65.5+Q113</f>
        <v>65.5</v>
      </c>
      <c r="D122" s="16">
        <f>C122+1</f>
        <v>66.5</v>
      </c>
      <c r="E122" s="16">
        <f>C122-1</f>
        <v>64.5</v>
      </c>
      <c r="F122" s="6">
        <f>L122*$P122/$O122</f>
        <v>133.33333333333334</v>
      </c>
      <c r="G122" s="6" t="s">
        <v>2</v>
      </c>
      <c r="H122" s="6">
        <f>F122*0.5</f>
        <v>66.666666666666671</v>
      </c>
      <c r="I122" s="6">
        <f>F122*2</f>
        <v>266.66666666666669</v>
      </c>
      <c r="J122" s="6" t="s">
        <v>78</v>
      </c>
      <c r="K122" s="6"/>
      <c r="L122" s="21">
        <v>500</v>
      </c>
      <c r="M122" s="21">
        <v>300</v>
      </c>
      <c r="N122" s="21">
        <v>1000</v>
      </c>
      <c r="O122" s="21">
        <v>7500</v>
      </c>
      <c r="P122" s="6">
        <v>2000</v>
      </c>
      <c r="Q122" s="6" t="s">
        <v>161</v>
      </c>
    </row>
    <row r="123" spans="1:17">
      <c r="A123" s="2" t="s">
        <v>0</v>
      </c>
      <c r="B123" s="3" t="s">
        <v>1</v>
      </c>
      <c r="C123" s="5">
        <f>65.5+Q113</f>
        <v>65.5</v>
      </c>
      <c r="D123" s="16">
        <f>C123+1</f>
        <v>66.5</v>
      </c>
      <c r="E123" s="16">
        <f>C123-1</f>
        <v>64.5</v>
      </c>
      <c r="F123" s="6">
        <f>L123*$P123/$O123</f>
        <v>133.33333333333334</v>
      </c>
      <c r="G123" s="6" t="s">
        <v>2</v>
      </c>
      <c r="H123" s="6">
        <f>F123*0.5</f>
        <v>66.666666666666671</v>
      </c>
      <c r="I123" s="6">
        <f>F123*2</f>
        <v>266.66666666666669</v>
      </c>
      <c r="J123" s="6" t="s">
        <v>78</v>
      </c>
      <c r="K123" s="6"/>
      <c r="L123" s="21">
        <v>500</v>
      </c>
      <c r="M123" s="21">
        <v>300</v>
      </c>
      <c r="N123" s="21">
        <v>1000</v>
      </c>
      <c r="O123" s="21">
        <v>7500</v>
      </c>
      <c r="P123" s="6">
        <v>2000</v>
      </c>
      <c r="Q123" s="6" t="s">
        <v>161</v>
      </c>
    </row>
    <row r="124" spans="1:17">
      <c r="A124" s="2" t="s">
        <v>0</v>
      </c>
      <c r="B124" s="3" t="s">
        <v>1</v>
      </c>
      <c r="C124" s="5">
        <f>65.6+Q113</f>
        <v>65.599999999999994</v>
      </c>
      <c r="D124" s="16">
        <f>C124+1</f>
        <v>66.599999999999994</v>
      </c>
      <c r="E124" s="16">
        <f>C124-1</f>
        <v>64.599999999999994</v>
      </c>
      <c r="F124" s="6">
        <f>L124*$P124/$O124</f>
        <v>740</v>
      </c>
      <c r="G124" s="6" t="s">
        <v>2</v>
      </c>
      <c r="H124" s="6">
        <f>F124*0.5</f>
        <v>370</v>
      </c>
      <c r="I124" s="6">
        <f>F124*2</f>
        <v>1480</v>
      </c>
      <c r="J124" s="6" t="s">
        <v>78</v>
      </c>
      <c r="K124" s="6"/>
      <c r="L124" s="20">
        <v>1480</v>
      </c>
      <c r="M124" s="20">
        <v>1110</v>
      </c>
      <c r="N124" s="18">
        <v>1850</v>
      </c>
      <c r="O124" s="18">
        <v>4000</v>
      </c>
      <c r="P124" s="6">
        <v>2000</v>
      </c>
      <c r="Q124" s="6" t="s">
        <v>162</v>
      </c>
    </row>
    <row r="125" spans="1:17">
      <c r="A125" s="2" t="s">
        <v>0</v>
      </c>
      <c r="B125" s="3" t="s">
        <v>1</v>
      </c>
      <c r="C125" s="5">
        <f>65.64+Q113</f>
        <v>65.64</v>
      </c>
      <c r="D125" s="16">
        <f>C125+1</f>
        <v>66.64</v>
      </c>
      <c r="E125" s="16">
        <f>C125-1</f>
        <v>64.64</v>
      </c>
      <c r="F125" s="6">
        <f>L125*$P125/$O125</f>
        <v>1112.5</v>
      </c>
      <c r="G125" s="6" t="s">
        <v>2</v>
      </c>
      <c r="H125" s="6">
        <f>F125*0.5</f>
        <v>556.25</v>
      </c>
      <c r="I125" s="6">
        <f>F125*2</f>
        <v>2225</v>
      </c>
      <c r="J125" s="6" t="s">
        <v>78</v>
      </c>
      <c r="K125" s="6"/>
      <c r="L125" s="20">
        <v>2225</v>
      </c>
      <c r="M125" s="20">
        <v>1675</v>
      </c>
      <c r="N125" s="18">
        <v>2775</v>
      </c>
      <c r="O125" s="18">
        <v>4000</v>
      </c>
      <c r="P125" s="6">
        <v>2000</v>
      </c>
      <c r="Q125" s="6" t="s">
        <v>162</v>
      </c>
    </row>
    <row r="126" spans="1:17">
      <c r="A126" s="2" t="s">
        <v>0</v>
      </c>
      <c r="B126" s="3" t="s">
        <v>1</v>
      </c>
      <c r="C126" s="5">
        <f>65.71+Q113</f>
        <v>65.709999999999994</v>
      </c>
      <c r="D126" s="16">
        <f>C126+1</f>
        <v>66.709999999999994</v>
      </c>
      <c r="E126" s="16">
        <f>C126-1</f>
        <v>64.709999999999994</v>
      </c>
      <c r="F126" s="6">
        <f>L126*$P126/$O126</f>
        <v>585</v>
      </c>
      <c r="G126" s="6" t="s">
        <v>2</v>
      </c>
      <c r="H126" s="6">
        <f>F126*0.5</f>
        <v>292.5</v>
      </c>
      <c r="I126" s="6">
        <f>F126*2</f>
        <v>1170</v>
      </c>
      <c r="J126" s="6" t="s">
        <v>78</v>
      </c>
      <c r="K126" s="6"/>
      <c r="L126" s="20">
        <v>1170</v>
      </c>
      <c r="M126" s="20">
        <v>880</v>
      </c>
      <c r="N126" s="18">
        <v>1460</v>
      </c>
      <c r="O126" s="18">
        <v>4000</v>
      </c>
      <c r="P126" s="6">
        <v>2000</v>
      </c>
      <c r="Q126" s="6" t="s">
        <v>163</v>
      </c>
    </row>
    <row r="127" spans="1:17">
      <c r="A127" s="2" t="s">
        <v>0</v>
      </c>
      <c r="B127" s="3" t="s">
        <v>1</v>
      </c>
      <c r="C127" s="5">
        <f>65.86+Q113</f>
        <v>65.86</v>
      </c>
      <c r="D127" s="16">
        <f>C127+1</f>
        <v>66.86</v>
      </c>
      <c r="E127" s="16">
        <f>C127-1</f>
        <v>64.86</v>
      </c>
      <c r="F127" s="6">
        <f>L127*$P127/$O127</f>
        <v>605</v>
      </c>
      <c r="G127" s="6" t="s">
        <v>2</v>
      </c>
      <c r="H127" s="6">
        <f>F127*0.5</f>
        <v>302.5</v>
      </c>
      <c r="I127" s="6">
        <f>F127*2</f>
        <v>1210</v>
      </c>
      <c r="J127" s="6" t="s">
        <v>78</v>
      </c>
      <c r="K127" s="6"/>
      <c r="L127" s="20">
        <v>1210</v>
      </c>
      <c r="M127" s="20">
        <v>910</v>
      </c>
      <c r="N127" s="18">
        <v>1510</v>
      </c>
      <c r="O127" s="18">
        <v>4000</v>
      </c>
      <c r="P127" s="6">
        <v>2000</v>
      </c>
      <c r="Q127" s="6" t="s">
        <v>164</v>
      </c>
    </row>
    <row r="128" spans="1:17">
      <c r="A128" s="11" t="s">
        <v>155</v>
      </c>
      <c r="B128" s="17" t="s">
        <v>158</v>
      </c>
      <c r="C128" s="16">
        <f>AVERAGE(D128:E128)</f>
        <v>65.875</v>
      </c>
      <c r="D128" s="16">
        <v>66.25</v>
      </c>
      <c r="E128" s="16">
        <v>65.5</v>
      </c>
      <c r="F128" s="6">
        <f>L128*$P128/$O128</f>
        <v>357.5</v>
      </c>
      <c r="G128" s="6" t="s">
        <v>2</v>
      </c>
      <c r="H128" s="6">
        <f>F128*0.5</f>
        <v>178.75</v>
      </c>
      <c r="I128" s="6">
        <f>F128*2</f>
        <v>715</v>
      </c>
      <c r="J128" s="6" t="s">
        <v>78</v>
      </c>
      <c r="K128" s="6"/>
      <c r="L128" s="20">
        <v>715</v>
      </c>
      <c r="M128" s="20">
        <v>540</v>
      </c>
      <c r="N128" s="18">
        <v>890</v>
      </c>
      <c r="O128" s="18">
        <v>4000</v>
      </c>
      <c r="P128" s="6">
        <v>2000</v>
      </c>
      <c r="Q128" s="6" t="s">
        <v>164</v>
      </c>
    </row>
    <row r="129" spans="1:17">
      <c r="A129" s="2" t="s">
        <v>0</v>
      </c>
      <c r="B129" s="3" t="s">
        <v>1</v>
      </c>
      <c r="C129" s="5">
        <f>65.93+Q114</f>
        <v>65.930000000000007</v>
      </c>
      <c r="D129" s="16">
        <f>C129+1</f>
        <v>66.930000000000007</v>
      </c>
      <c r="E129" s="16">
        <f>C129-1</f>
        <v>64.930000000000007</v>
      </c>
      <c r="F129" s="6">
        <f>L129*$P129/$O129</f>
        <v>880</v>
      </c>
      <c r="G129" s="6" t="s">
        <v>2</v>
      </c>
      <c r="H129" s="6">
        <f>F129*0.5</f>
        <v>440</v>
      </c>
      <c r="I129" s="6">
        <f>F129*2</f>
        <v>1760</v>
      </c>
      <c r="J129" s="6" t="s">
        <v>78</v>
      </c>
      <c r="K129" s="6"/>
      <c r="L129" s="20">
        <v>1760</v>
      </c>
      <c r="M129" s="20">
        <f>L129*0.75</f>
        <v>1320</v>
      </c>
      <c r="N129" s="18">
        <f>L129*1.25</f>
        <v>2200</v>
      </c>
      <c r="O129" s="18">
        <v>4000</v>
      </c>
      <c r="P129" s="6">
        <v>2000</v>
      </c>
      <c r="Q129" s="6" t="s">
        <v>162</v>
      </c>
    </row>
    <row r="130" spans="1:17">
      <c r="A130" s="2" t="s">
        <v>0</v>
      </c>
      <c r="B130" s="3" t="s">
        <v>1</v>
      </c>
      <c r="C130" s="5">
        <f>65.99+Q114</f>
        <v>65.989999999999995</v>
      </c>
      <c r="D130" s="16">
        <f>C130+1</f>
        <v>66.989999999999995</v>
      </c>
      <c r="E130" s="16">
        <f>C130-1</f>
        <v>64.989999999999995</v>
      </c>
      <c r="F130" s="6">
        <f>L130*$P130/$O130</f>
        <v>695</v>
      </c>
      <c r="G130" s="6" t="s">
        <v>2</v>
      </c>
      <c r="H130" s="6">
        <f>F130*0.5</f>
        <v>347.5</v>
      </c>
      <c r="I130" s="6">
        <f>F130*2</f>
        <v>1390</v>
      </c>
      <c r="J130" s="6" t="s">
        <v>78</v>
      </c>
      <c r="K130" s="6"/>
      <c r="L130" s="20">
        <v>1390</v>
      </c>
      <c r="M130" s="20">
        <f>L130*0.75</f>
        <v>1042.5</v>
      </c>
      <c r="N130" s="18">
        <f>L130*1.25</f>
        <v>1737.5</v>
      </c>
      <c r="O130" s="18">
        <v>4000</v>
      </c>
      <c r="P130" s="6">
        <v>2000</v>
      </c>
      <c r="Q130" s="6" t="s">
        <v>165</v>
      </c>
    </row>
    <row r="131" spans="1:17">
      <c r="A131" s="2" t="s">
        <v>0</v>
      </c>
      <c r="B131" s="3" t="s">
        <v>1</v>
      </c>
      <c r="C131" s="5">
        <f>66.04+Q114</f>
        <v>66.040000000000006</v>
      </c>
      <c r="D131" s="16">
        <f>C131+1</f>
        <v>67.040000000000006</v>
      </c>
      <c r="E131" s="16">
        <f>C131-1</f>
        <v>65.040000000000006</v>
      </c>
      <c r="F131" s="6">
        <f>L131*$P131/$O131</f>
        <v>116</v>
      </c>
      <c r="G131" s="6" t="s">
        <v>2</v>
      </c>
      <c r="H131" s="6">
        <f>F131*0.5</f>
        <v>58</v>
      </c>
      <c r="I131" s="6">
        <f>F131*2</f>
        <v>232</v>
      </c>
      <c r="J131" s="6" t="s">
        <v>78</v>
      </c>
      <c r="K131" s="6"/>
      <c r="L131" s="20">
        <v>290</v>
      </c>
      <c r="M131" s="20">
        <f>L131*0.75</f>
        <v>217.5</v>
      </c>
      <c r="N131" s="18">
        <f>L131*1.25</f>
        <v>362.5</v>
      </c>
      <c r="O131" s="18">
        <v>5000</v>
      </c>
      <c r="P131" s="6">
        <v>2000</v>
      </c>
      <c r="Q131" s="17" t="s">
        <v>164</v>
      </c>
    </row>
    <row r="132" spans="1:17">
      <c r="A132" s="10" t="s">
        <v>46</v>
      </c>
      <c r="B132" s="17" t="s">
        <v>47</v>
      </c>
      <c r="C132" s="27">
        <f>66+0.5</f>
        <v>66.5</v>
      </c>
      <c r="D132" s="27"/>
      <c r="E132" s="27"/>
      <c r="F132" s="18">
        <f>L132*$P132/$O132</f>
        <v>580</v>
      </c>
      <c r="G132" s="6" t="s">
        <v>2</v>
      </c>
      <c r="H132" s="18">
        <f>M132*$P132/$O132</f>
        <v>435</v>
      </c>
      <c r="I132" s="18">
        <f>N132*$P132/$O132</f>
        <v>725</v>
      </c>
      <c r="J132" s="7" t="s">
        <v>184</v>
      </c>
      <c r="K132" s="6"/>
      <c r="L132" s="20">
        <v>1160</v>
      </c>
      <c r="M132" s="20">
        <f>L132*0.75</f>
        <v>870</v>
      </c>
      <c r="N132" s="18">
        <f>L132*1.25</f>
        <v>1450</v>
      </c>
      <c r="O132" s="18">
        <v>4000</v>
      </c>
      <c r="P132" s="6">
        <v>2000</v>
      </c>
      <c r="Q132" s="6" t="s">
        <v>162</v>
      </c>
    </row>
    <row r="133" spans="1:17">
      <c r="A133" s="11" t="s">
        <v>155</v>
      </c>
      <c r="B133" s="17" t="s">
        <v>159</v>
      </c>
      <c r="C133" s="16">
        <f>AVERAGE(D133:E133)</f>
        <v>67.174999999999997</v>
      </c>
      <c r="D133" s="16">
        <v>68.099999999999994</v>
      </c>
      <c r="E133" s="16">
        <v>66.25</v>
      </c>
      <c r="F133" s="6">
        <f>L133*$P133/$O133</f>
        <v>300</v>
      </c>
      <c r="G133" s="6" t="s">
        <v>2</v>
      </c>
      <c r="H133" s="6">
        <f>F133*0.5</f>
        <v>150</v>
      </c>
      <c r="I133" s="6">
        <f>F133*2</f>
        <v>600</v>
      </c>
      <c r="J133" s="6" t="s">
        <v>78</v>
      </c>
      <c r="K133" s="6"/>
      <c r="L133" s="20">
        <v>600</v>
      </c>
      <c r="M133" s="20">
        <f>L133*0.75</f>
        <v>450</v>
      </c>
      <c r="N133" s="18">
        <f>L133*1.25</f>
        <v>750</v>
      </c>
      <c r="O133" s="18">
        <v>4000</v>
      </c>
      <c r="P133" s="6">
        <v>2000</v>
      </c>
      <c r="Q133" s="6" t="s">
        <v>162</v>
      </c>
    </row>
    <row r="134" spans="1:17">
      <c r="A134" s="11" t="s">
        <v>155</v>
      </c>
      <c r="B134" s="17" t="s">
        <v>159</v>
      </c>
      <c r="C134" s="16">
        <f>AVERAGE(D134:E134)</f>
        <v>67.174999999999997</v>
      </c>
      <c r="D134" s="16">
        <v>68.099999999999994</v>
      </c>
      <c r="E134" s="16">
        <v>66.25</v>
      </c>
      <c r="F134" s="6">
        <f>L134*$P134/$O134</f>
        <v>772.03750000000002</v>
      </c>
      <c r="G134" s="6" t="s">
        <v>2</v>
      </c>
      <c r="H134" s="6">
        <f>F134*0.5</f>
        <v>386.01875000000001</v>
      </c>
      <c r="I134" s="6">
        <f>F134*2</f>
        <v>1544.075</v>
      </c>
      <c r="J134" s="6" t="s">
        <v>78</v>
      </c>
      <c r="K134" s="6"/>
      <c r="L134" s="20">
        <f>AVERAGE(M134:N135)</f>
        <v>1544.075</v>
      </c>
      <c r="M134" s="20">
        <v>1450</v>
      </c>
      <c r="N134" s="18">
        <v>2690</v>
      </c>
      <c r="O134" s="18">
        <v>4000</v>
      </c>
      <c r="P134" s="6">
        <v>2000</v>
      </c>
      <c r="Q134" s="6" t="s">
        <v>164</v>
      </c>
    </row>
    <row r="135" spans="1:17">
      <c r="A135" s="2" t="s">
        <v>0</v>
      </c>
      <c r="B135" s="3" t="s">
        <v>1</v>
      </c>
      <c r="C135" s="5">
        <f>67.5+Q117</f>
        <v>67.5</v>
      </c>
      <c r="D135" s="16">
        <f>C135+1</f>
        <v>68.5</v>
      </c>
      <c r="E135" s="16">
        <f>C135-1</f>
        <v>66.5</v>
      </c>
      <c r="F135" s="6">
        <f>L135*$P135/$O135</f>
        <v>882.48</v>
      </c>
      <c r="G135" s="6" t="s">
        <v>2</v>
      </c>
      <c r="H135" s="6">
        <f>F135*0.5</f>
        <v>441.24</v>
      </c>
      <c r="I135" s="6">
        <f>F135*2</f>
        <v>1764.96</v>
      </c>
      <c r="J135" s="6" t="s">
        <v>78</v>
      </c>
      <c r="K135" s="6"/>
      <c r="L135" s="21">
        <v>1103.0999999999999</v>
      </c>
      <c r="M135" s="21">
        <v>353</v>
      </c>
      <c r="N135" s="21">
        <v>1683.3</v>
      </c>
      <c r="O135" s="21">
        <v>2500</v>
      </c>
      <c r="P135" s="6">
        <v>2000</v>
      </c>
      <c r="Q135" s="6" t="s">
        <v>167</v>
      </c>
    </row>
    <row r="136" spans="1:17">
      <c r="A136" s="2" t="s">
        <v>0</v>
      </c>
      <c r="B136" s="3" t="s">
        <v>1</v>
      </c>
      <c r="C136" s="5">
        <f>67.66+Q117</f>
        <v>67.66</v>
      </c>
      <c r="D136" s="16">
        <f>C136+1</f>
        <v>68.66</v>
      </c>
      <c r="E136" s="16">
        <f>C136-1</f>
        <v>66.66</v>
      </c>
      <c r="F136" s="6">
        <f>L136*$P136/$O136</f>
        <v>697.2</v>
      </c>
      <c r="G136" s="6" t="s">
        <v>2</v>
      </c>
      <c r="H136" s="6">
        <f>F136*0.5</f>
        <v>348.6</v>
      </c>
      <c r="I136" s="6">
        <f>F136*2</f>
        <v>1394.4</v>
      </c>
      <c r="J136" s="6" t="s">
        <v>78</v>
      </c>
      <c r="K136" s="6"/>
      <c r="L136" s="21">
        <v>1045.8</v>
      </c>
      <c r="M136" s="21">
        <v>277.89999999999998</v>
      </c>
      <c r="N136" s="21">
        <v>1653.7</v>
      </c>
      <c r="O136" s="21">
        <v>3000</v>
      </c>
      <c r="P136" s="6">
        <v>2000</v>
      </c>
      <c r="Q136" s="6" t="s">
        <v>168</v>
      </c>
    </row>
    <row r="137" spans="1:17">
      <c r="A137" s="2" t="s">
        <v>0</v>
      </c>
      <c r="B137" s="3" t="s">
        <v>1</v>
      </c>
      <c r="C137" s="5">
        <f>67.81+Q117</f>
        <v>67.81</v>
      </c>
      <c r="D137" s="16">
        <f>C137+1</f>
        <v>68.81</v>
      </c>
      <c r="E137" s="16">
        <f>C137-1</f>
        <v>66.81</v>
      </c>
      <c r="F137" s="6">
        <f>L137*$P137/$O137</f>
        <v>398.8</v>
      </c>
      <c r="G137" s="6" t="s">
        <v>2</v>
      </c>
      <c r="H137" s="6">
        <f>F137*0.5</f>
        <v>199.4</v>
      </c>
      <c r="I137" s="6">
        <f>F137*2</f>
        <v>797.6</v>
      </c>
      <c r="J137" s="6" t="s">
        <v>78</v>
      </c>
      <c r="K137" s="6"/>
      <c r="L137" s="21">
        <v>997</v>
      </c>
      <c r="M137" s="21">
        <v>219.5</v>
      </c>
      <c r="N137" s="21">
        <v>1624.6</v>
      </c>
      <c r="O137" s="21">
        <v>5000</v>
      </c>
      <c r="P137" s="6">
        <v>2000</v>
      </c>
      <c r="Q137" s="6" t="s">
        <v>168</v>
      </c>
    </row>
    <row r="138" spans="1:17">
      <c r="A138" s="2" t="s">
        <v>0</v>
      </c>
      <c r="B138" s="3" t="s">
        <v>1</v>
      </c>
      <c r="C138" s="5">
        <f>67.98+Q117</f>
        <v>67.98</v>
      </c>
      <c r="D138" s="16">
        <f>C138+1</f>
        <v>68.98</v>
      </c>
      <c r="E138" s="16">
        <f>C138-1</f>
        <v>66.98</v>
      </c>
      <c r="F138" s="6">
        <f>L138*$P138/$O138</f>
        <v>515.13333333333333</v>
      </c>
      <c r="G138" s="6" t="s">
        <v>2</v>
      </c>
      <c r="H138" s="6">
        <f>F138*0.5</f>
        <v>257.56666666666666</v>
      </c>
      <c r="I138" s="6">
        <f>F138*2</f>
        <v>1030.2666666666667</v>
      </c>
      <c r="J138" s="6" t="s">
        <v>78</v>
      </c>
      <c r="K138" s="6"/>
      <c r="L138" s="21">
        <v>772.7</v>
      </c>
      <c r="M138" s="21">
        <v>0</v>
      </c>
      <c r="N138" s="21">
        <v>1493.8</v>
      </c>
      <c r="O138" s="21">
        <v>3000</v>
      </c>
      <c r="P138" s="6">
        <v>2000</v>
      </c>
      <c r="Q138" s="6" t="s">
        <v>169</v>
      </c>
    </row>
    <row r="139" spans="1:17">
      <c r="A139" s="10" t="s">
        <v>46</v>
      </c>
      <c r="B139" s="17" t="s">
        <v>47</v>
      </c>
      <c r="C139" s="27">
        <f>67.8+0.5</f>
        <v>68.3</v>
      </c>
      <c r="D139" s="27"/>
      <c r="E139" s="27"/>
      <c r="F139" s="18">
        <f>L139*$P139/$O139</f>
        <v>288.39999999999998</v>
      </c>
      <c r="G139" s="6" t="s">
        <v>2</v>
      </c>
      <c r="H139" s="18">
        <f>M139*$P139/$O139</f>
        <v>0</v>
      </c>
      <c r="I139" s="18">
        <f>N139*$P139/$O139</f>
        <v>877.93333333333328</v>
      </c>
      <c r="J139" s="7" t="s">
        <v>184</v>
      </c>
      <c r="K139" s="6"/>
      <c r="L139" s="21">
        <v>432.6</v>
      </c>
      <c r="M139" s="21">
        <v>0</v>
      </c>
      <c r="N139" s="21">
        <v>1316.9</v>
      </c>
      <c r="O139" s="21">
        <v>3000</v>
      </c>
      <c r="P139" s="6">
        <v>2000</v>
      </c>
      <c r="Q139" s="6" t="s">
        <v>170</v>
      </c>
    </row>
    <row r="140" spans="1:17">
      <c r="A140" s="9" t="s">
        <v>107</v>
      </c>
      <c r="B140" s="23" t="s">
        <v>108</v>
      </c>
      <c r="C140" s="28">
        <f>AVERAGE(D140:E140)</f>
        <v>69.05</v>
      </c>
      <c r="D140" s="28">
        <v>72.099999999999994</v>
      </c>
      <c r="E140" s="28">
        <v>66</v>
      </c>
      <c r="F140" s="6">
        <f>L140*$P140/$O140</f>
        <v>64.599999999999994</v>
      </c>
      <c r="G140" s="6" t="s">
        <v>2</v>
      </c>
      <c r="H140" s="6">
        <f>F140*0.5</f>
        <v>32.299999999999997</v>
      </c>
      <c r="I140" s="6">
        <f>F140*2</f>
        <v>129.19999999999999</v>
      </c>
      <c r="J140" s="6" t="s">
        <v>78</v>
      </c>
      <c r="K140" s="6"/>
      <c r="L140" s="21">
        <v>187</v>
      </c>
      <c r="M140" s="21">
        <v>0</v>
      </c>
      <c r="N140" s="21">
        <v>880.8</v>
      </c>
      <c r="O140" s="21">
        <v>5500</v>
      </c>
      <c r="P140" s="6">
        <v>1900</v>
      </c>
      <c r="Q140" s="6" t="s">
        <v>171</v>
      </c>
    </row>
    <row r="141" spans="1:17">
      <c r="A141" s="13" t="s">
        <v>120</v>
      </c>
      <c r="B141" s="24" t="s">
        <v>127</v>
      </c>
      <c r="C141" s="28">
        <f>AVERAGE(D141:E141)</f>
        <v>69.05</v>
      </c>
      <c r="D141" s="28">
        <v>72.099999999999994</v>
      </c>
      <c r="E141" s="28">
        <v>66</v>
      </c>
      <c r="F141" s="6">
        <f>L141*$P141/$O141</f>
        <v>46.866666666666667</v>
      </c>
      <c r="G141" s="6" t="s">
        <v>2</v>
      </c>
      <c r="H141" s="6">
        <f>F141*0.5</f>
        <v>23.433333333333334</v>
      </c>
      <c r="I141" s="6">
        <f>F141*2</f>
        <v>93.733333333333334</v>
      </c>
      <c r="J141" s="6" t="s">
        <v>78</v>
      </c>
      <c r="K141" s="6"/>
      <c r="L141" s="21">
        <v>190</v>
      </c>
      <c r="M141" s="21">
        <v>0</v>
      </c>
      <c r="N141" s="21">
        <v>851</v>
      </c>
      <c r="O141" s="21">
        <v>7500</v>
      </c>
      <c r="P141" s="6">
        <v>1850</v>
      </c>
      <c r="Q141" s="6" t="s">
        <v>172</v>
      </c>
    </row>
    <row r="142" spans="1:17">
      <c r="A142" s="13" t="s">
        <v>120</v>
      </c>
      <c r="B142" s="24" t="s">
        <v>127</v>
      </c>
      <c r="C142" s="28">
        <f>AVERAGE(D142:E142)</f>
        <v>69.05</v>
      </c>
      <c r="D142" s="28">
        <v>72.099999999999994</v>
      </c>
      <c r="E142" s="28">
        <v>66</v>
      </c>
      <c r="F142" s="6">
        <f>L142*$P142/$O142</f>
        <v>50.064999999999998</v>
      </c>
      <c r="G142" s="6" t="s">
        <v>2</v>
      </c>
      <c r="H142" s="6">
        <f>F142*0.5</f>
        <v>25.032499999999999</v>
      </c>
      <c r="I142" s="6">
        <f>F142*2</f>
        <v>100.13</v>
      </c>
      <c r="J142" s="6" t="s">
        <v>78</v>
      </c>
      <c r="K142" s="6"/>
      <c r="L142" s="21">
        <v>158.1</v>
      </c>
      <c r="M142" s="21">
        <v>0</v>
      </c>
      <c r="N142" s="21">
        <v>854.5</v>
      </c>
      <c r="O142" s="21">
        <v>6000</v>
      </c>
      <c r="P142" s="6">
        <v>1900</v>
      </c>
      <c r="Q142" s="6" t="s">
        <v>173</v>
      </c>
    </row>
    <row r="143" spans="1:17">
      <c r="A143" s="13" t="s">
        <v>120</v>
      </c>
      <c r="B143" s="24" t="s">
        <v>127</v>
      </c>
      <c r="C143" s="28">
        <f>AVERAGE(D143:E143)</f>
        <v>69.05</v>
      </c>
      <c r="D143" s="28">
        <v>72.099999999999994</v>
      </c>
      <c r="E143" s="28">
        <v>66</v>
      </c>
      <c r="F143" s="6">
        <f>L143*$P143/$O143</f>
        <v>208.27166666666668</v>
      </c>
      <c r="G143" s="6" t="s">
        <v>2</v>
      </c>
      <c r="H143" s="6">
        <f>F143*0.5</f>
        <v>104.13583333333334</v>
      </c>
      <c r="I143" s="6">
        <f>F143*2</f>
        <v>416.54333333333335</v>
      </c>
      <c r="J143" s="6" t="s">
        <v>78</v>
      </c>
      <c r="K143" s="6"/>
      <c r="L143" s="21">
        <v>657.7</v>
      </c>
      <c r="M143" s="21">
        <v>0</v>
      </c>
      <c r="N143" s="21">
        <v>1478.3</v>
      </c>
      <c r="O143" s="21">
        <v>6000</v>
      </c>
      <c r="P143" s="6">
        <v>1900</v>
      </c>
      <c r="Q143" s="6" t="s">
        <v>173</v>
      </c>
    </row>
    <row r="144" spans="1:17">
      <c r="A144" s="11" t="s">
        <v>155</v>
      </c>
      <c r="B144" s="17" t="s">
        <v>160</v>
      </c>
      <c r="C144" s="28">
        <f>AVERAGE(D144:E144)</f>
        <v>77.125</v>
      </c>
      <c r="D144" s="16">
        <v>80</v>
      </c>
      <c r="E144" s="16">
        <v>74.25</v>
      </c>
      <c r="F144" s="6">
        <f>L144*$P144/$O144</f>
        <v>600.17833333333328</v>
      </c>
      <c r="G144" s="6" t="s">
        <v>2</v>
      </c>
      <c r="H144" s="6">
        <f>F144*0.5</f>
        <v>300.08916666666664</v>
      </c>
      <c r="I144" s="6">
        <f>F144*2</f>
        <v>1200.3566666666666</v>
      </c>
      <c r="J144" s="6" t="s">
        <v>78</v>
      </c>
      <c r="K144" s="6"/>
      <c r="L144" s="21">
        <v>1895.3</v>
      </c>
      <c r="M144" s="21">
        <v>738.4</v>
      </c>
      <c r="N144" s="21">
        <v>3052.1</v>
      </c>
      <c r="O144" s="21">
        <v>6000</v>
      </c>
      <c r="P144" s="6">
        <v>1900</v>
      </c>
      <c r="Q144" s="6" t="s">
        <v>173</v>
      </c>
    </row>
    <row r="145" spans="1:17">
      <c r="A145" s="13" t="s">
        <v>120</v>
      </c>
      <c r="B145" s="24" t="s">
        <v>37</v>
      </c>
      <c r="C145" s="28">
        <f>AVERAGE(D145:E145)</f>
        <v>77.849999999999994</v>
      </c>
      <c r="D145" s="28">
        <v>83.6</v>
      </c>
      <c r="E145" s="28">
        <v>72.099999999999994</v>
      </c>
      <c r="F145" s="6">
        <f>L145*$P145/$O145</f>
        <v>461.42857142857144</v>
      </c>
      <c r="G145" s="6" t="s">
        <v>2</v>
      </c>
      <c r="H145" s="6">
        <f>F145*0.5</f>
        <v>230.71428571428572</v>
      </c>
      <c r="I145" s="6">
        <f>F145*2</f>
        <v>922.85714285714289</v>
      </c>
      <c r="J145" s="6" t="s">
        <v>78</v>
      </c>
      <c r="K145" s="6"/>
      <c r="L145" s="21">
        <v>1700</v>
      </c>
      <c r="M145" s="21">
        <v>529.70000000000005</v>
      </c>
      <c r="N145" s="21">
        <v>2496.9</v>
      </c>
      <c r="O145" s="21">
        <v>7000</v>
      </c>
      <c r="P145" s="6">
        <v>1900</v>
      </c>
      <c r="Q145" s="6" t="s">
        <v>174</v>
      </c>
    </row>
    <row r="146" spans="1:17">
      <c r="A146" s="13" t="s">
        <v>120</v>
      </c>
      <c r="B146" s="24" t="s">
        <v>37</v>
      </c>
      <c r="C146" s="28">
        <f>AVERAGE(D146:E146)</f>
        <v>77.849999999999994</v>
      </c>
      <c r="D146" s="28">
        <v>83.6</v>
      </c>
      <c r="E146" s="28">
        <v>72.099999999999994</v>
      </c>
      <c r="F146" s="6">
        <f>L146*$P146/$O146</f>
        <v>1700</v>
      </c>
      <c r="G146" s="6" t="s">
        <v>2</v>
      </c>
      <c r="H146" s="6">
        <f>F146*0.5</f>
        <v>850</v>
      </c>
      <c r="I146" s="6">
        <f>F146*2</f>
        <v>3400</v>
      </c>
      <c r="J146" s="6" t="s">
        <v>78</v>
      </c>
      <c r="K146" s="6"/>
      <c r="L146" s="21">
        <v>1700</v>
      </c>
      <c r="M146" s="21">
        <v>529.70000000000005</v>
      </c>
      <c r="N146" s="21">
        <v>2496.9</v>
      </c>
      <c r="O146" s="21">
        <v>2000</v>
      </c>
      <c r="P146" s="6">
        <v>2000</v>
      </c>
      <c r="Q146" s="6" t="s">
        <v>175</v>
      </c>
    </row>
    <row r="147" spans="1:17">
      <c r="A147" s="10" t="s">
        <v>36</v>
      </c>
      <c r="B147" s="18" t="s">
        <v>37</v>
      </c>
      <c r="C147" s="27">
        <v>83</v>
      </c>
      <c r="D147" s="27"/>
      <c r="E147" s="27"/>
      <c r="F147" s="6">
        <f>L147*$P147/$O147</f>
        <v>419.33333333333331</v>
      </c>
      <c r="G147" s="6" t="s">
        <v>2</v>
      </c>
      <c r="H147" s="6">
        <f>F147*0.5</f>
        <v>209.66666666666666</v>
      </c>
      <c r="I147" s="6">
        <f>F147*2</f>
        <v>838.66666666666663</v>
      </c>
      <c r="J147" s="6" t="s">
        <v>78</v>
      </c>
      <c r="K147" s="6"/>
      <c r="L147" s="21">
        <v>1700</v>
      </c>
      <c r="M147" s="21">
        <v>529.70000000000005</v>
      </c>
      <c r="N147" s="21">
        <v>2496.9</v>
      </c>
      <c r="O147" s="21">
        <v>7500</v>
      </c>
      <c r="P147" s="6">
        <v>1850</v>
      </c>
      <c r="Q147" s="6" t="s">
        <v>176</v>
      </c>
    </row>
    <row r="148" spans="1:17">
      <c r="A148" s="11" t="s">
        <v>6</v>
      </c>
      <c r="B148" s="17" t="s">
        <v>7</v>
      </c>
      <c r="C148" s="28">
        <f>AVERAGE(D148:E148)</f>
        <v>83.25</v>
      </c>
      <c r="D148" s="28">
        <v>100.5</v>
      </c>
      <c r="E148" s="28">
        <v>66</v>
      </c>
      <c r="F148" s="6">
        <f>L148*$P148/$O148</f>
        <v>410.75285714285712</v>
      </c>
      <c r="G148" s="6" t="s">
        <v>2</v>
      </c>
      <c r="H148" s="6">
        <f>F148*0.5</f>
        <v>205.37642857142856</v>
      </c>
      <c r="I148" s="6">
        <f>F148*2</f>
        <v>821.50571428571425</v>
      </c>
      <c r="J148" s="6" t="s">
        <v>78</v>
      </c>
      <c r="K148" s="6"/>
      <c r="L148" s="21">
        <v>1513.3</v>
      </c>
      <c r="M148" s="21">
        <v>353.1</v>
      </c>
      <c r="N148" s="21">
        <v>1983.6</v>
      </c>
      <c r="O148" s="21">
        <v>7000</v>
      </c>
      <c r="P148" s="6">
        <v>1900</v>
      </c>
      <c r="Q148" s="6" t="s">
        <v>174</v>
      </c>
    </row>
    <row r="149" spans="1:17">
      <c r="A149" s="11" t="s">
        <v>16</v>
      </c>
      <c r="B149" s="17" t="s">
        <v>17</v>
      </c>
      <c r="C149" s="28">
        <f>AVERAGE(D149:E149)</f>
        <v>92.15</v>
      </c>
      <c r="D149" s="28">
        <v>93</v>
      </c>
      <c r="E149" s="28">
        <v>91.3</v>
      </c>
      <c r="F149" s="6">
        <f>L149*$P149/$O149</f>
        <v>620</v>
      </c>
      <c r="G149" s="6" t="s">
        <v>2</v>
      </c>
      <c r="H149" s="6">
        <f>F149*0.5</f>
        <v>310</v>
      </c>
      <c r="I149" s="6">
        <f>F149*2</f>
        <v>1240</v>
      </c>
      <c r="J149" s="6" t="s">
        <v>78</v>
      </c>
      <c r="K149" s="6"/>
      <c r="L149" s="21">
        <v>1240</v>
      </c>
      <c r="M149" s="21">
        <v>204.1</v>
      </c>
      <c r="N149" s="21">
        <v>1540.7</v>
      </c>
      <c r="O149" s="21">
        <v>4000</v>
      </c>
      <c r="P149" s="6">
        <v>2000</v>
      </c>
      <c r="Q149" s="6" t="s">
        <v>177</v>
      </c>
    </row>
    <row r="150" spans="1:17">
      <c r="A150" s="10" t="s">
        <v>25</v>
      </c>
      <c r="B150" s="18" t="s">
        <v>26</v>
      </c>
      <c r="C150" s="28">
        <f>AVERAGE(D150:E150)</f>
        <v>95.25</v>
      </c>
      <c r="D150" s="27">
        <v>100.5</v>
      </c>
      <c r="E150" s="27">
        <v>90</v>
      </c>
      <c r="F150" s="6">
        <f>L150*$P150/$O150</f>
        <v>182.20090909090908</v>
      </c>
      <c r="G150" s="6" t="s">
        <v>2</v>
      </c>
      <c r="H150" s="6">
        <f>F150*0.5</f>
        <v>91.100454545454539</v>
      </c>
      <c r="I150" s="6">
        <f>F150*2</f>
        <v>364.40181818181816</v>
      </c>
      <c r="J150" s="6" t="s">
        <v>78</v>
      </c>
      <c r="K150" s="6"/>
      <c r="L150" s="21">
        <v>513.9</v>
      </c>
      <c r="M150" s="21">
        <v>31.3</v>
      </c>
      <c r="N150" s="21">
        <v>996.5</v>
      </c>
      <c r="O150" s="21">
        <v>5500</v>
      </c>
      <c r="P150" s="6">
        <v>1950</v>
      </c>
      <c r="Q150" s="6" t="s">
        <v>171</v>
      </c>
    </row>
    <row r="151" spans="1:17">
      <c r="A151" s="10" t="s">
        <v>36</v>
      </c>
      <c r="B151" s="18" t="s">
        <v>38</v>
      </c>
      <c r="C151" s="27">
        <v>98</v>
      </c>
      <c r="D151" s="27"/>
      <c r="E151" s="27"/>
      <c r="F151" s="6">
        <f>L151*$P151/$O151</f>
        <v>183.08727272727273</v>
      </c>
      <c r="G151" s="6" t="s">
        <v>2</v>
      </c>
      <c r="H151" s="6">
        <f>F151*0.5</f>
        <v>91.543636363636367</v>
      </c>
      <c r="I151" s="6">
        <f>F151*2</f>
        <v>366.17454545454547</v>
      </c>
      <c r="J151" s="6" t="s">
        <v>78</v>
      </c>
      <c r="K151" s="6"/>
      <c r="L151" s="21">
        <v>516.4</v>
      </c>
      <c r="M151" s="21">
        <v>68.599999999999994</v>
      </c>
      <c r="N151" s="21">
        <v>964.2</v>
      </c>
      <c r="O151" s="21">
        <v>5500</v>
      </c>
      <c r="P151" s="6">
        <v>1950</v>
      </c>
      <c r="Q151" s="6" t="s">
        <v>171</v>
      </c>
    </row>
    <row r="152" spans="1:17">
      <c r="A152" s="10" t="s">
        <v>64</v>
      </c>
      <c r="B152" s="17" t="s">
        <v>65</v>
      </c>
      <c r="C152" s="27">
        <v>100</v>
      </c>
      <c r="D152" s="27"/>
      <c r="E152" s="27"/>
      <c r="F152" s="17">
        <f>L152*$P152/$O152</f>
        <v>396.61357142857145</v>
      </c>
      <c r="G152" s="6" t="s">
        <v>2</v>
      </c>
      <c r="H152" s="6">
        <f>F152*0.5</f>
        <v>198.30678571428572</v>
      </c>
      <c r="I152" s="6">
        <f>F152*2</f>
        <v>793.22714285714289</v>
      </c>
      <c r="J152" s="6" t="s">
        <v>256</v>
      </c>
      <c r="K152" s="6"/>
      <c r="L152" s="21">
        <v>1500.7</v>
      </c>
      <c r="M152" s="21">
        <v>941.7</v>
      </c>
      <c r="N152" s="21">
        <v>2059.6</v>
      </c>
      <c r="O152" s="21">
        <v>7000</v>
      </c>
      <c r="P152" s="6">
        <v>1850</v>
      </c>
      <c r="Q152" s="6" t="s">
        <v>178</v>
      </c>
    </row>
    <row r="153" spans="1:17">
      <c r="A153" s="10" t="s">
        <v>36</v>
      </c>
      <c r="B153" s="18" t="s">
        <v>38</v>
      </c>
      <c r="C153" s="27">
        <v>100.5</v>
      </c>
      <c r="D153" s="27"/>
      <c r="E153" s="27"/>
      <c r="F153" s="6">
        <f>L153*$P153/$O153</f>
        <v>1030</v>
      </c>
      <c r="G153" s="6" t="s">
        <v>2</v>
      </c>
      <c r="H153" s="6">
        <f>F153*0.5</f>
        <v>515</v>
      </c>
      <c r="I153" s="6">
        <f>F153*2</f>
        <v>2060</v>
      </c>
      <c r="J153" s="6" t="s">
        <v>78</v>
      </c>
      <c r="K153" s="6"/>
      <c r="L153" s="21">
        <v>2060</v>
      </c>
      <c r="M153" s="21">
        <v>1351</v>
      </c>
      <c r="N153" s="21">
        <v>2792</v>
      </c>
      <c r="O153" s="21">
        <v>4000</v>
      </c>
      <c r="P153" s="6">
        <v>2000</v>
      </c>
      <c r="Q153" s="6" t="s">
        <v>177</v>
      </c>
    </row>
    <row r="154" spans="1:17">
      <c r="A154" s="10" t="s">
        <v>61</v>
      </c>
      <c r="B154" s="17" t="s">
        <v>53</v>
      </c>
      <c r="C154" s="5">
        <v>100.8</v>
      </c>
      <c r="D154" s="27"/>
      <c r="E154" s="27"/>
      <c r="F154" s="6">
        <f>L154*$P154/$O154</f>
        <v>1448.9333333333334</v>
      </c>
      <c r="G154" s="6" t="s">
        <v>2</v>
      </c>
      <c r="H154" s="6">
        <f>F154*0.5</f>
        <v>724.4666666666667</v>
      </c>
      <c r="I154" s="6">
        <f>F154*2</f>
        <v>2897.8666666666668</v>
      </c>
      <c r="J154" s="6" t="s">
        <v>193</v>
      </c>
      <c r="K154" s="6"/>
      <c r="L154" s="21">
        <v>2173.4</v>
      </c>
      <c r="M154" s="21">
        <v>1347.8</v>
      </c>
      <c r="N154" s="21">
        <v>2998.9</v>
      </c>
      <c r="O154" s="21">
        <v>3000</v>
      </c>
      <c r="P154" s="6">
        <v>2000</v>
      </c>
      <c r="Q154" s="6" t="s">
        <v>179</v>
      </c>
    </row>
    <row r="155" spans="1:17">
      <c r="A155" s="10" t="s">
        <v>36</v>
      </c>
      <c r="B155" s="18" t="s">
        <v>38</v>
      </c>
      <c r="C155" s="27">
        <v>102</v>
      </c>
      <c r="D155" s="27"/>
      <c r="E155" s="27"/>
      <c r="F155" s="6">
        <f>L155*$P155/$O155</f>
        <v>774.43363636363631</v>
      </c>
      <c r="G155" s="6" t="s">
        <v>2</v>
      </c>
      <c r="H155" s="6">
        <f>F155*0.5</f>
        <v>387.21681818181816</v>
      </c>
      <c r="I155" s="6">
        <f>F155*2</f>
        <v>1548.8672727272726</v>
      </c>
      <c r="J155" s="6" t="s">
        <v>78</v>
      </c>
      <c r="K155" s="6"/>
      <c r="L155" s="21">
        <v>2184.3000000000002</v>
      </c>
      <c r="M155" s="21">
        <v>1310.9</v>
      </c>
      <c r="N155" s="21">
        <v>3057.6</v>
      </c>
      <c r="O155" s="21">
        <v>5500</v>
      </c>
      <c r="P155" s="6">
        <v>1950</v>
      </c>
      <c r="Q155" s="6" t="s">
        <v>171</v>
      </c>
    </row>
    <row r="156" spans="1:17">
      <c r="A156" s="10" t="s">
        <v>61</v>
      </c>
      <c r="B156" s="17" t="s">
        <v>53</v>
      </c>
      <c r="C156" s="5">
        <v>102.4</v>
      </c>
      <c r="D156" s="27"/>
      <c r="E156" s="27"/>
      <c r="F156" s="6">
        <f>L156*$P156/$O156</f>
        <v>792.09</v>
      </c>
      <c r="G156" s="6" t="s">
        <v>2</v>
      </c>
      <c r="H156" s="6">
        <f>F156*0.5</f>
        <v>396.04500000000002</v>
      </c>
      <c r="I156" s="6">
        <f>F156*2</f>
        <v>1584.18</v>
      </c>
      <c r="J156" s="6" t="s">
        <v>193</v>
      </c>
      <c r="K156" s="6"/>
      <c r="L156" s="21">
        <v>2234.1</v>
      </c>
      <c r="M156" s="21">
        <v>1297.5999999999999</v>
      </c>
      <c r="N156" s="21">
        <v>3170.6</v>
      </c>
      <c r="O156" s="21">
        <v>5500</v>
      </c>
      <c r="P156" s="6">
        <v>1950</v>
      </c>
      <c r="Q156" s="6" t="s">
        <v>171</v>
      </c>
    </row>
    <row r="157" spans="1:17">
      <c r="A157" s="10" t="s">
        <v>64</v>
      </c>
      <c r="B157" s="17" t="s">
        <v>65</v>
      </c>
      <c r="C157" s="27">
        <v>102.5</v>
      </c>
      <c r="D157" s="27"/>
      <c r="E157" s="27"/>
      <c r="F157" s="17">
        <f>L157*$P157/$O157</f>
        <v>792.09</v>
      </c>
      <c r="G157" s="6" t="s">
        <v>2</v>
      </c>
      <c r="H157" s="6">
        <f>F157*0.5</f>
        <v>396.04500000000002</v>
      </c>
      <c r="I157" s="6">
        <f>F157*2</f>
        <v>1584.18</v>
      </c>
      <c r="J157" s="6" t="s">
        <v>256</v>
      </c>
      <c r="K157" s="6"/>
      <c r="L157" s="21">
        <v>2234.1</v>
      </c>
      <c r="M157" s="21">
        <v>1297.5999999999999</v>
      </c>
      <c r="N157" s="21">
        <v>3170.6</v>
      </c>
      <c r="O157" s="21">
        <v>5500</v>
      </c>
      <c r="P157" s="6">
        <v>1950</v>
      </c>
      <c r="Q157" s="6" t="s">
        <v>171</v>
      </c>
    </row>
    <row r="158" spans="1:17">
      <c r="A158" s="10" t="s">
        <v>61</v>
      </c>
      <c r="B158" s="17" t="s">
        <v>53</v>
      </c>
      <c r="C158" s="5">
        <v>103.1</v>
      </c>
      <c r="D158" s="27"/>
      <c r="E158" s="27"/>
      <c r="F158" s="6">
        <f>L158*$P158/$O158</f>
        <v>823.99909090909091</v>
      </c>
      <c r="G158" s="6" t="s">
        <v>2</v>
      </c>
      <c r="H158" s="6">
        <f>F158*0.5</f>
        <v>411.99954545454545</v>
      </c>
      <c r="I158" s="6">
        <f>F158*2</f>
        <v>1647.9981818181818</v>
      </c>
      <c r="J158" s="6" t="s">
        <v>193</v>
      </c>
      <c r="K158" s="6"/>
      <c r="L158" s="21">
        <v>2324.1</v>
      </c>
      <c r="M158" s="21">
        <v>1355.2</v>
      </c>
      <c r="N158" s="21">
        <v>3293.1</v>
      </c>
      <c r="O158" s="21">
        <v>5500</v>
      </c>
      <c r="P158" s="6">
        <v>1950</v>
      </c>
      <c r="Q158" s="6" t="s">
        <v>171</v>
      </c>
    </row>
    <row r="159" spans="1:17">
      <c r="A159" s="10" t="s">
        <v>61</v>
      </c>
      <c r="B159" s="17" t="s">
        <v>53</v>
      </c>
      <c r="C159" s="5">
        <v>103.3</v>
      </c>
      <c r="D159" s="27"/>
      <c r="E159" s="27"/>
      <c r="F159" s="6">
        <f>L159*$P159/$O159</f>
        <v>1011.8018181818181</v>
      </c>
      <c r="G159" s="6" t="s">
        <v>2</v>
      </c>
      <c r="H159" s="6">
        <f>F159*0.5</f>
        <v>505.90090909090907</v>
      </c>
      <c r="I159" s="6">
        <f>F159*2</f>
        <v>2023.6036363636363</v>
      </c>
      <c r="J159" s="6" t="s">
        <v>193</v>
      </c>
      <c r="K159" s="6"/>
      <c r="L159" s="21">
        <v>2853.8</v>
      </c>
      <c r="M159" s="21">
        <v>1704.3</v>
      </c>
      <c r="N159" s="21">
        <v>4003.3</v>
      </c>
      <c r="O159" s="21">
        <v>5500</v>
      </c>
      <c r="P159" s="6">
        <v>1950</v>
      </c>
      <c r="Q159" s="6" t="s">
        <v>171</v>
      </c>
    </row>
    <row r="160" spans="1:17">
      <c r="A160" s="10" t="s">
        <v>36</v>
      </c>
      <c r="B160" s="18" t="s">
        <v>38</v>
      </c>
      <c r="C160" s="27">
        <v>103.5</v>
      </c>
      <c r="D160" s="27"/>
      <c r="E160" s="27"/>
      <c r="F160" s="6">
        <f>L160*$P160/$O160</f>
        <v>1099.8</v>
      </c>
      <c r="G160" s="6" t="s">
        <v>2</v>
      </c>
      <c r="H160" s="6">
        <f>F160*0.5</f>
        <v>549.9</v>
      </c>
      <c r="I160" s="6">
        <f>F160*2</f>
        <v>2199.6</v>
      </c>
      <c r="J160" s="6" t="s">
        <v>78</v>
      </c>
      <c r="K160" s="6"/>
      <c r="L160" s="18">
        <v>3102</v>
      </c>
      <c r="M160" s="18">
        <v>1916.4</v>
      </c>
      <c r="N160" s="18">
        <v>4287.6000000000004</v>
      </c>
      <c r="O160" s="18">
        <v>5500</v>
      </c>
      <c r="P160" s="6">
        <v>1950</v>
      </c>
      <c r="Q160" s="6" t="s">
        <v>171</v>
      </c>
    </row>
    <row r="161" spans="1:17">
      <c r="A161" s="10" t="s">
        <v>61</v>
      </c>
      <c r="B161" s="17" t="s">
        <v>53</v>
      </c>
      <c r="C161" s="5">
        <v>104.6</v>
      </c>
      <c r="D161" s="27"/>
      <c r="E161" s="27"/>
      <c r="F161" s="6">
        <f>L161*$P161/$O161</f>
        <v>899.4</v>
      </c>
      <c r="G161" s="6" t="s">
        <v>2</v>
      </c>
      <c r="H161" s="6">
        <f>F161*0.5</f>
        <v>449.7</v>
      </c>
      <c r="I161" s="6">
        <f>F161*2</f>
        <v>1798.8</v>
      </c>
      <c r="J161" s="6" t="s">
        <v>193</v>
      </c>
      <c r="K161" s="6"/>
      <c r="L161" s="6">
        <v>2998</v>
      </c>
      <c r="M161" s="6">
        <v>1886.1</v>
      </c>
      <c r="N161" s="6">
        <v>4110</v>
      </c>
      <c r="O161" s="6">
        <v>6500</v>
      </c>
      <c r="P161" s="6">
        <v>1950</v>
      </c>
      <c r="Q161" s="6" t="s">
        <v>171</v>
      </c>
    </row>
    <row r="162" spans="1:17">
      <c r="A162" s="10" t="s">
        <v>61</v>
      </c>
      <c r="B162" s="17" t="s">
        <v>53</v>
      </c>
      <c r="C162" s="5">
        <v>104.7</v>
      </c>
      <c r="D162" s="27"/>
      <c r="E162" s="27"/>
      <c r="F162" s="6">
        <f>L162*$P162/$O162</f>
        <v>1248.3545454545454</v>
      </c>
      <c r="G162" s="6" t="s">
        <v>2</v>
      </c>
      <c r="H162" s="6">
        <f>F162*0.5</f>
        <v>624.17727272727268</v>
      </c>
      <c r="I162" s="6">
        <f>F162*2</f>
        <v>2496.7090909090907</v>
      </c>
      <c r="J162" s="6" t="s">
        <v>193</v>
      </c>
      <c r="K162" s="6"/>
      <c r="L162" s="6">
        <v>3521</v>
      </c>
      <c r="M162" s="6">
        <v>2141.6999999999998</v>
      </c>
      <c r="N162" s="6">
        <v>4900.3999999999996</v>
      </c>
      <c r="O162" s="6">
        <v>5500</v>
      </c>
      <c r="P162" s="6">
        <v>1950</v>
      </c>
      <c r="Q162" s="6" t="s">
        <v>171</v>
      </c>
    </row>
    <row r="163" spans="1:17">
      <c r="A163" s="10" t="s">
        <v>61</v>
      </c>
      <c r="B163" s="17" t="s">
        <v>53</v>
      </c>
      <c r="C163" s="5">
        <v>104.8</v>
      </c>
      <c r="D163" s="27"/>
      <c r="E163" s="27"/>
      <c r="F163" s="6">
        <f>L163*$P163/$O163</f>
        <v>1236.5836363636363</v>
      </c>
      <c r="G163" s="6" t="s">
        <v>2</v>
      </c>
      <c r="H163" s="6">
        <f>F163*0.5</f>
        <v>618.29181818181814</v>
      </c>
      <c r="I163" s="6">
        <f>F163*2</f>
        <v>2473.1672727272726</v>
      </c>
      <c r="J163" s="6" t="s">
        <v>193</v>
      </c>
      <c r="K163" s="6"/>
      <c r="L163" s="6">
        <v>3487.8</v>
      </c>
      <c r="M163" s="6">
        <v>2223.8000000000002</v>
      </c>
      <c r="N163" s="6">
        <v>4751.8</v>
      </c>
      <c r="O163" s="6">
        <v>5500</v>
      </c>
      <c r="P163" s="6">
        <v>1950</v>
      </c>
      <c r="Q163" s="6" t="s">
        <v>171</v>
      </c>
    </row>
    <row r="164" spans="1:17">
      <c r="A164" s="10" t="s">
        <v>61</v>
      </c>
      <c r="B164" s="17" t="s">
        <v>53</v>
      </c>
      <c r="C164" s="5">
        <v>106.1</v>
      </c>
      <c r="D164" s="27"/>
      <c r="E164" s="27"/>
      <c r="F164" s="6">
        <f>L164*$P164/$O164</f>
        <v>111</v>
      </c>
      <c r="G164" s="6" t="s">
        <v>2</v>
      </c>
      <c r="H164" s="6">
        <f>F164*0.5</f>
        <v>55.5</v>
      </c>
      <c r="I164" s="6">
        <f>F164*2</f>
        <v>222</v>
      </c>
      <c r="J164" s="6" t="s">
        <v>193</v>
      </c>
      <c r="K164" s="6"/>
      <c r="L164" s="3">
        <v>222</v>
      </c>
      <c r="M164" s="3">
        <v>0</v>
      </c>
      <c r="N164" s="3">
        <f t="shared" ref="N164:N206" si="0">L164+500</f>
        <v>722</v>
      </c>
      <c r="O164" s="3">
        <v>4000</v>
      </c>
      <c r="P164" s="6">
        <v>2000</v>
      </c>
      <c r="Q164" s="17" t="s">
        <v>180</v>
      </c>
    </row>
    <row r="165" spans="1:17">
      <c r="A165" s="10" t="s">
        <v>61</v>
      </c>
      <c r="B165" s="17" t="s">
        <v>53</v>
      </c>
      <c r="C165" s="5">
        <v>106.4</v>
      </c>
      <c r="D165" s="27"/>
      <c r="E165" s="27"/>
      <c r="F165" s="6">
        <f>L165*$P165/$O165</f>
        <v>544</v>
      </c>
      <c r="G165" s="6" t="s">
        <v>2</v>
      </c>
      <c r="H165" s="6">
        <f>F165*0.5</f>
        <v>272</v>
      </c>
      <c r="I165" s="6">
        <f>F165*2</f>
        <v>1088</v>
      </c>
      <c r="J165" s="6" t="s">
        <v>193</v>
      </c>
      <c r="K165" s="6"/>
      <c r="L165" s="3">
        <v>816</v>
      </c>
      <c r="M165" s="3">
        <f>L165-500</f>
        <v>316</v>
      </c>
      <c r="N165" s="3">
        <f t="shared" si="0"/>
        <v>1316</v>
      </c>
      <c r="O165" s="3">
        <v>3000</v>
      </c>
      <c r="P165" s="6">
        <v>2000</v>
      </c>
      <c r="Q165" s="17" t="s">
        <v>181</v>
      </c>
    </row>
    <row r="166" spans="1:17">
      <c r="A166" s="10" t="s">
        <v>61</v>
      </c>
      <c r="B166" s="17" t="s">
        <v>53</v>
      </c>
      <c r="C166" s="5">
        <v>106.5</v>
      </c>
      <c r="D166" s="27"/>
      <c r="E166" s="27"/>
      <c r="F166" s="6">
        <f>L166*$P166/$O166</f>
        <v>643.33333333333337</v>
      </c>
      <c r="G166" s="6" t="s">
        <v>2</v>
      </c>
      <c r="H166" s="6">
        <f>F166*0.5</f>
        <v>321.66666666666669</v>
      </c>
      <c r="I166" s="6">
        <f>F166*2</f>
        <v>1286.6666666666667</v>
      </c>
      <c r="J166" s="6" t="s">
        <v>193</v>
      </c>
      <c r="K166" s="6"/>
      <c r="L166" s="3">
        <v>965</v>
      </c>
      <c r="M166" s="3">
        <f>L166-500</f>
        <v>465</v>
      </c>
      <c r="N166" s="3">
        <f t="shared" si="0"/>
        <v>1465</v>
      </c>
      <c r="O166" s="3">
        <v>3000</v>
      </c>
      <c r="P166" s="6">
        <v>2000</v>
      </c>
      <c r="Q166" s="17" t="s">
        <v>181</v>
      </c>
    </row>
    <row r="167" spans="1:17">
      <c r="A167" s="10" t="s">
        <v>61</v>
      </c>
      <c r="B167" s="17" t="s">
        <v>53</v>
      </c>
      <c r="C167" s="5">
        <v>106.6</v>
      </c>
      <c r="D167" s="27"/>
      <c r="E167" s="27"/>
      <c r="F167" s="6">
        <f>L167*$P167/$O167</f>
        <v>12.5</v>
      </c>
      <c r="G167" s="6" t="s">
        <v>2</v>
      </c>
      <c r="H167" s="6">
        <f>F167*0.5</f>
        <v>6.25</v>
      </c>
      <c r="I167" s="6">
        <f>F167*2</f>
        <v>25</v>
      </c>
      <c r="J167" s="6" t="s">
        <v>193</v>
      </c>
      <c r="K167" s="6"/>
      <c r="L167" s="3">
        <v>25</v>
      </c>
      <c r="M167" s="3">
        <v>0</v>
      </c>
      <c r="N167" s="3">
        <f t="shared" si="0"/>
        <v>525</v>
      </c>
      <c r="O167" s="3">
        <v>4000</v>
      </c>
      <c r="P167" s="6">
        <v>2000</v>
      </c>
      <c r="Q167" s="17" t="s">
        <v>180</v>
      </c>
    </row>
    <row r="168" spans="1:17">
      <c r="A168" s="9" t="s">
        <v>86</v>
      </c>
      <c r="B168" s="23" t="s">
        <v>91</v>
      </c>
      <c r="C168" s="27">
        <f>AVERAGE(D168:E168)</f>
        <v>106.75</v>
      </c>
      <c r="D168" s="28">
        <v>113</v>
      </c>
      <c r="E168" s="28">
        <v>100.5</v>
      </c>
      <c r="F168" s="6">
        <f>L168*$P168/$O168</f>
        <v>45</v>
      </c>
      <c r="G168" s="6" t="s">
        <v>2</v>
      </c>
      <c r="H168" s="6">
        <f>F168*0.5</f>
        <v>22.5</v>
      </c>
      <c r="I168" s="6">
        <f>F168*2</f>
        <v>90</v>
      </c>
      <c r="J168" s="6" t="s">
        <v>78</v>
      </c>
      <c r="K168" s="6"/>
      <c r="L168" s="3">
        <v>90</v>
      </c>
      <c r="M168" s="3">
        <v>0</v>
      </c>
      <c r="N168" s="3">
        <f t="shared" si="0"/>
        <v>590</v>
      </c>
      <c r="O168" s="3">
        <v>4000</v>
      </c>
      <c r="P168" s="6">
        <v>2000</v>
      </c>
      <c r="Q168" s="17" t="s">
        <v>180</v>
      </c>
    </row>
    <row r="169" spans="1:17">
      <c r="A169" s="10" t="s">
        <v>61</v>
      </c>
      <c r="B169" s="17" t="s">
        <v>53</v>
      </c>
      <c r="C169" s="5">
        <v>106.9</v>
      </c>
      <c r="D169" s="27"/>
      <c r="E169" s="27"/>
      <c r="F169" s="6">
        <f>L169*$P169/$O169</f>
        <v>371.5</v>
      </c>
      <c r="G169" s="6" t="s">
        <v>2</v>
      </c>
      <c r="H169" s="6">
        <f>F169*0.5</f>
        <v>185.75</v>
      </c>
      <c r="I169" s="6">
        <f>F169*2</f>
        <v>743</v>
      </c>
      <c r="J169" s="6" t="s">
        <v>193</v>
      </c>
      <c r="K169" s="6"/>
      <c r="L169" s="3">
        <v>743</v>
      </c>
      <c r="M169" s="3">
        <f t="shared" ref="M169:M206" si="1">L169-500</f>
        <v>243</v>
      </c>
      <c r="N169" s="3">
        <f t="shared" si="0"/>
        <v>1243</v>
      </c>
      <c r="O169" s="3">
        <v>4000</v>
      </c>
      <c r="P169" s="6">
        <v>2000</v>
      </c>
      <c r="Q169" s="17" t="s">
        <v>180</v>
      </c>
    </row>
    <row r="170" spans="1:17">
      <c r="A170" s="10" t="s">
        <v>61</v>
      </c>
      <c r="B170" s="17" t="s">
        <v>53</v>
      </c>
      <c r="C170" s="5">
        <v>107.8</v>
      </c>
      <c r="D170" s="27"/>
      <c r="E170" s="27"/>
      <c r="F170" s="6">
        <f>L170*$P170/$O170</f>
        <v>1666.6666666666667</v>
      </c>
      <c r="G170" s="6" t="s">
        <v>2</v>
      </c>
      <c r="H170" s="6">
        <f>F170*0.5</f>
        <v>833.33333333333337</v>
      </c>
      <c r="I170" s="6">
        <f>F170*2</f>
        <v>3333.3333333333335</v>
      </c>
      <c r="J170" s="6" t="s">
        <v>193</v>
      </c>
      <c r="K170" s="6"/>
      <c r="L170" s="3">
        <v>2500</v>
      </c>
      <c r="M170" s="3">
        <f t="shared" si="1"/>
        <v>2000</v>
      </c>
      <c r="N170" s="3">
        <f t="shared" si="0"/>
        <v>3000</v>
      </c>
      <c r="O170" s="3">
        <v>3000</v>
      </c>
      <c r="P170" s="6">
        <v>2000</v>
      </c>
      <c r="Q170" s="17" t="s">
        <v>181</v>
      </c>
    </row>
    <row r="171" spans="1:17">
      <c r="A171" s="10" t="s">
        <v>61</v>
      </c>
      <c r="B171" s="17" t="s">
        <v>53</v>
      </c>
      <c r="C171" s="5">
        <v>108.8</v>
      </c>
      <c r="D171" s="27"/>
      <c r="E171" s="27"/>
      <c r="F171" s="6">
        <f>L171*$P171/$O171</f>
        <v>1702</v>
      </c>
      <c r="G171" s="6" t="s">
        <v>2</v>
      </c>
      <c r="H171" s="6">
        <f>F171*0.5</f>
        <v>851</v>
      </c>
      <c r="I171" s="6">
        <f>F171*2</f>
        <v>3404</v>
      </c>
      <c r="J171" s="6" t="s">
        <v>193</v>
      </c>
      <c r="K171" s="6"/>
      <c r="L171" s="3">
        <v>2553</v>
      </c>
      <c r="M171" s="3">
        <f t="shared" si="1"/>
        <v>2053</v>
      </c>
      <c r="N171" s="3">
        <f t="shared" si="0"/>
        <v>3053</v>
      </c>
      <c r="O171" s="3">
        <v>3000</v>
      </c>
      <c r="P171" s="6">
        <v>2000</v>
      </c>
      <c r="Q171" s="17" t="s">
        <v>181</v>
      </c>
    </row>
    <row r="172" spans="1:17">
      <c r="A172" s="10" t="s">
        <v>61</v>
      </c>
      <c r="B172" s="17" t="s">
        <v>53</v>
      </c>
      <c r="C172" s="5">
        <v>110.3</v>
      </c>
      <c r="D172" s="27"/>
      <c r="E172" s="27"/>
      <c r="F172" s="6">
        <f>L172*$P172/$O172</f>
        <v>1596</v>
      </c>
      <c r="G172" s="6" t="s">
        <v>2</v>
      </c>
      <c r="H172" s="6">
        <f>F172*0.5</f>
        <v>798</v>
      </c>
      <c r="I172" s="6">
        <f>F172*2</f>
        <v>3192</v>
      </c>
      <c r="J172" s="6" t="s">
        <v>193</v>
      </c>
      <c r="K172" s="6"/>
      <c r="L172" s="3">
        <v>2394</v>
      </c>
      <c r="M172" s="3">
        <f t="shared" si="1"/>
        <v>1894</v>
      </c>
      <c r="N172" s="3">
        <f t="shared" si="0"/>
        <v>2894</v>
      </c>
      <c r="O172" s="3">
        <v>3000</v>
      </c>
      <c r="P172" s="6">
        <v>2000</v>
      </c>
      <c r="Q172" s="17" t="s">
        <v>181</v>
      </c>
    </row>
    <row r="173" spans="1:17">
      <c r="A173" s="10" t="s">
        <v>61</v>
      </c>
      <c r="B173" s="17" t="s">
        <v>53</v>
      </c>
      <c r="C173" s="5">
        <v>111.1</v>
      </c>
      <c r="D173" s="27"/>
      <c r="E173" s="27"/>
      <c r="F173" s="6">
        <f>L173*$P173/$O173</f>
        <v>344</v>
      </c>
      <c r="G173" s="6" t="s">
        <v>2</v>
      </c>
      <c r="H173" s="6">
        <f>F173*0.5</f>
        <v>172</v>
      </c>
      <c r="I173" s="6">
        <f>F173*2</f>
        <v>688</v>
      </c>
      <c r="J173" s="6" t="s">
        <v>193</v>
      </c>
      <c r="K173" s="6"/>
      <c r="L173" s="3">
        <v>688</v>
      </c>
      <c r="M173" s="3">
        <f t="shared" si="1"/>
        <v>188</v>
      </c>
      <c r="N173" s="3">
        <f t="shared" si="0"/>
        <v>1188</v>
      </c>
      <c r="O173" s="3">
        <v>4000</v>
      </c>
      <c r="P173" s="6">
        <v>2000</v>
      </c>
      <c r="Q173" s="17" t="s">
        <v>180</v>
      </c>
    </row>
    <row r="174" spans="1:17">
      <c r="A174" s="10" t="s">
        <v>61</v>
      </c>
      <c r="B174" s="17" t="s">
        <v>53</v>
      </c>
      <c r="C174" s="5">
        <v>111.5</v>
      </c>
      <c r="D174" s="27"/>
      <c r="E174" s="27"/>
      <c r="F174" s="6">
        <f>L174*$P174/$O174</f>
        <v>268.5</v>
      </c>
      <c r="G174" s="6" t="s">
        <v>2</v>
      </c>
      <c r="H174" s="6">
        <f>F174*0.5</f>
        <v>134.25</v>
      </c>
      <c r="I174" s="6">
        <f>F174*2</f>
        <v>537</v>
      </c>
      <c r="J174" s="6" t="s">
        <v>193</v>
      </c>
      <c r="K174" s="6"/>
      <c r="L174" s="3">
        <v>537</v>
      </c>
      <c r="M174" s="3">
        <f t="shared" si="1"/>
        <v>37</v>
      </c>
      <c r="N174" s="3">
        <f t="shared" si="0"/>
        <v>1037</v>
      </c>
      <c r="O174" s="3">
        <v>4000</v>
      </c>
      <c r="P174" s="6">
        <v>2000</v>
      </c>
      <c r="Q174" s="17" t="s">
        <v>180</v>
      </c>
    </row>
    <row r="175" spans="1:17">
      <c r="A175" s="10" t="s">
        <v>64</v>
      </c>
      <c r="B175" s="17" t="s">
        <v>65</v>
      </c>
      <c r="C175" s="27">
        <v>111.5</v>
      </c>
      <c r="D175" s="27"/>
      <c r="E175" s="27"/>
      <c r="F175" s="17">
        <f>L175*$P175/$O175</f>
        <v>377</v>
      </c>
      <c r="G175" s="6" t="s">
        <v>2</v>
      </c>
      <c r="H175" s="6">
        <f>F175*0.5</f>
        <v>188.5</v>
      </c>
      <c r="I175" s="6">
        <f>F175*2</f>
        <v>754</v>
      </c>
      <c r="J175" s="6" t="s">
        <v>256</v>
      </c>
      <c r="K175" s="6"/>
      <c r="L175" s="3">
        <v>754</v>
      </c>
      <c r="M175" s="3">
        <f t="shared" si="1"/>
        <v>254</v>
      </c>
      <c r="N175" s="3">
        <f t="shared" si="0"/>
        <v>1254</v>
      </c>
      <c r="O175" s="3">
        <v>4000</v>
      </c>
      <c r="P175" s="6">
        <v>2000</v>
      </c>
      <c r="Q175" s="17" t="s">
        <v>180</v>
      </c>
    </row>
    <row r="176" spans="1:17">
      <c r="A176" s="10" t="s">
        <v>61</v>
      </c>
      <c r="B176" s="17" t="s">
        <v>53</v>
      </c>
      <c r="C176" s="5">
        <v>111.8</v>
      </c>
      <c r="D176" s="27"/>
      <c r="E176" s="27"/>
      <c r="F176" s="6">
        <f>L176*$P176/$O176</f>
        <v>1442.6666666666667</v>
      </c>
      <c r="G176" s="6" t="s">
        <v>2</v>
      </c>
      <c r="H176" s="6">
        <f>F176*0.5</f>
        <v>721.33333333333337</v>
      </c>
      <c r="I176" s="6">
        <f>F176*2</f>
        <v>2885.3333333333335</v>
      </c>
      <c r="J176" s="6" t="s">
        <v>193</v>
      </c>
      <c r="K176" s="6"/>
      <c r="L176" s="3">
        <v>2164</v>
      </c>
      <c r="M176" s="3">
        <f t="shared" si="1"/>
        <v>1664</v>
      </c>
      <c r="N176" s="3">
        <f t="shared" si="0"/>
        <v>2664</v>
      </c>
      <c r="O176" s="3">
        <v>3000</v>
      </c>
      <c r="P176" s="6">
        <v>2000</v>
      </c>
      <c r="Q176" s="17" t="s">
        <v>181</v>
      </c>
    </row>
    <row r="177" spans="1:17">
      <c r="A177" s="10" t="s">
        <v>61</v>
      </c>
      <c r="B177" s="17" t="s">
        <v>53</v>
      </c>
      <c r="C177" s="5">
        <v>112.3</v>
      </c>
      <c r="D177" s="27"/>
      <c r="E177" s="27"/>
      <c r="F177" s="6">
        <f>L177*$P177/$O177</f>
        <v>1191.3333333333333</v>
      </c>
      <c r="G177" s="6" t="s">
        <v>2</v>
      </c>
      <c r="H177" s="6">
        <f>F177*0.5</f>
        <v>595.66666666666663</v>
      </c>
      <c r="I177" s="6">
        <f>F177*2</f>
        <v>2382.6666666666665</v>
      </c>
      <c r="J177" s="6" t="s">
        <v>193</v>
      </c>
      <c r="K177" s="6"/>
      <c r="L177" s="3">
        <v>1787</v>
      </c>
      <c r="M177" s="3">
        <f t="shared" si="1"/>
        <v>1287</v>
      </c>
      <c r="N177" s="3">
        <f t="shared" si="0"/>
        <v>2287</v>
      </c>
      <c r="O177" s="3">
        <v>3000</v>
      </c>
      <c r="P177" s="6">
        <v>2000</v>
      </c>
      <c r="Q177" s="17" t="s">
        <v>181</v>
      </c>
    </row>
    <row r="178" spans="1:17">
      <c r="A178" s="10" t="s">
        <v>61</v>
      </c>
      <c r="B178" s="17" t="s">
        <v>53</v>
      </c>
      <c r="C178" s="5">
        <v>112.7</v>
      </c>
      <c r="D178" s="27"/>
      <c r="E178" s="27"/>
      <c r="F178" s="6">
        <f>L178*$P178/$O178</f>
        <v>1348.6666666666667</v>
      </c>
      <c r="G178" s="6" t="s">
        <v>2</v>
      </c>
      <c r="H178" s="6">
        <f>F178*0.5</f>
        <v>674.33333333333337</v>
      </c>
      <c r="I178" s="6">
        <f>F178*2</f>
        <v>2697.3333333333335</v>
      </c>
      <c r="J178" s="6" t="s">
        <v>193</v>
      </c>
      <c r="K178" s="6"/>
      <c r="L178" s="3">
        <v>2023</v>
      </c>
      <c r="M178" s="3">
        <f t="shared" si="1"/>
        <v>1523</v>
      </c>
      <c r="N178" s="3">
        <f t="shared" si="0"/>
        <v>2523</v>
      </c>
      <c r="O178" s="3">
        <v>3000</v>
      </c>
      <c r="P178" s="6">
        <v>2000</v>
      </c>
      <c r="Q178" s="17" t="s">
        <v>181</v>
      </c>
    </row>
    <row r="179" spans="1:17">
      <c r="A179" s="10" t="s">
        <v>25</v>
      </c>
      <c r="B179" s="18" t="s">
        <v>27</v>
      </c>
      <c r="C179" s="28">
        <f>AVERAGE(D179:E179)</f>
        <v>113.4</v>
      </c>
      <c r="D179" s="28">
        <v>126.3</v>
      </c>
      <c r="E179" s="28">
        <v>100.5</v>
      </c>
      <c r="F179" s="6">
        <f>L179*$P179/$O179</f>
        <v>1678</v>
      </c>
      <c r="G179" s="6" t="s">
        <v>2</v>
      </c>
      <c r="H179" s="6">
        <f>F179*0.5</f>
        <v>839</v>
      </c>
      <c r="I179" s="6">
        <f>F179*2</f>
        <v>3356</v>
      </c>
      <c r="J179" s="6" t="s">
        <v>78</v>
      </c>
      <c r="K179" s="6"/>
      <c r="L179" s="3">
        <v>2517</v>
      </c>
      <c r="M179" s="3">
        <f t="shared" si="1"/>
        <v>2017</v>
      </c>
      <c r="N179" s="3">
        <f t="shared" si="0"/>
        <v>3017</v>
      </c>
      <c r="O179" s="3">
        <v>3000</v>
      </c>
      <c r="P179" s="6">
        <v>2000</v>
      </c>
      <c r="Q179" s="17" t="s">
        <v>181</v>
      </c>
    </row>
    <row r="180" spans="1:17">
      <c r="A180" s="10" t="s">
        <v>36</v>
      </c>
      <c r="B180" s="18" t="s">
        <v>38</v>
      </c>
      <c r="C180" s="27">
        <v>113.5</v>
      </c>
      <c r="D180" s="27"/>
      <c r="E180" s="27"/>
      <c r="F180" s="6">
        <f>L180*$P180/$O180</f>
        <v>1295.3333333333333</v>
      </c>
      <c r="G180" s="6" t="s">
        <v>2</v>
      </c>
      <c r="H180" s="6">
        <f>F180*0.5</f>
        <v>647.66666666666663</v>
      </c>
      <c r="I180" s="6">
        <f>F180*2</f>
        <v>2590.6666666666665</v>
      </c>
      <c r="J180" s="6" t="s">
        <v>78</v>
      </c>
      <c r="K180" s="6"/>
      <c r="L180" s="3">
        <v>1943</v>
      </c>
      <c r="M180" s="3">
        <f t="shared" si="1"/>
        <v>1443</v>
      </c>
      <c r="N180" s="3">
        <f t="shared" si="0"/>
        <v>2443</v>
      </c>
      <c r="O180" s="3">
        <v>3000</v>
      </c>
      <c r="P180" s="6">
        <v>2000</v>
      </c>
      <c r="Q180" s="17" t="s">
        <v>181</v>
      </c>
    </row>
    <row r="181" spans="1:17">
      <c r="A181" s="10" t="s">
        <v>64</v>
      </c>
      <c r="B181" s="17" t="s">
        <v>65</v>
      </c>
      <c r="C181" s="27">
        <v>113.5</v>
      </c>
      <c r="D181" s="27"/>
      <c r="E181" s="27"/>
      <c r="F181" s="17">
        <f>L181*$P181/$O181</f>
        <v>1516</v>
      </c>
      <c r="G181" s="6" t="s">
        <v>2</v>
      </c>
      <c r="H181" s="6">
        <f>F181*0.5</f>
        <v>758</v>
      </c>
      <c r="I181" s="6">
        <f>F181*2</f>
        <v>3032</v>
      </c>
      <c r="J181" s="6" t="s">
        <v>256</v>
      </c>
      <c r="K181" s="6"/>
      <c r="L181" s="3">
        <v>2274</v>
      </c>
      <c r="M181" s="3">
        <f t="shared" si="1"/>
        <v>1774</v>
      </c>
      <c r="N181" s="3">
        <f t="shared" si="0"/>
        <v>2774</v>
      </c>
      <c r="O181" s="3">
        <v>3000</v>
      </c>
      <c r="P181" s="6">
        <v>2000</v>
      </c>
      <c r="Q181" s="17" t="s">
        <v>181</v>
      </c>
    </row>
    <row r="182" spans="1:17">
      <c r="A182" s="10" t="s">
        <v>61</v>
      </c>
      <c r="B182" s="17" t="s">
        <v>53</v>
      </c>
      <c r="C182" s="5">
        <v>113.8</v>
      </c>
      <c r="D182" s="27"/>
      <c r="E182" s="27"/>
      <c r="F182" s="6">
        <f>L182*$P182/$O182</f>
        <v>559.5</v>
      </c>
      <c r="G182" s="6" t="s">
        <v>2</v>
      </c>
      <c r="H182" s="6">
        <f>F182*0.5</f>
        <v>279.75</v>
      </c>
      <c r="I182" s="6">
        <f>F182*2</f>
        <v>1119</v>
      </c>
      <c r="J182" s="6" t="s">
        <v>193</v>
      </c>
      <c r="K182" s="6"/>
      <c r="L182" s="3">
        <v>1119</v>
      </c>
      <c r="M182" s="3">
        <f t="shared" si="1"/>
        <v>619</v>
      </c>
      <c r="N182" s="3">
        <f t="shared" si="0"/>
        <v>1619</v>
      </c>
      <c r="O182" s="3">
        <v>4000</v>
      </c>
      <c r="P182" s="6">
        <v>2000</v>
      </c>
      <c r="Q182" s="17" t="s">
        <v>180</v>
      </c>
    </row>
    <row r="183" spans="1:17">
      <c r="A183" s="10" t="s">
        <v>61</v>
      </c>
      <c r="B183" s="17" t="s">
        <v>53</v>
      </c>
      <c r="C183" s="5">
        <v>114.8</v>
      </c>
      <c r="D183" s="27"/>
      <c r="E183" s="27"/>
      <c r="F183" s="6">
        <f>L183*$P183/$O183</f>
        <v>1367.3333333333333</v>
      </c>
      <c r="G183" s="6" t="s">
        <v>2</v>
      </c>
      <c r="H183" s="6">
        <f>F183*0.5</f>
        <v>683.66666666666663</v>
      </c>
      <c r="I183" s="6">
        <f>F183*2</f>
        <v>2734.6666666666665</v>
      </c>
      <c r="J183" s="6" t="s">
        <v>193</v>
      </c>
      <c r="K183" s="6"/>
      <c r="L183" s="3">
        <v>2051</v>
      </c>
      <c r="M183" s="3">
        <f t="shared" si="1"/>
        <v>1551</v>
      </c>
      <c r="N183" s="3">
        <f t="shared" si="0"/>
        <v>2551</v>
      </c>
      <c r="O183" s="3">
        <v>3000</v>
      </c>
      <c r="P183" s="6">
        <v>2000</v>
      </c>
      <c r="Q183" s="17" t="s">
        <v>181</v>
      </c>
    </row>
    <row r="184" spans="1:17">
      <c r="A184" s="10" t="s">
        <v>61</v>
      </c>
      <c r="B184" s="17" t="s">
        <v>53</v>
      </c>
      <c r="C184" s="5">
        <v>114.9</v>
      </c>
      <c r="D184" s="27"/>
      <c r="E184" s="27"/>
      <c r="F184" s="6">
        <f>L184*$P184/$O184</f>
        <v>1776.6666666666667</v>
      </c>
      <c r="G184" s="6" t="s">
        <v>2</v>
      </c>
      <c r="H184" s="6">
        <f>F184*0.5</f>
        <v>888.33333333333337</v>
      </c>
      <c r="I184" s="6">
        <f>F184*2</f>
        <v>3553.3333333333335</v>
      </c>
      <c r="J184" s="6" t="s">
        <v>193</v>
      </c>
      <c r="K184" s="6"/>
      <c r="L184" s="3">
        <v>2665</v>
      </c>
      <c r="M184" s="3">
        <f t="shared" si="1"/>
        <v>2165</v>
      </c>
      <c r="N184" s="3">
        <f t="shared" si="0"/>
        <v>3165</v>
      </c>
      <c r="O184" s="3">
        <v>3000</v>
      </c>
      <c r="P184" s="6">
        <v>2000</v>
      </c>
      <c r="Q184" s="17" t="s">
        <v>181</v>
      </c>
    </row>
    <row r="185" spans="1:17">
      <c r="A185" s="10" t="s">
        <v>61</v>
      </c>
      <c r="B185" s="17" t="s">
        <v>53</v>
      </c>
      <c r="C185" s="5">
        <v>115.3</v>
      </c>
      <c r="D185" s="27"/>
      <c r="E185" s="27"/>
      <c r="F185" s="6">
        <f>L185*$P185/$O185</f>
        <v>1702</v>
      </c>
      <c r="G185" s="6" t="s">
        <v>2</v>
      </c>
      <c r="H185" s="6">
        <f>F185*0.5</f>
        <v>851</v>
      </c>
      <c r="I185" s="6">
        <f>F185*2</f>
        <v>3404</v>
      </c>
      <c r="J185" s="6" t="s">
        <v>193</v>
      </c>
      <c r="K185" s="6"/>
      <c r="L185" s="3">
        <v>2553</v>
      </c>
      <c r="M185" s="3">
        <f t="shared" si="1"/>
        <v>2053</v>
      </c>
      <c r="N185" s="3">
        <f t="shared" si="0"/>
        <v>3053</v>
      </c>
      <c r="O185" s="3">
        <v>3000</v>
      </c>
      <c r="P185" s="6">
        <v>2000</v>
      </c>
      <c r="Q185" s="17" t="s">
        <v>181</v>
      </c>
    </row>
    <row r="186" spans="1:17">
      <c r="A186" s="10" t="s">
        <v>64</v>
      </c>
      <c r="B186" s="17" t="s">
        <v>65</v>
      </c>
      <c r="C186" s="27">
        <v>115.5</v>
      </c>
      <c r="D186" s="27"/>
      <c r="E186" s="27"/>
      <c r="F186" s="17">
        <f>L186*$P186/$O186</f>
        <v>1084.6666666666667</v>
      </c>
      <c r="G186" s="6" t="s">
        <v>2</v>
      </c>
      <c r="H186" s="6">
        <f>F186*0.5</f>
        <v>542.33333333333337</v>
      </c>
      <c r="I186" s="6">
        <f>F186*2</f>
        <v>2169.3333333333335</v>
      </c>
      <c r="J186" s="6" t="s">
        <v>256</v>
      </c>
      <c r="K186" s="6"/>
      <c r="L186" s="3">
        <v>1627</v>
      </c>
      <c r="M186" s="3">
        <f t="shared" si="1"/>
        <v>1127</v>
      </c>
      <c r="N186" s="3">
        <f t="shared" si="0"/>
        <v>2127</v>
      </c>
      <c r="O186" s="3">
        <v>3000</v>
      </c>
      <c r="P186" s="6">
        <v>2000</v>
      </c>
      <c r="Q186" s="17" t="s">
        <v>181</v>
      </c>
    </row>
    <row r="187" spans="1:17">
      <c r="A187" s="10" t="s">
        <v>64</v>
      </c>
      <c r="B187" s="17" t="s">
        <v>65</v>
      </c>
      <c r="C187" s="27">
        <v>116</v>
      </c>
      <c r="D187" s="27"/>
      <c r="E187" s="27"/>
      <c r="F187" s="17">
        <f>L187*$P187/$O187</f>
        <v>1191.3333333333333</v>
      </c>
      <c r="G187" s="6" t="s">
        <v>2</v>
      </c>
      <c r="H187" s="6">
        <f>F187*0.5</f>
        <v>595.66666666666663</v>
      </c>
      <c r="I187" s="6">
        <f>F187*2</f>
        <v>2382.6666666666665</v>
      </c>
      <c r="J187" s="6" t="s">
        <v>256</v>
      </c>
      <c r="K187" s="6"/>
      <c r="L187" s="3">
        <v>1787</v>
      </c>
      <c r="M187" s="3">
        <f t="shared" si="1"/>
        <v>1287</v>
      </c>
      <c r="N187" s="3">
        <f t="shared" si="0"/>
        <v>2287</v>
      </c>
      <c r="O187" s="3">
        <v>3000</v>
      </c>
      <c r="P187" s="6">
        <v>2000</v>
      </c>
      <c r="Q187" s="17" t="s">
        <v>181</v>
      </c>
    </row>
    <row r="188" spans="1:17">
      <c r="A188" s="10" t="s">
        <v>61</v>
      </c>
      <c r="B188" s="17" t="s">
        <v>53</v>
      </c>
      <c r="C188" s="5">
        <v>116.1</v>
      </c>
      <c r="D188" s="27"/>
      <c r="E188" s="27"/>
      <c r="F188" s="6">
        <f>L188*$P188/$O188</f>
        <v>862.66666666666663</v>
      </c>
      <c r="G188" s="6" t="s">
        <v>2</v>
      </c>
      <c r="H188" s="6">
        <f>F188*0.5</f>
        <v>431.33333333333331</v>
      </c>
      <c r="I188" s="6">
        <f>F188*2</f>
        <v>1725.3333333333333</v>
      </c>
      <c r="J188" s="6" t="s">
        <v>193</v>
      </c>
      <c r="K188" s="6"/>
      <c r="L188" s="3">
        <v>1294</v>
      </c>
      <c r="M188" s="3">
        <f t="shared" si="1"/>
        <v>794</v>
      </c>
      <c r="N188" s="3">
        <f t="shared" si="0"/>
        <v>1794</v>
      </c>
      <c r="O188" s="3">
        <v>3000</v>
      </c>
      <c r="P188" s="6">
        <v>2000</v>
      </c>
      <c r="Q188" s="17" t="s">
        <v>181</v>
      </c>
    </row>
    <row r="189" spans="1:17">
      <c r="A189" s="10" t="s">
        <v>64</v>
      </c>
      <c r="B189" s="17" t="s">
        <v>65</v>
      </c>
      <c r="C189" s="27">
        <v>116.5</v>
      </c>
      <c r="D189" s="27"/>
      <c r="E189" s="27"/>
      <c r="F189" s="17">
        <f>L189*$P189/$O189</f>
        <v>661</v>
      </c>
      <c r="G189" s="6" t="s">
        <v>2</v>
      </c>
      <c r="H189" s="6">
        <f>F189*0.5</f>
        <v>330.5</v>
      </c>
      <c r="I189" s="6">
        <f>F189*2</f>
        <v>1322</v>
      </c>
      <c r="J189" s="6" t="s">
        <v>256</v>
      </c>
      <c r="K189" s="6"/>
      <c r="L189" s="3">
        <v>1322</v>
      </c>
      <c r="M189" s="3">
        <f t="shared" si="1"/>
        <v>822</v>
      </c>
      <c r="N189" s="3">
        <f t="shared" si="0"/>
        <v>1822</v>
      </c>
      <c r="O189" s="3">
        <v>4000</v>
      </c>
      <c r="P189" s="6">
        <v>2000</v>
      </c>
      <c r="Q189" s="17" t="s">
        <v>182</v>
      </c>
    </row>
    <row r="190" spans="1:17">
      <c r="A190" s="10" t="s">
        <v>61</v>
      </c>
      <c r="B190" s="17" t="s">
        <v>53</v>
      </c>
      <c r="C190" s="5">
        <v>117.8</v>
      </c>
      <c r="D190" s="27"/>
      <c r="E190" s="27"/>
      <c r="F190" s="6">
        <f>L190*$P190/$O190</f>
        <v>1030</v>
      </c>
      <c r="G190" s="6" t="s">
        <v>2</v>
      </c>
      <c r="H190" s="6">
        <f>F190*0.5</f>
        <v>515</v>
      </c>
      <c r="I190" s="6">
        <f>F190*2</f>
        <v>2060</v>
      </c>
      <c r="J190" s="6" t="s">
        <v>193</v>
      </c>
      <c r="K190" s="6"/>
      <c r="L190" s="3">
        <v>1545</v>
      </c>
      <c r="M190" s="3">
        <f t="shared" si="1"/>
        <v>1045</v>
      </c>
      <c r="N190" s="3">
        <f t="shared" si="0"/>
        <v>2045</v>
      </c>
      <c r="O190" s="3">
        <v>3000</v>
      </c>
      <c r="P190" s="6">
        <v>2000</v>
      </c>
      <c r="Q190" s="17" t="s">
        <v>181</v>
      </c>
    </row>
    <row r="191" spans="1:17">
      <c r="A191" s="10" t="s">
        <v>64</v>
      </c>
      <c r="B191" s="17" t="s">
        <v>65</v>
      </c>
      <c r="C191" s="27">
        <v>119.4</v>
      </c>
      <c r="D191" s="27"/>
      <c r="E191" s="27"/>
      <c r="F191" s="17">
        <f>L191*$P191/$O191</f>
        <v>513</v>
      </c>
      <c r="G191" s="6" t="s">
        <v>2</v>
      </c>
      <c r="H191" s="6">
        <f>F191*0.5</f>
        <v>256.5</v>
      </c>
      <c r="I191" s="6">
        <f>F191*2</f>
        <v>1026</v>
      </c>
      <c r="J191" s="6" t="s">
        <v>256</v>
      </c>
      <c r="K191" s="6"/>
      <c r="L191" s="3">
        <v>1026</v>
      </c>
      <c r="M191" s="3">
        <f t="shared" si="1"/>
        <v>526</v>
      </c>
      <c r="N191" s="3">
        <f t="shared" si="0"/>
        <v>1526</v>
      </c>
      <c r="O191" s="3">
        <v>4000</v>
      </c>
      <c r="P191" s="6">
        <v>2000</v>
      </c>
      <c r="Q191" s="17" t="s">
        <v>183</v>
      </c>
    </row>
    <row r="192" spans="1:17">
      <c r="A192" s="13" t="s">
        <v>120</v>
      </c>
      <c r="B192" s="24" t="s">
        <v>128</v>
      </c>
      <c r="C192" s="28">
        <f>AVERAGE(D192:E192)</f>
        <v>119.65</v>
      </c>
      <c r="D192" s="27">
        <v>126.3</v>
      </c>
      <c r="E192" s="28">
        <v>113</v>
      </c>
      <c r="F192" s="6">
        <f>L192*$P192/$O192</f>
        <v>622.5</v>
      </c>
      <c r="G192" s="6" t="s">
        <v>2</v>
      </c>
      <c r="H192" s="6">
        <f>F192*0.5</f>
        <v>311.25</v>
      </c>
      <c r="I192" s="6">
        <f>F192*2</f>
        <v>1245</v>
      </c>
      <c r="J192" s="6" t="s">
        <v>78</v>
      </c>
      <c r="K192" s="6"/>
      <c r="L192" s="3">
        <v>1245</v>
      </c>
      <c r="M192" s="3">
        <f t="shared" si="1"/>
        <v>745</v>
      </c>
      <c r="N192" s="3">
        <f t="shared" si="0"/>
        <v>1745</v>
      </c>
      <c r="O192" s="3">
        <v>4000</v>
      </c>
      <c r="P192" s="6">
        <v>2000</v>
      </c>
      <c r="Q192" s="17" t="s">
        <v>182</v>
      </c>
    </row>
    <row r="193" spans="1:17">
      <c r="A193" s="13" t="s">
        <v>120</v>
      </c>
      <c r="B193" s="24" t="s">
        <v>128</v>
      </c>
      <c r="C193" s="28">
        <f>AVERAGE(D193:E193)</f>
        <v>119.65</v>
      </c>
      <c r="D193" s="27">
        <v>126.3</v>
      </c>
      <c r="E193" s="28">
        <v>113</v>
      </c>
      <c r="F193" s="6">
        <f>L193*$P193/$O193</f>
        <v>1556.6666666666667</v>
      </c>
      <c r="G193" s="6" t="s">
        <v>2</v>
      </c>
      <c r="H193" s="6">
        <f>F193*0.5</f>
        <v>778.33333333333337</v>
      </c>
      <c r="I193" s="6">
        <f>F193*2</f>
        <v>3113.3333333333335</v>
      </c>
      <c r="J193" s="6" t="s">
        <v>78</v>
      </c>
      <c r="K193" s="6"/>
      <c r="L193" s="3">
        <v>2335</v>
      </c>
      <c r="M193" s="3">
        <f t="shared" si="1"/>
        <v>1835</v>
      </c>
      <c r="N193" s="3">
        <f t="shared" si="0"/>
        <v>2835</v>
      </c>
      <c r="O193" s="3">
        <v>3000</v>
      </c>
      <c r="P193" s="6">
        <v>2000</v>
      </c>
      <c r="Q193" s="17" t="s">
        <v>181</v>
      </c>
    </row>
    <row r="194" spans="1:17">
      <c r="A194" s="13" t="s">
        <v>120</v>
      </c>
      <c r="B194" s="24" t="s">
        <v>128</v>
      </c>
      <c r="C194" s="28">
        <f>AVERAGE(D194:E194)</f>
        <v>119.65</v>
      </c>
      <c r="D194" s="27">
        <v>126.3</v>
      </c>
      <c r="E194" s="28">
        <v>113</v>
      </c>
      <c r="F194" s="6">
        <f>L194*$P194/$O194</f>
        <v>1202</v>
      </c>
      <c r="G194" s="6" t="s">
        <v>2</v>
      </c>
      <c r="H194" s="6">
        <f>F194*0.5</f>
        <v>601</v>
      </c>
      <c r="I194" s="6">
        <f>F194*2</f>
        <v>2404</v>
      </c>
      <c r="J194" s="6" t="s">
        <v>78</v>
      </c>
      <c r="K194" s="6"/>
      <c r="L194" s="3">
        <v>2404</v>
      </c>
      <c r="M194" s="3">
        <f t="shared" si="1"/>
        <v>1904</v>
      </c>
      <c r="N194" s="3">
        <f t="shared" si="0"/>
        <v>2904</v>
      </c>
      <c r="O194" s="3">
        <v>4000</v>
      </c>
      <c r="P194" s="6">
        <v>2000</v>
      </c>
      <c r="Q194" s="17" t="s">
        <v>182</v>
      </c>
    </row>
    <row r="195" spans="1:17">
      <c r="A195" s="13" t="s">
        <v>120</v>
      </c>
      <c r="B195" s="24" t="s">
        <v>128</v>
      </c>
      <c r="C195" s="28">
        <f>AVERAGE(D195:E195)</f>
        <v>119.65</v>
      </c>
      <c r="D195" s="27">
        <v>126.3</v>
      </c>
      <c r="E195" s="28">
        <v>113</v>
      </c>
      <c r="F195" s="6">
        <f>L195*$P195/$O195</f>
        <v>1966.6666666666667</v>
      </c>
      <c r="G195" s="6" t="s">
        <v>2</v>
      </c>
      <c r="H195" s="6">
        <f>F195*0.5</f>
        <v>983.33333333333337</v>
      </c>
      <c r="I195" s="6">
        <f>F195*2</f>
        <v>3933.3333333333335</v>
      </c>
      <c r="J195" s="6" t="s">
        <v>78</v>
      </c>
      <c r="K195" s="6"/>
      <c r="L195" s="3">
        <v>2950</v>
      </c>
      <c r="M195" s="3">
        <f t="shared" si="1"/>
        <v>2450</v>
      </c>
      <c r="N195" s="3">
        <f t="shared" si="0"/>
        <v>3450</v>
      </c>
      <c r="O195" s="3">
        <v>3000</v>
      </c>
      <c r="P195" s="6">
        <v>2000</v>
      </c>
      <c r="Q195" s="17" t="s">
        <v>181</v>
      </c>
    </row>
    <row r="196" spans="1:17">
      <c r="A196" s="10" t="s">
        <v>61</v>
      </c>
      <c r="B196" s="17" t="s">
        <v>53</v>
      </c>
      <c r="C196" s="5">
        <v>123.3</v>
      </c>
      <c r="D196" s="27"/>
      <c r="E196" s="27"/>
      <c r="F196" s="6">
        <f>L196*$P196/$O196</f>
        <v>1782.6666666666667</v>
      </c>
      <c r="G196" s="6" t="s">
        <v>2</v>
      </c>
      <c r="H196" s="6">
        <f>F196*0.5</f>
        <v>891.33333333333337</v>
      </c>
      <c r="I196" s="6">
        <f>F196*2</f>
        <v>3565.3333333333335</v>
      </c>
      <c r="J196" s="6" t="s">
        <v>193</v>
      </c>
      <c r="K196" s="6"/>
      <c r="L196" s="3">
        <v>2674</v>
      </c>
      <c r="M196" s="3">
        <f t="shared" si="1"/>
        <v>2174</v>
      </c>
      <c r="N196" s="3">
        <f t="shared" si="0"/>
        <v>3174</v>
      </c>
      <c r="O196" s="3">
        <v>3000</v>
      </c>
      <c r="P196" s="6">
        <v>2000</v>
      </c>
      <c r="Q196" s="17" t="s">
        <v>181</v>
      </c>
    </row>
    <row r="197" spans="1:17">
      <c r="A197" s="10" t="s">
        <v>61</v>
      </c>
      <c r="B197" s="17" t="s">
        <v>53</v>
      </c>
      <c r="C197" s="5">
        <v>123.6</v>
      </c>
      <c r="D197" s="27"/>
      <c r="E197" s="27"/>
      <c r="F197" s="6">
        <f>L197*$P197/$O197</f>
        <v>879.5</v>
      </c>
      <c r="G197" s="6" t="s">
        <v>2</v>
      </c>
      <c r="H197" s="6">
        <f>F197*0.5</f>
        <v>439.75</v>
      </c>
      <c r="I197" s="6">
        <f>F197*2</f>
        <v>1759</v>
      </c>
      <c r="J197" s="6" t="s">
        <v>193</v>
      </c>
      <c r="K197" s="6"/>
      <c r="L197" s="3">
        <v>1759</v>
      </c>
      <c r="M197" s="3">
        <f t="shared" si="1"/>
        <v>1259</v>
      </c>
      <c r="N197" s="3">
        <f t="shared" si="0"/>
        <v>2259</v>
      </c>
      <c r="O197" s="3">
        <v>4000</v>
      </c>
      <c r="P197" s="6">
        <v>2000</v>
      </c>
      <c r="Q197" s="17" t="s">
        <v>182</v>
      </c>
    </row>
    <row r="198" spans="1:17">
      <c r="A198" s="10" t="s">
        <v>61</v>
      </c>
      <c r="B198" s="17" t="s">
        <v>53</v>
      </c>
      <c r="C198" s="5">
        <v>123.7</v>
      </c>
      <c r="D198" s="27"/>
      <c r="E198" s="27"/>
      <c r="F198" s="6">
        <f>L198*$P198/$O198</f>
        <v>843</v>
      </c>
      <c r="G198" s="6" t="s">
        <v>2</v>
      </c>
      <c r="H198" s="6">
        <f>F198*0.5</f>
        <v>421.5</v>
      </c>
      <c r="I198" s="6">
        <f>F198*2</f>
        <v>1686</v>
      </c>
      <c r="J198" s="6" t="s">
        <v>193</v>
      </c>
      <c r="K198" s="6"/>
      <c r="L198" s="3">
        <v>1686</v>
      </c>
      <c r="M198" s="3">
        <f t="shared" si="1"/>
        <v>1186</v>
      </c>
      <c r="N198" s="3">
        <f t="shared" si="0"/>
        <v>2186</v>
      </c>
      <c r="O198" s="3">
        <v>4000</v>
      </c>
      <c r="P198" s="6">
        <v>2000</v>
      </c>
      <c r="Q198" s="17" t="s">
        <v>182</v>
      </c>
    </row>
    <row r="199" spans="1:17">
      <c r="A199" s="10" t="s">
        <v>61</v>
      </c>
      <c r="B199" s="17" t="s">
        <v>53</v>
      </c>
      <c r="C199" s="5">
        <v>123.8</v>
      </c>
      <c r="D199" s="27"/>
      <c r="E199" s="27"/>
      <c r="F199" s="6">
        <f>L199*$P199/$O199</f>
        <v>1618.5</v>
      </c>
      <c r="G199" s="6" t="s">
        <v>2</v>
      </c>
      <c r="H199" s="6">
        <f>F199*0.5</f>
        <v>809.25</v>
      </c>
      <c r="I199" s="6">
        <f>F199*2</f>
        <v>3237</v>
      </c>
      <c r="J199" s="6" t="s">
        <v>193</v>
      </c>
      <c r="K199" s="6"/>
      <c r="L199" s="3">
        <v>3237</v>
      </c>
      <c r="M199" s="3">
        <f t="shared" si="1"/>
        <v>2737</v>
      </c>
      <c r="N199" s="3">
        <f t="shared" si="0"/>
        <v>3737</v>
      </c>
      <c r="O199" s="3">
        <v>4000</v>
      </c>
      <c r="P199" s="6">
        <v>2000</v>
      </c>
      <c r="Q199" s="17" t="s">
        <v>182</v>
      </c>
    </row>
    <row r="200" spans="1:17">
      <c r="A200" s="10" t="s">
        <v>61</v>
      </c>
      <c r="B200" s="17" t="s">
        <v>53</v>
      </c>
      <c r="C200" s="5">
        <v>126.4</v>
      </c>
      <c r="D200" s="27"/>
      <c r="E200" s="27"/>
      <c r="F200" s="6">
        <f>L200*$P200/$O200</f>
        <v>1213.5</v>
      </c>
      <c r="G200" s="6" t="s">
        <v>2</v>
      </c>
      <c r="H200" s="6">
        <f>F200*0.5</f>
        <v>606.75</v>
      </c>
      <c r="I200" s="6">
        <f>F200*2</f>
        <v>2427</v>
      </c>
      <c r="J200" s="6" t="s">
        <v>193</v>
      </c>
      <c r="K200" s="6"/>
      <c r="L200" s="3">
        <v>2427</v>
      </c>
      <c r="M200" s="3">
        <f t="shared" si="1"/>
        <v>1927</v>
      </c>
      <c r="N200" s="3">
        <f t="shared" si="0"/>
        <v>2927</v>
      </c>
      <c r="O200" s="3">
        <v>4000</v>
      </c>
      <c r="P200" s="6">
        <v>2000</v>
      </c>
      <c r="Q200" s="17" t="s">
        <v>182</v>
      </c>
    </row>
    <row r="201" spans="1:17">
      <c r="A201" s="10" t="s">
        <v>61</v>
      </c>
      <c r="B201" s="17" t="s">
        <v>53</v>
      </c>
      <c r="C201" s="5">
        <v>126.6</v>
      </c>
      <c r="D201" s="27"/>
      <c r="E201" s="27"/>
      <c r="F201" s="6">
        <f>L201*$P201/$O201</f>
        <v>613.5</v>
      </c>
      <c r="G201" s="6" t="s">
        <v>2</v>
      </c>
      <c r="H201" s="6">
        <f>F201*0.5</f>
        <v>306.75</v>
      </c>
      <c r="I201" s="6">
        <f>F201*2</f>
        <v>1227</v>
      </c>
      <c r="J201" s="6" t="s">
        <v>193</v>
      </c>
      <c r="K201" s="6"/>
      <c r="L201" s="3">
        <v>1227</v>
      </c>
      <c r="M201" s="3">
        <f t="shared" si="1"/>
        <v>727</v>
      </c>
      <c r="N201" s="3">
        <f t="shared" si="0"/>
        <v>1727</v>
      </c>
      <c r="O201" s="3">
        <v>4000</v>
      </c>
      <c r="P201" s="6">
        <v>2000</v>
      </c>
      <c r="Q201" s="17" t="s">
        <v>182</v>
      </c>
    </row>
    <row r="202" spans="1:17">
      <c r="A202" s="10" t="s">
        <v>61</v>
      </c>
      <c r="B202" s="17" t="s">
        <v>53</v>
      </c>
      <c r="C202" s="5">
        <v>127.5</v>
      </c>
      <c r="D202" s="27"/>
      <c r="E202" s="27"/>
      <c r="F202" s="6">
        <f>L202*$P202/$O202</f>
        <v>1267</v>
      </c>
      <c r="G202" s="6" t="s">
        <v>2</v>
      </c>
      <c r="H202" s="6">
        <f>F202*0.5</f>
        <v>633.5</v>
      </c>
      <c r="I202" s="6">
        <f>F202*2</f>
        <v>2534</v>
      </c>
      <c r="J202" s="6" t="s">
        <v>193</v>
      </c>
      <c r="K202" s="6"/>
      <c r="L202" s="3">
        <v>2534</v>
      </c>
      <c r="M202" s="3">
        <f t="shared" si="1"/>
        <v>2034</v>
      </c>
      <c r="N202" s="3">
        <f t="shared" si="0"/>
        <v>3034</v>
      </c>
      <c r="O202" s="3">
        <v>4000</v>
      </c>
      <c r="P202" s="6">
        <v>2000</v>
      </c>
      <c r="Q202" s="17" t="s">
        <v>182</v>
      </c>
    </row>
    <row r="203" spans="1:17">
      <c r="A203" s="10" t="s">
        <v>32</v>
      </c>
      <c r="B203" s="18" t="s">
        <v>33</v>
      </c>
      <c r="C203" s="28">
        <f>AVERAGE(D203:E203)</f>
        <v>127.85</v>
      </c>
      <c r="D203" s="27">
        <v>129.4</v>
      </c>
      <c r="E203" s="27">
        <v>126.3</v>
      </c>
      <c r="F203" s="6">
        <f>L203*$P203/$O203</f>
        <v>773</v>
      </c>
      <c r="G203" s="6" t="s">
        <v>2</v>
      </c>
      <c r="H203" s="6">
        <f>M203*$P203/$O203</f>
        <v>523</v>
      </c>
      <c r="I203" s="6">
        <f>N203*$P203/$O203</f>
        <v>1023</v>
      </c>
      <c r="J203" s="7" t="s">
        <v>184</v>
      </c>
      <c r="K203" s="6"/>
      <c r="L203" s="3">
        <v>1546</v>
      </c>
      <c r="M203" s="3">
        <f t="shared" si="1"/>
        <v>1046</v>
      </c>
      <c r="N203" s="3">
        <f t="shared" si="0"/>
        <v>2046</v>
      </c>
      <c r="O203" s="3">
        <v>4000</v>
      </c>
      <c r="P203" s="6">
        <v>2000</v>
      </c>
      <c r="Q203" s="17" t="s">
        <v>182</v>
      </c>
    </row>
    <row r="204" spans="1:17">
      <c r="A204" s="10" t="s">
        <v>61</v>
      </c>
      <c r="B204" s="17" t="s">
        <v>53</v>
      </c>
      <c r="C204" s="5">
        <v>129.80000000000001</v>
      </c>
      <c r="D204" s="27"/>
      <c r="E204" s="27"/>
      <c r="F204" s="6">
        <f>L204*$P204/$O204</f>
        <v>341</v>
      </c>
      <c r="G204" s="6" t="s">
        <v>2</v>
      </c>
      <c r="H204" s="6">
        <f>F204*0.5</f>
        <v>170.5</v>
      </c>
      <c r="I204" s="6">
        <f>F204*2</f>
        <v>682</v>
      </c>
      <c r="J204" s="6" t="s">
        <v>193</v>
      </c>
      <c r="K204" s="6"/>
      <c r="L204" s="3">
        <v>682</v>
      </c>
      <c r="M204" s="3">
        <f t="shared" si="1"/>
        <v>182</v>
      </c>
      <c r="N204" s="3">
        <f t="shared" si="0"/>
        <v>1182</v>
      </c>
      <c r="O204" s="3">
        <v>4000</v>
      </c>
      <c r="P204" s="6">
        <v>2000</v>
      </c>
      <c r="Q204" s="17" t="s">
        <v>182</v>
      </c>
    </row>
    <row r="205" spans="1:17">
      <c r="A205" s="9" t="s">
        <v>137</v>
      </c>
      <c r="B205" s="17" t="s">
        <v>138</v>
      </c>
      <c r="C205" s="28">
        <f>AVERAGE(D205:E205)</f>
        <v>130.1</v>
      </c>
      <c r="D205" s="28">
        <v>133.9</v>
      </c>
      <c r="E205" s="28">
        <v>126.3</v>
      </c>
      <c r="F205" s="6">
        <f>L205*$P205/$O205</f>
        <v>961</v>
      </c>
      <c r="G205" s="6" t="s">
        <v>2</v>
      </c>
      <c r="H205" s="6">
        <f>F205*0.5</f>
        <v>480.5</v>
      </c>
      <c r="I205" s="6">
        <f>F205*2</f>
        <v>1922</v>
      </c>
      <c r="J205" s="6" t="s">
        <v>78</v>
      </c>
      <c r="K205" s="6"/>
      <c r="L205" s="3">
        <v>1922</v>
      </c>
      <c r="M205" s="3">
        <f t="shared" si="1"/>
        <v>1422</v>
      </c>
      <c r="N205" s="3">
        <f t="shared" si="0"/>
        <v>2422</v>
      </c>
      <c r="O205" s="3">
        <v>4000</v>
      </c>
      <c r="P205" s="6">
        <v>2000</v>
      </c>
      <c r="Q205" s="17" t="s">
        <v>182</v>
      </c>
    </row>
    <row r="206" spans="1:17">
      <c r="A206" s="11" t="s">
        <v>153</v>
      </c>
      <c r="B206" s="17" t="s">
        <v>154</v>
      </c>
      <c r="C206" s="28">
        <f>AVERAGE(D206:E206)</f>
        <v>130.10000000000002</v>
      </c>
      <c r="D206" s="27">
        <v>130.80000000000001</v>
      </c>
      <c r="E206" s="27">
        <v>129.4</v>
      </c>
      <c r="F206" s="6">
        <f>L206*$P206/$O206</f>
        <v>1171</v>
      </c>
      <c r="G206" s="6" t="s">
        <v>2</v>
      </c>
      <c r="H206" s="6">
        <f>F206*0.5</f>
        <v>585.5</v>
      </c>
      <c r="I206" s="6">
        <f>F206*2</f>
        <v>2342</v>
      </c>
      <c r="J206" s="6" t="s">
        <v>78</v>
      </c>
      <c r="K206" s="6"/>
      <c r="L206" s="3">
        <v>2342</v>
      </c>
      <c r="M206" s="3">
        <f t="shared" si="1"/>
        <v>1842</v>
      </c>
      <c r="N206" s="3">
        <f t="shared" si="0"/>
        <v>2842</v>
      </c>
      <c r="O206" s="3">
        <v>4000</v>
      </c>
      <c r="P206" s="6">
        <v>2000</v>
      </c>
      <c r="Q206" s="17" t="s">
        <v>182</v>
      </c>
    </row>
    <row r="207" spans="1:17">
      <c r="A207" s="10" t="s">
        <v>61</v>
      </c>
      <c r="B207" s="17" t="s">
        <v>53</v>
      </c>
      <c r="C207" s="5">
        <v>130.19999999999999</v>
      </c>
      <c r="D207" s="27"/>
      <c r="E207" s="27"/>
      <c r="F207" s="6">
        <f>L207*$P207/$O207</f>
        <v>273.335226443929</v>
      </c>
      <c r="G207" s="6" t="s">
        <v>2</v>
      </c>
      <c r="H207" s="6">
        <f>F207*0.5</f>
        <v>136.6676132219645</v>
      </c>
      <c r="I207" s="6">
        <f>F207*2</f>
        <v>546.670452887858</v>
      </c>
      <c r="J207" s="6" t="s">
        <v>193</v>
      </c>
      <c r="K207" s="6"/>
      <c r="L207" s="17">
        <v>433</v>
      </c>
      <c r="M207" s="17">
        <v>305</v>
      </c>
      <c r="N207" s="17">
        <v>561</v>
      </c>
      <c r="O207" s="6">
        <v>2967</v>
      </c>
      <c r="P207" s="6">
        <v>1872.9459973652135</v>
      </c>
      <c r="Q207" s="17" t="s">
        <v>185</v>
      </c>
    </row>
    <row r="208" spans="1:17">
      <c r="A208" s="10" t="s">
        <v>61</v>
      </c>
      <c r="B208" s="17" t="s">
        <v>53</v>
      </c>
      <c r="C208" s="5">
        <v>130.80000000000001</v>
      </c>
      <c r="D208" s="27"/>
      <c r="E208" s="27"/>
      <c r="F208" s="6">
        <f>L208*$P208/$O208</f>
        <v>369.90090588449556</v>
      </c>
      <c r="G208" s="6" t="s">
        <v>2</v>
      </c>
      <c r="H208" s="6">
        <f>F208*0.5</f>
        <v>184.95045294224778</v>
      </c>
      <c r="I208" s="6">
        <f>F208*2</f>
        <v>739.80181176899112</v>
      </c>
      <c r="J208" s="6" t="s">
        <v>193</v>
      </c>
      <c r="K208" s="6"/>
      <c r="L208" s="17">
        <v>519</v>
      </c>
      <c r="M208" s="17">
        <v>262</v>
      </c>
      <c r="N208" s="17">
        <v>776</v>
      </c>
      <c r="O208" s="17">
        <v>1728</v>
      </c>
      <c r="P208" s="6">
        <v>1231.5775825980893</v>
      </c>
      <c r="Q208" s="17" t="s">
        <v>185</v>
      </c>
    </row>
    <row r="209" spans="1:17">
      <c r="A209" s="10" t="s">
        <v>61</v>
      </c>
      <c r="B209" s="17" t="s">
        <v>53</v>
      </c>
      <c r="C209" s="5">
        <v>131.30000000000001</v>
      </c>
      <c r="D209" s="27"/>
      <c r="E209" s="27"/>
      <c r="F209" s="6">
        <f>L209*$P209/$O209</f>
        <v>189.80030985598745</v>
      </c>
      <c r="G209" s="6" t="s">
        <v>2</v>
      </c>
      <c r="H209" s="6">
        <f>F209*0.5</f>
        <v>94.900154927993725</v>
      </c>
      <c r="I209" s="6">
        <f>F209*2</f>
        <v>379.6006197119749</v>
      </c>
      <c r="J209" s="6" t="s">
        <v>193</v>
      </c>
      <c r="K209" s="6"/>
      <c r="L209" s="17">
        <v>310</v>
      </c>
      <c r="M209" s="17">
        <v>233</v>
      </c>
      <c r="N209" s="17">
        <v>387</v>
      </c>
      <c r="O209" s="17">
        <v>3564</v>
      </c>
      <c r="P209" s="6">
        <v>2182.0913042798043</v>
      </c>
      <c r="Q209" s="17" t="s">
        <v>185</v>
      </c>
    </row>
    <row r="210" spans="1:17">
      <c r="A210" s="10" t="s">
        <v>61</v>
      </c>
      <c r="B210" s="17" t="s">
        <v>53</v>
      </c>
      <c r="C210" s="5">
        <v>132</v>
      </c>
      <c r="D210" s="27"/>
      <c r="E210" s="27"/>
      <c r="F210" s="6">
        <f>L210*$P210/$O210</f>
        <v>132.0204190489147</v>
      </c>
      <c r="G210" s="6" t="s">
        <v>2</v>
      </c>
      <c r="H210" s="6">
        <f>F210*0.5</f>
        <v>66.010209524457352</v>
      </c>
      <c r="I210" s="6">
        <f>F210*2</f>
        <v>264.04083809782941</v>
      </c>
      <c r="J210" s="6" t="s">
        <v>193</v>
      </c>
      <c r="K210" s="6"/>
      <c r="L210" s="17">
        <v>203</v>
      </c>
      <c r="M210" s="17">
        <v>133</v>
      </c>
      <c r="N210" s="17">
        <v>273</v>
      </c>
      <c r="O210" s="17">
        <v>2541</v>
      </c>
      <c r="P210" s="6">
        <v>1652.531452232967</v>
      </c>
      <c r="Q210" s="17" t="s">
        <v>185</v>
      </c>
    </row>
    <row r="211" spans="1:17">
      <c r="A211" s="9" t="s">
        <v>139</v>
      </c>
      <c r="B211" s="23" t="s">
        <v>140</v>
      </c>
      <c r="C211" s="28">
        <f>AVERAGE(D211:E211)</f>
        <v>134.25</v>
      </c>
      <c r="D211" s="28">
        <v>136.5</v>
      </c>
      <c r="E211" s="28">
        <v>132</v>
      </c>
      <c r="F211" s="6">
        <f>L211*$P211/$O211</f>
        <v>73.829300203520262</v>
      </c>
      <c r="G211" s="6" t="s">
        <v>2</v>
      </c>
      <c r="H211" s="6">
        <f>F211*0.5</f>
        <v>36.914650101760131</v>
      </c>
      <c r="I211" s="6">
        <f>F211*2</f>
        <v>147.65860040704052</v>
      </c>
      <c r="J211" s="6" t="s">
        <v>78</v>
      </c>
      <c r="K211" s="6"/>
      <c r="L211" s="17">
        <v>116</v>
      </c>
      <c r="M211" s="17">
        <v>79</v>
      </c>
      <c r="N211" s="17">
        <v>153</v>
      </c>
      <c r="O211" s="17">
        <v>2837</v>
      </c>
      <c r="P211" s="6">
        <v>1805.635557563681</v>
      </c>
      <c r="Q211" s="17" t="s">
        <v>185</v>
      </c>
    </row>
    <row r="212" spans="1:17">
      <c r="A212" s="10" t="s">
        <v>50</v>
      </c>
      <c r="B212" s="17" t="s">
        <v>51</v>
      </c>
      <c r="C212" s="27">
        <f>AVERAGE(D212:E212)</f>
        <v>135.65</v>
      </c>
      <c r="D212" s="27">
        <v>145</v>
      </c>
      <c r="E212" s="27">
        <v>126.3</v>
      </c>
      <c r="F212" s="18">
        <f>L212*$P212/$O212</f>
        <v>181.87948340414997</v>
      </c>
      <c r="G212" s="6" t="s">
        <v>2</v>
      </c>
      <c r="H212" s="6">
        <f>F212*0.5</f>
        <v>90.939741702074983</v>
      </c>
      <c r="I212" s="6">
        <f>F212*2</f>
        <v>363.75896680829993</v>
      </c>
      <c r="J212" s="6" t="s">
        <v>78</v>
      </c>
      <c r="K212" s="6"/>
      <c r="L212" s="17">
        <v>291</v>
      </c>
      <c r="M212" s="17">
        <v>209</v>
      </c>
      <c r="N212" s="17">
        <v>373</v>
      </c>
      <c r="O212" s="17">
        <v>3138</v>
      </c>
      <c r="P212" s="6">
        <v>1961.2983468117613</v>
      </c>
      <c r="Q212" s="17" t="s">
        <v>185</v>
      </c>
    </row>
    <row r="213" spans="1:17">
      <c r="A213" s="10" t="s">
        <v>32</v>
      </c>
      <c r="B213" s="18" t="s">
        <v>34</v>
      </c>
      <c r="C213" s="28">
        <f>AVERAGE(D213:E213)</f>
        <v>137.9</v>
      </c>
      <c r="D213" s="27">
        <v>139.4</v>
      </c>
      <c r="E213" s="27">
        <v>136.4</v>
      </c>
      <c r="F213" s="6">
        <f>L213*$P213/$O213</f>
        <v>472.99865423075255</v>
      </c>
      <c r="G213" s="6" t="s">
        <v>2</v>
      </c>
      <c r="H213" s="6">
        <f>M213*$P213/$O213</f>
        <v>425.25465861591135</v>
      </c>
      <c r="I213" s="6">
        <f>N213*$P213/$O213</f>
        <v>520.74264984559375</v>
      </c>
      <c r="J213" s="7" t="s">
        <v>184</v>
      </c>
      <c r="K213" s="6"/>
      <c r="L213" s="17">
        <v>852</v>
      </c>
      <c r="M213" s="17">
        <v>766</v>
      </c>
      <c r="N213" s="17">
        <v>938</v>
      </c>
      <c r="O213" s="17">
        <v>8981</v>
      </c>
      <c r="P213" s="6">
        <v>4985.9165653126629</v>
      </c>
      <c r="Q213" s="17" t="s">
        <v>185</v>
      </c>
    </row>
    <row r="214" spans="1:17">
      <c r="A214" s="9" t="s">
        <v>81</v>
      </c>
      <c r="B214" s="23" t="s">
        <v>82</v>
      </c>
      <c r="C214" s="27">
        <f>AVERAGE(D214:E214)</f>
        <v>142.19999999999999</v>
      </c>
      <c r="D214" s="28">
        <v>145</v>
      </c>
      <c r="E214" s="28">
        <v>139.4</v>
      </c>
      <c r="F214" s="6">
        <f>L214*$P214/$O214</f>
        <v>333.28072768294089</v>
      </c>
      <c r="G214" s="6" t="s">
        <v>2</v>
      </c>
      <c r="H214" s="6">
        <f>F214*0.5</f>
        <v>166.64036384147045</v>
      </c>
      <c r="I214" s="6">
        <f>F214*2</f>
        <v>666.56145536588178</v>
      </c>
      <c r="J214" s="6" t="s">
        <v>78</v>
      </c>
      <c r="K214" s="6"/>
      <c r="L214" s="17">
        <v>579</v>
      </c>
      <c r="M214" s="17">
        <v>489</v>
      </c>
      <c r="N214" s="17">
        <v>669</v>
      </c>
      <c r="O214" s="17">
        <v>5813</v>
      </c>
      <c r="P214" s="6">
        <v>3346.0464076354674</v>
      </c>
      <c r="Q214" s="17" t="s">
        <v>185</v>
      </c>
    </row>
    <row r="215" spans="1:17">
      <c r="A215" s="10" t="s">
        <v>32</v>
      </c>
      <c r="B215" s="18" t="s">
        <v>35</v>
      </c>
      <c r="C215" s="28">
        <f>AVERAGE(D215:E215)</f>
        <v>143.5</v>
      </c>
      <c r="D215" s="27">
        <v>145</v>
      </c>
      <c r="E215" s="27">
        <v>142</v>
      </c>
      <c r="F215" s="6">
        <f>L215*$P215/$O215</f>
        <v>288.69964915844139</v>
      </c>
      <c r="G215" s="6" t="s">
        <v>2</v>
      </c>
      <c r="H215" s="6">
        <f>M215*$P215/$O215</f>
        <v>231.19684429526106</v>
      </c>
      <c r="I215" s="6">
        <f>N215*$P215/$O215</f>
        <v>346.20245402162169</v>
      </c>
      <c r="J215" s="7" t="s">
        <v>184</v>
      </c>
      <c r="K215" s="6"/>
      <c r="L215" s="17">
        <v>487</v>
      </c>
      <c r="M215" s="17">
        <v>390</v>
      </c>
      <c r="N215" s="17">
        <v>584</v>
      </c>
      <c r="O215" s="17">
        <v>4487</v>
      </c>
      <c r="P215" s="6">
        <v>2659.949334238042</v>
      </c>
      <c r="Q215" s="17" t="s">
        <v>185</v>
      </c>
    </row>
    <row r="216" spans="1:17">
      <c r="A216" s="13" t="s">
        <v>120</v>
      </c>
      <c r="B216" s="24" t="s">
        <v>129</v>
      </c>
      <c r="C216" s="28">
        <f>AVERAGE(D216:E216)</f>
        <v>154.69999999999999</v>
      </c>
      <c r="D216" s="28">
        <v>157.30000000000001</v>
      </c>
      <c r="E216" s="28">
        <v>152.1</v>
      </c>
      <c r="F216" s="6">
        <f>L216*$P216/$O216</f>
        <v>1307.2</v>
      </c>
      <c r="G216" s="6" t="s">
        <v>2</v>
      </c>
      <c r="H216" s="6">
        <f>F216*0.5</f>
        <v>653.6</v>
      </c>
      <c r="I216" s="6">
        <f>F216*2</f>
        <v>2614.4</v>
      </c>
      <c r="J216" s="6" t="s">
        <v>78</v>
      </c>
      <c r="K216" s="6"/>
      <c r="L216" s="17">
        <v>3268</v>
      </c>
      <c r="M216" s="17">
        <f>L216-1380</f>
        <v>1888</v>
      </c>
      <c r="N216" s="17">
        <f>L216+1380</f>
        <v>4648</v>
      </c>
      <c r="O216" s="17">
        <v>5000</v>
      </c>
      <c r="P216" s="6">
        <v>2000</v>
      </c>
      <c r="Q216" s="18"/>
    </row>
    <row r="217" spans="1:17">
      <c r="A217" s="10" t="s">
        <v>39</v>
      </c>
      <c r="B217" s="18" t="s">
        <v>40</v>
      </c>
      <c r="C217" s="28">
        <f>AVERAGE(D217:E217)</f>
        <v>157.80000000000001</v>
      </c>
      <c r="D217" s="27">
        <v>163.5</v>
      </c>
      <c r="E217" s="27">
        <v>152.1</v>
      </c>
      <c r="F217" s="6">
        <f>L217*$P217/$O217</f>
        <v>591.20000000000005</v>
      </c>
      <c r="G217" s="6" t="s">
        <v>2</v>
      </c>
      <c r="H217" s="6">
        <f>F217*0.5</f>
        <v>295.60000000000002</v>
      </c>
      <c r="I217" s="6">
        <f>F217*2</f>
        <v>1182.4000000000001</v>
      </c>
      <c r="J217" s="6" t="s">
        <v>78</v>
      </c>
      <c r="K217" s="6"/>
      <c r="L217" s="17">
        <v>1478</v>
      </c>
      <c r="M217" s="17">
        <f>L217-1060</f>
        <v>418</v>
      </c>
      <c r="N217" s="17">
        <f>L217+1060</f>
        <v>2538</v>
      </c>
      <c r="O217" s="18">
        <v>5000</v>
      </c>
      <c r="P217" s="6">
        <v>2000</v>
      </c>
      <c r="Q217" s="18"/>
    </row>
    <row r="218" spans="1:17">
      <c r="A218" s="13" t="s">
        <v>120</v>
      </c>
      <c r="B218" s="24" t="s">
        <v>131</v>
      </c>
      <c r="C218" s="28">
        <f>AVERAGE(D218:E218)</f>
        <v>172.2</v>
      </c>
      <c r="D218" s="28">
        <v>174.1</v>
      </c>
      <c r="E218" s="28">
        <v>170.3</v>
      </c>
      <c r="F218" s="6">
        <f>L218*$P218/$O218</f>
        <v>1664</v>
      </c>
      <c r="G218" s="6" t="s">
        <v>2</v>
      </c>
      <c r="H218" s="6">
        <f>F218*0.5</f>
        <v>832</v>
      </c>
      <c r="I218" s="6">
        <f>F218*2</f>
        <v>3328</v>
      </c>
      <c r="J218" s="6" t="s">
        <v>78</v>
      </c>
      <c r="K218" s="6"/>
      <c r="L218" s="20">
        <v>2496</v>
      </c>
      <c r="M218" s="20">
        <v>1664.0832</v>
      </c>
      <c r="N218" s="18">
        <v>3327.9168</v>
      </c>
      <c r="O218" s="18">
        <v>3000</v>
      </c>
      <c r="P218" s="6">
        <v>2000</v>
      </c>
      <c r="Q218" s="18" t="s">
        <v>186</v>
      </c>
    </row>
    <row r="219" spans="1:17">
      <c r="A219" s="11" t="s">
        <v>6</v>
      </c>
      <c r="B219" s="17" t="s">
        <v>8</v>
      </c>
      <c r="C219" s="28">
        <f>AVERAGE(D219:E219)</f>
        <v>182.4</v>
      </c>
      <c r="D219" s="28">
        <v>201.3</v>
      </c>
      <c r="E219" s="28">
        <v>163.5</v>
      </c>
      <c r="F219" s="6">
        <f>L219*$P219/$O219</f>
        <v>2087.3333333333335</v>
      </c>
      <c r="G219" s="6" t="s">
        <v>2</v>
      </c>
      <c r="H219" s="6">
        <f>F219*0.5</f>
        <v>1043.6666666666667</v>
      </c>
      <c r="I219" s="6">
        <f>F219*2</f>
        <v>4174.666666666667</v>
      </c>
      <c r="J219" s="6" t="s">
        <v>78</v>
      </c>
      <c r="K219" s="6"/>
      <c r="L219" s="20">
        <v>3131</v>
      </c>
      <c r="M219" s="20">
        <v>2087.4376999999999</v>
      </c>
      <c r="N219" s="18">
        <v>4174.5622999999996</v>
      </c>
      <c r="O219" s="18">
        <v>3000</v>
      </c>
      <c r="P219" s="6">
        <v>2000</v>
      </c>
      <c r="Q219" s="18" t="s">
        <v>186</v>
      </c>
    </row>
    <row r="220" spans="1:17">
      <c r="A220" s="13" t="s">
        <v>120</v>
      </c>
      <c r="B220" s="24" t="s">
        <v>130</v>
      </c>
      <c r="C220" s="28">
        <f>AVERAGE(D220:E220)</f>
        <v>187.7</v>
      </c>
      <c r="D220" s="28">
        <v>201.3</v>
      </c>
      <c r="E220" s="28">
        <v>174.1</v>
      </c>
      <c r="F220" s="6">
        <f>L220*$P220/$O220</f>
        <v>3515.3333333333335</v>
      </c>
      <c r="G220" s="6" t="s">
        <v>2</v>
      </c>
      <c r="H220" s="6">
        <f>F220*0.5</f>
        <v>1757.6666666666667</v>
      </c>
      <c r="I220" s="6">
        <f>F220*2</f>
        <v>7030.666666666667</v>
      </c>
      <c r="J220" s="6" t="s">
        <v>78</v>
      </c>
      <c r="K220" s="6"/>
      <c r="L220" s="20">
        <v>5273</v>
      </c>
      <c r="M220" s="20">
        <v>3515.5091000000002</v>
      </c>
      <c r="N220" s="18">
        <v>7030.4908999999998</v>
      </c>
      <c r="O220" s="18">
        <v>3000</v>
      </c>
      <c r="P220" s="6">
        <v>2000</v>
      </c>
      <c r="Q220" s="18" t="s">
        <v>186</v>
      </c>
    </row>
    <row r="221" spans="1:17">
      <c r="A221" s="10" t="s">
        <v>30</v>
      </c>
      <c r="B221" s="18" t="s">
        <v>31</v>
      </c>
      <c r="C221" s="27">
        <v>198.99</v>
      </c>
      <c r="D221" s="27"/>
      <c r="E221" s="27"/>
      <c r="F221" s="6">
        <f>L221*$P221/$O221</f>
        <v>3294</v>
      </c>
      <c r="G221" s="6" t="s">
        <v>2</v>
      </c>
      <c r="H221" s="6">
        <f>F221*0.5</f>
        <v>1647</v>
      </c>
      <c r="I221" s="6">
        <f>F221*2</f>
        <v>6588</v>
      </c>
      <c r="J221" s="6" t="s">
        <v>78</v>
      </c>
      <c r="K221" s="6"/>
      <c r="L221" s="20">
        <v>4941</v>
      </c>
      <c r="M221" s="20">
        <v>3290.1651000000002</v>
      </c>
      <c r="N221" s="18">
        <v>6591.8348999999998</v>
      </c>
      <c r="O221" s="18">
        <v>3000</v>
      </c>
      <c r="P221" s="6">
        <v>2000</v>
      </c>
      <c r="Q221" s="18" t="s">
        <v>186</v>
      </c>
    </row>
    <row r="222" spans="1:17">
      <c r="A222" s="10" t="s">
        <v>30</v>
      </c>
      <c r="B222" s="18" t="s">
        <v>31</v>
      </c>
      <c r="C222" s="27">
        <v>199.79</v>
      </c>
      <c r="D222" s="27"/>
      <c r="E222" s="27"/>
      <c r="F222" s="6">
        <f>L222*$P222/$O222</f>
        <v>1299.3333333333333</v>
      </c>
      <c r="G222" s="6" t="s">
        <v>2</v>
      </c>
      <c r="H222" s="6">
        <f>F222*0.5</f>
        <v>649.66666666666663</v>
      </c>
      <c r="I222" s="6">
        <f>F222*2</f>
        <v>2598.6666666666665</v>
      </c>
      <c r="J222" s="6" t="s">
        <v>78</v>
      </c>
      <c r="K222" s="6"/>
      <c r="L222" s="20">
        <v>1949</v>
      </c>
      <c r="M222" s="20">
        <v>1299.3983000000001</v>
      </c>
      <c r="N222" s="18">
        <v>2598.6017000000002</v>
      </c>
      <c r="O222" s="18">
        <v>3000</v>
      </c>
      <c r="P222" s="6">
        <v>2000</v>
      </c>
      <c r="Q222" s="18" t="s">
        <v>186</v>
      </c>
    </row>
    <row r="223" spans="1:17">
      <c r="A223" s="10" t="s">
        <v>30</v>
      </c>
      <c r="B223" s="18" t="s">
        <v>31</v>
      </c>
      <c r="C223" s="27">
        <v>200.15</v>
      </c>
      <c r="D223" s="27"/>
      <c r="E223" s="27"/>
      <c r="F223" s="6">
        <f>L223*$P223/$O223</f>
        <v>1570.6666666666667</v>
      </c>
      <c r="G223" s="6" t="s">
        <v>2</v>
      </c>
      <c r="H223" s="6">
        <f>F223*0.5</f>
        <v>785.33333333333337</v>
      </c>
      <c r="I223" s="6">
        <f>F223*2</f>
        <v>3141.3333333333335</v>
      </c>
      <c r="J223" s="6" t="s">
        <v>78</v>
      </c>
      <c r="K223" s="6"/>
      <c r="L223" s="20">
        <v>2356</v>
      </c>
      <c r="M223" s="20">
        <v>1570.7452000000001</v>
      </c>
      <c r="N223" s="18">
        <v>3141.2547999999997</v>
      </c>
      <c r="O223" s="18">
        <v>3000</v>
      </c>
      <c r="P223" s="6">
        <v>2000</v>
      </c>
      <c r="Q223" s="18" t="s">
        <v>186</v>
      </c>
    </row>
    <row r="224" spans="1:17">
      <c r="A224" s="10" t="s">
        <v>30</v>
      </c>
      <c r="B224" s="18" t="s">
        <v>31</v>
      </c>
      <c r="C224" s="27">
        <v>200.23</v>
      </c>
      <c r="D224" s="27"/>
      <c r="E224" s="27"/>
      <c r="F224" s="6">
        <f>L224*$P224/$O224</f>
        <v>2472</v>
      </c>
      <c r="G224" s="6" t="s">
        <v>2</v>
      </c>
      <c r="H224" s="6">
        <f>F224*0.5</f>
        <v>1236</v>
      </c>
      <c r="I224" s="6">
        <f>F224*2</f>
        <v>4944</v>
      </c>
      <c r="J224" s="6" t="s">
        <v>78</v>
      </c>
      <c r="K224" s="6"/>
      <c r="L224" s="21">
        <v>3708</v>
      </c>
      <c r="M224" s="21">
        <v>2472.1235999999999</v>
      </c>
      <c r="N224" s="21">
        <v>4943.8764000000001</v>
      </c>
      <c r="O224" s="18">
        <v>3000</v>
      </c>
      <c r="P224" s="6">
        <v>2000</v>
      </c>
      <c r="Q224" s="18" t="s">
        <v>186</v>
      </c>
    </row>
    <row r="225" spans="1:17">
      <c r="A225" s="11" t="s">
        <v>151</v>
      </c>
      <c r="B225" s="17" t="s">
        <v>152</v>
      </c>
      <c r="C225" s="28">
        <f>AVERAGE(D225:E225)</f>
        <v>200.3</v>
      </c>
      <c r="D225" s="27">
        <v>201.3</v>
      </c>
      <c r="E225" s="27">
        <v>199.3</v>
      </c>
      <c r="F225" s="6">
        <f>L225*$P225/$O225</f>
        <v>1761.3333333333333</v>
      </c>
      <c r="G225" s="6" t="s">
        <v>2</v>
      </c>
      <c r="H225" s="6">
        <f>F225*0.5</f>
        <v>880.66666666666663</v>
      </c>
      <c r="I225" s="6">
        <f>F225*2</f>
        <v>3522.6666666666665</v>
      </c>
      <c r="J225" s="6" t="s">
        <v>78</v>
      </c>
      <c r="K225" s="6"/>
      <c r="L225" s="20">
        <v>2642</v>
      </c>
      <c r="M225" s="20">
        <v>1761.4214000000002</v>
      </c>
      <c r="N225" s="18">
        <v>3522.5785999999998</v>
      </c>
      <c r="O225" s="18">
        <v>3000</v>
      </c>
      <c r="P225" s="6">
        <v>2000</v>
      </c>
      <c r="Q225" s="18" t="s">
        <v>186</v>
      </c>
    </row>
    <row r="226" spans="1:17">
      <c r="A226" s="10" t="s">
        <v>30</v>
      </c>
      <c r="B226" s="18" t="s">
        <v>31</v>
      </c>
      <c r="C226" s="27">
        <v>200.31</v>
      </c>
      <c r="D226" s="27"/>
      <c r="E226" s="27"/>
      <c r="F226" s="6">
        <f>L226*$P226/$O226</f>
        <v>2306.6666666666665</v>
      </c>
      <c r="G226" s="6" t="s">
        <v>2</v>
      </c>
      <c r="H226" s="6">
        <f>F226*0.5</f>
        <v>1153.3333333333333</v>
      </c>
      <c r="I226" s="6">
        <f>F226*2</f>
        <v>4613.333333333333</v>
      </c>
      <c r="J226" s="6" t="s">
        <v>78</v>
      </c>
      <c r="K226" s="6"/>
      <c r="L226" s="18">
        <v>3460</v>
      </c>
      <c r="M226" s="18">
        <v>2306.7820000000002</v>
      </c>
      <c r="N226" s="18">
        <v>4613.2179999999998</v>
      </c>
      <c r="O226" s="18">
        <v>3000</v>
      </c>
      <c r="P226" s="6">
        <v>2000</v>
      </c>
      <c r="Q226" s="18" t="s">
        <v>186</v>
      </c>
    </row>
    <row r="227" spans="1:17">
      <c r="A227" s="10" t="s">
        <v>30</v>
      </c>
      <c r="B227" s="18" t="s">
        <v>31</v>
      </c>
      <c r="C227" s="27">
        <v>200.33</v>
      </c>
      <c r="D227" s="27"/>
      <c r="E227" s="27"/>
      <c r="F227" s="6">
        <f>L227*$P227/$O227</f>
        <v>2009.3333333333333</v>
      </c>
      <c r="G227" s="6" t="s">
        <v>2</v>
      </c>
      <c r="H227" s="6">
        <f>F227*0.5</f>
        <v>1004.6666666666666</v>
      </c>
      <c r="I227" s="6">
        <f>F227*2</f>
        <v>4018.6666666666665</v>
      </c>
      <c r="J227" s="6" t="s">
        <v>78</v>
      </c>
      <c r="K227" s="6"/>
      <c r="L227" s="18">
        <v>3014</v>
      </c>
      <c r="M227" s="18">
        <v>2009.4338</v>
      </c>
      <c r="N227" s="18">
        <v>4018.5662000000002</v>
      </c>
      <c r="O227" s="18">
        <v>3000</v>
      </c>
      <c r="P227" s="6">
        <v>2000</v>
      </c>
      <c r="Q227" s="18" t="s">
        <v>186</v>
      </c>
    </row>
    <row r="228" spans="1:17">
      <c r="A228" s="10" t="s">
        <v>30</v>
      </c>
      <c r="B228" s="18" t="s">
        <v>31</v>
      </c>
      <c r="C228" s="27">
        <v>200.35</v>
      </c>
      <c r="D228" s="27"/>
      <c r="E228" s="27"/>
      <c r="F228" s="6">
        <f>L228*$P228/$O228</f>
        <v>2438</v>
      </c>
      <c r="G228" s="6" t="s">
        <v>2</v>
      </c>
      <c r="H228" s="6">
        <f>F228*0.5</f>
        <v>1219</v>
      </c>
      <c r="I228" s="6">
        <f>F228*2</f>
        <v>4876</v>
      </c>
      <c r="J228" s="6" t="s">
        <v>78</v>
      </c>
      <c r="K228" s="6"/>
      <c r="L228" s="18">
        <v>3657</v>
      </c>
      <c r="M228" s="18">
        <v>2438.1219000000001</v>
      </c>
      <c r="N228" s="18">
        <v>4875.8780999999999</v>
      </c>
      <c r="O228" s="18">
        <v>3000</v>
      </c>
      <c r="P228" s="6">
        <v>2000</v>
      </c>
      <c r="Q228" s="18" t="s">
        <v>186</v>
      </c>
    </row>
    <row r="229" spans="1:17">
      <c r="A229" s="10" t="s">
        <v>28</v>
      </c>
      <c r="B229" s="18" t="s">
        <v>29</v>
      </c>
      <c r="C229" s="28">
        <v>200.36259167635265</v>
      </c>
      <c r="D229" s="28"/>
      <c r="E229" s="28"/>
      <c r="F229" s="6">
        <f>L229*$P229/$O229</f>
        <v>2676.6666666666665</v>
      </c>
      <c r="G229" s="6" t="s">
        <v>2</v>
      </c>
      <c r="H229" s="6">
        <f>F229*0.5</f>
        <v>1338.3333333333333</v>
      </c>
      <c r="I229" s="6">
        <f>F229*2</f>
        <v>5353.333333333333</v>
      </c>
      <c r="J229" s="6" t="s">
        <v>78</v>
      </c>
      <c r="K229" s="6"/>
      <c r="L229" s="18">
        <v>4015</v>
      </c>
      <c r="M229" s="18">
        <v>2676.8005000000003</v>
      </c>
      <c r="N229" s="18">
        <v>5353.1994999999997</v>
      </c>
      <c r="O229" s="18">
        <v>3000</v>
      </c>
      <c r="P229" s="6">
        <v>2000</v>
      </c>
      <c r="Q229" s="18" t="s">
        <v>186</v>
      </c>
    </row>
    <row r="230" spans="1:17">
      <c r="A230" s="10" t="s">
        <v>30</v>
      </c>
      <c r="B230" s="18" t="s">
        <v>31</v>
      </c>
      <c r="C230" s="27">
        <v>200.37</v>
      </c>
      <c r="D230" s="27"/>
      <c r="E230" s="27"/>
      <c r="F230" s="6">
        <f>L230*$P230/$O230</f>
        <v>2700</v>
      </c>
      <c r="G230" s="6" t="s">
        <v>2</v>
      </c>
      <c r="H230" s="6">
        <f>F230*0.5</f>
        <v>1350</v>
      </c>
      <c r="I230" s="6">
        <f>F230*2</f>
        <v>5400</v>
      </c>
      <c r="J230" s="6" t="s">
        <v>78</v>
      </c>
      <c r="K230" s="6"/>
      <c r="L230" s="18">
        <v>4050</v>
      </c>
      <c r="M230" s="18">
        <v>2700.1350000000002</v>
      </c>
      <c r="N230" s="18">
        <v>5399.8649999999998</v>
      </c>
      <c r="O230" s="18">
        <v>3000</v>
      </c>
      <c r="P230" s="6">
        <v>2000</v>
      </c>
      <c r="Q230" s="18" t="s">
        <v>186</v>
      </c>
    </row>
    <row r="231" spans="1:17">
      <c r="A231" s="10" t="s">
        <v>30</v>
      </c>
      <c r="B231" s="18" t="s">
        <v>31</v>
      </c>
      <c r="C231" s="27">
        <v>200.39</v>
      </c>
      <c r="D231" s="27"/>
      <c r="E231" s="27"/>
      <c r="F231" s="6">
        <f>L231*$P231/$O231</f>
        <v>2713.3333333333335</v>
      </c>
      <c r="G231" s="6" t="s">
        <v>2</v>
      </c>
      <c r="H231" s="6">
        <f>F231*0.5</f>
        <v>1356.6666666666667</v>
      </c>
      <c r="I231" s="6">
        <f>F231*2</f>
        <v>5426.666666666667</v>
      </c>
      <c r="J231" s="6" t="s">
        <v>78</v>
      </c>
      <c r="K231" s="6"/>
      <c r="L231" s="18">
        <v>4070</v>
      </c>
      <c r="M231" s="18">
        <v>2713.4690000000001</v>
      </c>
      <c r="N231" s="18">
        <v>5426.5309999999999</v>
      </c>
      <c r="O231" s="18">
        <v>3000</v>
      </c>
      <c r="P231" s="6">
        <v>2000</v>
      </c>
      <c r="Q231" s="18" t="s">
        <v>186</v>
      </c>
    </row>
    <row r="232" spans="1:17">
      <c r="A232" s="10" t="s">
        <v>30</v>
      </c>
      <c r="B232" s="18" t="s">
        <v>31</v>
      </c>
      <c r="C232" s="27">
        <v>200.44</v>
      </c>
      <c r="D232" s="27"/>
      <c r="E232" s="27"/>
      <c r="F232" s="6">
        <f>L232*$P232/$O232</f>
        <v>2822.6666666666665</v>
      </c>
      <c r="G232" s="6" t="s">
        <v>2</v>
      </c>
      <c r="H232" s="6">
        <f>F232*0.5</f>
        <v>1411.3333333333333</v>
      </c>
      <c r="I232" s="6">
        <f>F232*2</f>
        <v>5645.333333333333</v>
      </c>
      <c r="J232" s="6" t="s">
        <v>78</v>
      </c>
      <c r="K232" s="6"/>
      <c r="L232" s="18">
        <v>4234</v>
      </c>
      <c r="M232" s="18">
        <v>2822.8078</v>
      </c>
      <c r="N232" s="18">
        <v>5645.1921999999995</v>
      </c>
      <c r="O232" s="18">
        <v>3000</v>
      </c>
      <c r="P232" s="6">
        <v>2000</v>
      </c>
      <c r="Q232" s="18" t="s">
        <v>186</v>
      </c>
    </row>
    <row r="233" spans="1:17">
      <c r="A233" s="10" t="s">
        <v>30</v>
      </c>
      <c r="B233" s="18" t="s">
        <v>31</v>
      </c>
      <c r="C233" s="27">
        <v>200.46</v>
      </c>
      <c r="D233" s="27"/>
      <c r="E233" s="27"/>
      <c r="F233" s="6">
        <f>L233*$P233/$O233</f>
        <v>2302</v>
      </c>
      <c r="G233" s="6" t="s">
        <v>2</v>
      </c>
      <c r="H233" s="6">
        <f>F233*0.5</f>
        <v>1151</v>
      </c>
      <c r="I233" s="6">
        <f>F233*2</f>
        <v>4604</v>
      </c>
      <c r="J233" s="6" t="s">
        <v>78</v>
      </c>
      <c r="K233" s="6"/>
      <c r="L233" s="18">
        <v>3453</v>
      </c>
      <c r="M233" s="18">
        <v>2302.1151</v>
      </c>
      <c r="N233" s="18">
        <v>4603.8849</v>
      </c>
      <c r="O233" s="18">
        <v>3000</v>
      </c>
      <c r="P233" s="6">
        <v>2000</v>
      </c>
      <c r="Q233" s="18" t="s">
        <v>186</v>
      </c>
    </row>
    <row r="234" spans="1:17">
      <c r="A234" s="10" t="s">
        <v>28</v>
      </c>
      <c r="B234" s="18" t="s">
        <v>29</v>
      </c>
      <c r="C234" s="28">
        <v>200.47782643891074</v>
      </c>
      <c r="D234" s="28"/>
      <c r="E234" s="28"/>
      <c r="F234" s="6">
        <f>L234*$P234/$O234</f>
        <v>2384.6666666666665</v>
      </c>
      <c r="G234" s="6" t="s">
        <v>2</v>
      </c>
      <c r="H234" s="6">
        <f>F234*0.5</f>
        <v>1192.3333333333333</v>
      </c>
      <c r="I234" s="6">
        <f>F234*2</f>
        <v>4769.333333333333</v>
      </c>
      <c r="J234" s="6" t="s">
        <v>78</v>
      </c>
      <c r="K234" s="6"/>
      <c r="L234" s="18">
        <v>3577</v>
      </c>
      <c r="M234" s="18">
        <v>2384.7858999999999</v>
      </c>
      <c r="N234" s="18">
        <v>4769.2141000000001</v>
      </c>
      <c r="O234" s="18">
        <v>3000</v>
      </c>
      <c r="P234" s="6">
        <v>2000</v>
      </c>
      <c r="Q234" s="18" t="s">
        <v>186</v>
      </c>
    </row>
    <row r="235" spans="1:17">
      <c r="A235" s="10" t="s">
        <v>30</v>
      </c>
      <c r="B235" s="18" t="s">
        <v>31</v>
      </c>
      <c r="C235" s="27">
        <v>200.53</v>
      </c>
      <c r="D235" s="27"/>
      <c r="E235" s="27"/>
      <c r="F235" s="6">
        <f>L235*$P235/$O235</f>
        <v>2389.3333333333335</v>
      </c>
      <c r="G235" s="6" t="s">
        <v>2</v>
      </c>
      <c r="H235" s="6">
        <f>F235*0.5</f>
        <v>1194.6666666666667</v>
      </c>
      <c r="I235" s="6">
        <f>F235*2</f>
        <v>4778.666666666667</v>
      </c>
      <c r="J235" s="6" t="s">
        <v>78</v>
      </c>
      <c r="K235" s="6"/>
      <c r="L235" s="18">
        <v>3584</v>
      </c>
      <c r="M235" s="18">
        <v>2389.4528</v>
      </c>
      <c r="N235" s="18">
        <v>4778.5472</v>
      </c>
      <c r="O235" s="18">
        <v>3000</v>
      </c>
      <c r="P235" s="6">
        <v>2000</v>
      </c>
      <c r="Q235" s="18" t="s">
        <v>186</v>
      </c>
    </row>
    <row r="236" spans="1:17">
      <c r="A236" s="10" t="s">
        <v>30</v>
      </c>
      <c r="B236" s="18" t="s">
        <v>31</v>
      </c>
      <c r="C236" s="27">
        <v>200.53</v>
      </c>
      <c r="D236" s="27"/>
      <c r="E236" s="27"/>
      <c r="F236" s="6">
        <f>L236*$P236/$O236</f>
        <v>2818.6666666666665</v>
      </c>
      <c r="G236" s="6" t="s">
        <v>2</v>
      </c>
      <c r="H236" s="6">
        <f>F236*0.5</f>
        <v>1409.3333333333333</v>
      </c>
      <c r="I236" s="6">
        <f>F236*2</f>
        <v>5637.333333333333</v>
      </c>
      <c r="J236" s="6" t="s">
        <v>78</v>
      </c>
      <c r="K236" s="6"/>
      <c r="L236" s="18">
        <v>4228</v>
      </c>
      <c r="M236" s="18">
        <v>2818.8076000000001</v>
      </c>
      <c r="N236" s="18">
        <v>5637.1923999999999</v>
      </c>
      <c r="O236" s="18">
        <v>3000</v>
      </c>
      <c r="P236" s="6">
        <v>2000</v>
      </c>
      <c r="Q236" s="18" t="s">
        <v>186</v>
      </c>
    </row>
    <row r="237" spans="1:17">
      <c r="A237" s="10" t="s">
        <v>30</v>
      </c>
      <c r="B237" s="18" t="s">
        <v>31</v>
      </c>
      <c r="C237" s="27">
        <v>200.58</v>
      </c>
      <c r="D237" s="27"/>
      <c r="E237" s="27"/>
      <c r="F237" s="6">
        <f>L237*$P237/$O237</f>
        <v>2956</v>
      </c>
      <c r="G237" s="6" t="s">
        <v>2</v>
      </c>
      <c r="H237" s="6">
        <f>F237*0.5</f>
        <v>1478</v>
      </c>
      <c r="I237" s="6">
        <f>F237*2</f>
        <v>5912</v>
      </c>
      <c r="J237" s="6" t="s">
        <v>78</v>
      </c>
      <c r="K237" s="6"/>
      <c r="L237" s="18">
        <v>4434</v>
      </c>
      <c r="M237" s="18">
        <v>2956.1477999999997</v>
      </c>
      <c r="N237" s="18">
        <v>5911.8522000000003</v>
      </c>
      <c r="O237" s="18">
        <v>3000</v>
      </c>
      <c r="P237" s="6">
        <v>2000</v>
      </c>
      <c r="Q237" s="18" t="s">
        <v>186</v>
      </c>
    </row>
    <row r="238" spans="1:17">
      <c r="A238" s="10" t="s">
        <v>30</v>
      </c>
      <c r="B238" s="18" t="s">
        <v>31</v>
      </c>
      <c r="C238" s="27">
        <v>200.58</v>
      </c>
      <c r="D238" s="27"/>
      <c r="E238" s="27"/>
      <c r="F238" s="6">
        <f>L238*$P238/$O238</f>
        <v>710</v>
      </c>
      <c r="G238" s="6" t="s">
        <v>2</v>
      </c>
      <c r="H238" s="6">
        <f>F238*0.5</f>
        <v>355</v>
      </c>
      <c r="I238" s="6">
        <f>F238*2</f>
        <v>1420</v>
      </c>
      <c r="J238" s="6" t="s">
        <v>78</v>
      </c>
      <c r="K238" s="6"/>
      <c r="L238" s="18">
        <v>1065</v>
      </c>
      <c r="M238" s="18">
        <v>710.03549999999996</v>
      </c>
      <c r="N238" s="18">
        <v>1419.9645</v>
      </c>
      <c r="O238" s="18">
        <v>3000</v>
      </c>
      <c r="P238" s="6">
        <v>2000</v>
      </c>
      <c r="Q238" s="18" t="s">
        <v>186</v>
      </c>
    </row>
    <row r="239" spans="1:17">
      <c r="A239" s="10" t="s">
        <v>30</v>
      </c>
      <c r="B239" s="18" t="s">
        <v>31</v>
      </c>
      <c r="C239" s="27">
        <v>200.63</v>
      </c>
      <c r="D239" s="27"/>
      <c r="E239" s="27"/>
      <c r="F239" s="6">
        <f>L239*$P239/$O239</f>
        <v>1191.3333333333333</v>
      </c>
      <c r="G239" s="6" t="s">
        <v>2</v>
      </c>
      <c r="H239" s="6">
        <f>F239*0.5</f>
        <v>595.66666666666663</v>
      </c>
      <c r="I239" s="6">
        <f>F239*2</f>
        <v>2382.6666666666665</v>
      </c>
      <c r="J239" s="6" t="s">
        <v>78</v>
      </c>
      <c r="K239" s="6"/>
      <c r="L239" s="18">
        <v>1787</v>
      </c>
      <c r="M239" s="18">
        <v>1191.3929000000001</v>
      </c>
      <c r="N239" s="18">
        <v>2382.6071000000002</v>
      </c>
      <c r="O239" s="18">
        <v>3000</v>
      </c>
      <c r="P239" s="6">
        <v>2000</v>
      </c>
      <c r="Q239" s="18" t="s">
        <v>186</v>
      </c>
    </row>
    <row r="240" spans="1:17">
      <c r="A240" s="10" t="s">
        <v>30</v>
      </c>
      <c r="B240" s="18" t="s">
        <v>31</v>
      </c>
      <c r="C240" s="27">
        <v>200.63</v>
      </c>
      <c r="D240" s="27"/>
      <c r="E240" s="27"/>
      <c r="F240" s="6">
        <f>L240*$P240/$O240</f>
        <v>1494.6666666666667</v>
      </c>
      <c r="G240" s="6" t="s">
        <v>2</v>
      </c>
      <c r="H240" s="6">
        <f>F240*0.5</f>
        <v>747.33333333333337</v>
      </c>
      <c r="I240" s="6">
        <f>F240*2</f>
        <v>2989.3333333333335</v>
      </c>
      <c r="J240" s="6" t="s">
        <v>78</v>
      </c>
      <c r="K240" s="6"/>
      <c r="L240" s="18">
        <v>2242</v>
      </c>
      <c r="M240" s="18">
        <v>1494.7413999999999</v>
      </c>
      <c r="N240" s="18">
        <v>2989.2586000000001</v>
      </c>
      <c r="O240" s="18">
        <v>3000</v>
      </c>
      <c r="P240" s="6">
        <v>2000</v>
      </c>
      <c r="Q240" s="18" t="s">
        <v>186</v>
      </c>
    </row>
    <row r="241" spans="1:17">
      <c r="A241" s="10" t="s">
        <v>30</v>
      </c>
      <c r="B241" s="18" t="s">
        <v>31</v>
      </c>
      <c r="C241" s="27">
        <v>200.63</v>
      </c>
      <c r="D241" s="27"/>
      <c r="E241" s="27"/>
      <c r="F241" s="6">
        <f>L241*$P241/$O241</f>
        <v>1502</v>
      </c>
      <c r="G241" s="6" t="s">
        <v>2</v>
      </c>
      <c r="H241" s="6">
        <f>F241*0.5</f>
        <v>751</v>
      </c>
      <c r="I241" s="6">
        <f>F241*2</f>
        <v>3004</v>
      </c>
      <c r="J241" s="6" t="s">
        <v>78</v>
      </c>
      <c r="K241" s="6"/>
      <c r="L241" s="18">
        <v>2253</v>
      </c>
      <c r="M241" s="18">
        <v>1502.0751</v>
      </c>
      <c r="N241" s="18">
        <v>3003.9249</v>
      </c>
      <c r="O241" s="18">
        <v>3000</v>
      </c>
      <c r="P241" s="6">
        <v>2000</v>
      </c>
      <c r="Q241" s="18" t="s">
        <v>186</v>
      </c>
    </row>
    <row r="242" spans="1:17">
      <c r="A242" s="10" t="s">
        <v>30</v>
      </c>
      <c r="B242" s="18" t="s">
        <v>31</v>
      </c>
      <c r="C242" s="27">
        <v>200.65</v>
      </c>
      <c r="D242" s="27"/>
      <c r="E242" s="27"/>
      <c r="F242" s="6">
        <f>L242*$P242/$O242</f>
        <v>1508.6666666666667</v>
      </c>
      <c r="G242" s="6" t="s">
        <v>2</v>
      </c>
      <c r="H242" s="6">
        <f>F242*0.5</f>
        <v>754.33333333333337</v>
      </c>
      <c r="I242" s="6">
        <f>F242*2</f>
        <v>3017.3333333333335</v>
      </c>
      <c r="J242" s="6" t="s">
        <v>78</v>
      </c>
      <c r="K242" s="6"/>
      <c r="L242" s="18">
        <v>2263</v>
      </c>
      <c r="M242" s="18">
        <v>1508.7420999999999</v>
      </c>
      <c r="N242" s="18">
        <v>3017.2579000000001</v>
      </c>
      <c r="O242" s="18">
        <v>3000</v>
      </c>
      <c r="P242" s="6">
        <v>2000</v>
      </c>
      <c r="Q242" s="18" t="s">
        <v>186</v>
      </c>
    </row>
    <row r="243" spans="1:17">
      <c r="A243" s="10" t="s">
        <v>30</v>
      </c>
      <c r="B243" s="18" t="s">
        <v>31</v>
      </c>
      <c r="C243" s="27">
        <v>200.66</v>
      </c>
      <c r="D243" s="27"/>
      <c r="E243" s="27"/>
      <c r="F243" s="6">
        <f>L243*$P243/$O243</f>
        <v>1064.6666666666667</v>
      </c>
      <c r="G243" s="6" t="s">
        <v>2</v>
      </c>
      <c r="H243" s="6">
        <f>F243*0.5</f>
        <v>532.33333333333337</v>
      </c>
      <c r="I243" s="6">
        <f>F243*2</f>
        <v>2129.3333333333335</v>
      </c>
      <c r="J243" s="6" t="s">
        <v>78</v>
      </c>
      <c r="K243" s="6"/>
      <c r="L243" s="18">
        <v>1597</v>
      </c>
      <c r="M243" s="18">
        <v>1064.7199000000001</v>
      </c>
      <c r="N243" s="18">
        <v>2129.2800999999999</v>
      </c>
      <c r="O243" s="18">
        <v>3000</v>
      </c>
      <c r="P243" s="6">
        <v>2000</v>
      </c>
      <c r="Q243" s="18" t="s">
        <v>186</v>
      </c>
    </row>
    <row r="244" spans="1:17">
      <c r="A244" s="10" t="s">
        <v>30</v>
      </c>
      <c r="B244" s="18" t="s">
        <v>31</v>
      </c>
      <c r="C244" s="27">
        <v>200.68</v>
      </c>
      <c r="D244" s="27"/>
      <c r="E244" s="27"/>
      <c r="F244" s="6">
        <f>L244*$P244/$O244</f>
        <v>1612.6666666666667</v>
      </c>
      <c r="G244" s="6" t="s">
        <v>2</v>
      </c>
      <c r="H244" s="6">
        <f>F244*0.5</f>
        <v>806.33333333333337</v>
      </c>
      <c r="I244" s="6">
        <f>F244*2</f>
        <v>3225.3333333333335</v>
      </c>
      <c r="J244" s="6" t="s">
        <v>78</v>
      </c>
      <c r="K244" s="6"/>
      <c r="L244" s="18">
        <v>2419</v>
      </c>
      <c r="M244" s="18">
        <v>1612.7473</v>
      </c>
      <c r="N244" s="18">
        <v>3225.2527</v>
      </c>
      <c r="O244" s="18">
        <v>3000</v>
      </c>
      <c r="P244" s="6">
        <v>2000</v>
      </c>
      <c r="Q244" s="18" t="s">
        <v>186</v>
      </c>
    </row>
    <row r="245" spans="1:17">
      <c r="A245" s="10" t="s">
        <v>30</v>
      </c>
      <c r="B245" s="18" t="s">
        <v>31</v>
      </c>
      <c r="C245" s="27">
        <v>200.69</v>
      </c>
      <c r="D245" s="27"/>
      <c r="E245" s="27"/>
      <c r="F245" s="6">
        <f>L245*$P245/$O245</f>
        <v>1487.3333333333333</v>
      </c>
      <c r="G245" s="6" t="s">
        <v>2</v>
      </c>
      <c r="H245" s="6">
        <f>F245*0.5</f>
        <v>743.66666666666663</v>
      </c>
      <c r="I245" s="6">
        <f>F245*2</f>
        <v>2974.6666666666665</v>
      </c>
      <c r="J245" s="6" t="s">
        <v>78</v>
      </c>
      <c r="K245" s="6"/>
      <c r="L245" s="18">
        <v>2231</v>
      </c>
      <c r="M245" s="18">
        <v>1487.4077</v>
      </c>
      <c r="N245" s="18">
        <v>2974.5923000000003</v>
      </c>
      <c r="O245" s="18">
        <v>3000</v>
      </c>
      <c r="P245" s="6">
        <v>2000</v>
      </c>
      <c r="Q245" s="18" t="s">
        <v>186</v>
      </c>
    </row>
    <row r="246" spans="1:17">
      <c r="A246" s="10" t="s">
        <v>30</v>
      </c>
      <c r="B246" s="18" t="s">
        <v>31</v>
      </c>
      <c r="C246" s="27">
        <v>200.71</v>
      </c>
      <c r="D246" s="27"/>
      <c r="E246" s="27"/>
      <c r="F246" s="6">
        <f>L246*$P246/$O246</f>
        <v>1298</v>
      </c>
      <c r="G246" s="6" t="s">
        <v>2</v>
      </c>
      <c r="H246" s="6">
        <f>F246*0.5</f>
        <v>649</v>
      </c>
      <c r="I246" s="6">
        <f>F246*2</f>
        <v>2596</v>
      </c>
      <c r="J246" s="6" t="s">
        <v>78</v>
      </c>
      <c r="K246" s="6"/>
      <c r="L246" s="18">
        <v>1947</v>
      </c>
      <c r="M246" s="18">
        <v>1298.0649000000001</v>
      </c>
      <c r="N246" s="18">
        <v>2595.9350999999997</v>
      </c>
      <c r="O246" s="18">
        <v>3000</v>
      </c>
      <c r="P246" s="6">
        <v>2000</v>
      </c>
      <c r="Q246" s="18" t="s">
        <v>186</v>
      </c>
    </row>
    <row r="247" spans="1:17">
      <c r="A247" s="10" t="s">
        <v>30</v>
      </c>
      <c r="B247" s="18" t="s">
        <v>31</v>
      </c>
      <c r="C247" s="27">
        <v>200.73</v>
      </c>
      <c r="D247" s="27"/>
      <c r="E247" s="27"/>
      <c r="F247" s="6">
        <f>L247*$P247/$O247</f>
        <v>1021.3333333333334</v>
      </c>
      <c r="G247" s="6" t="s">
        <v>2</v>
      </c>
      <c r="H247" s="6">
        <f>F247*0.5</f>
        <v>510.66666666666669</v>
      </c>
      <c r="I247" s="6">
        <f>F247*2</f>
        <v>2042.6666666666667</v>
      </c>
      <c r="J247" s="6" t="s">
        <v>78</v>
      </c>
      <c r="K247" s="6"/>
      <c r="L247" s="18">
        <v>1532</v>
      </c>
      <c r="M247" s="18">
        <v>1021.3844</v>
      </c>
      <c r="N247" s="18">
        <v>2042.6156000000001</v>
      </c>
      <c r="O247" s="18">
        <v>3000</v>
      </c>
      <c r="P247" s="6">
        <v>2000</v>
      </c>
      <c r="Q247" s="18" t="s">
        <v>186</v>
      </c>
    </row>
    <row r="248" spans="1:17">
      <c r="A248" s="10" t="s">
        <v>30</v>
      </c>
      <c r="B248" s="18" t="s">
        <v>31</v>
      </c>
      <c r="C248" s="27">
        <v>200.75</v>
      </c>
      <c r="D248" s="27"/>
      <c r="E248" s="27"/>
      <c r="F248" s="6">
        <f>L248*$P248/$O248</f>
        <v>1854.6666666666667</v>
      </c>
      <c r="G248" s="6" t="s">
        <v>2</v>
      </c>
      <c r="H248" s="6">
        <f>F248*0.5</f>
        <v>927.33333333333337</v>
      </c>
      <c r="I248" s="6">
        <f>F248*2</f>
        <v>3709.3333333333335</v>
      </c>
      <c r="J248" s="6" t="s">
        <v>78</v>
      </c>
      <c r="K248" s="6"/>
      <c r="L248" s="18">
        <v>2782</v>
      </c>
      <c r="M248" s="18">
        <v>1854.7593999999999</v>
      </c>
      <c r="N248" s="18">
        <v>3709.2406000000001</v>
      </c>
      <c r="O248" s="18">
        <v>3000</v>
      </c>
      <c r="P248" s="6">
        <v>2000</v>
      </c>
      <c r="Q248" s="18" t="s">
        <v>186</v>
      </c>
    </row>
    <row r="249" spans="1:17">
      <c r="A249" s="10" t="s">
        <v>30</v>
      </c>
      <c r="B249" s="18" t="s">
        <v>31</v>
      </c>
      <c r="C249" s="27">
        <v>200.77</v>
      </c>
      <c r="D249" s="27"/>
      <c r="E249" s="27"/>
      <c r="F249" s="6">
        <f>L249*$P249/$O249</f>
        <v>983.33333333333337</v>
      </c>
      <c r="G249" s="6" t="s">
        <v>2</v>
      </c>
      <c r="H249" s="6">
        <f>F249*0.5</f>
        <v>491.66666666666669</v>
      </c>
      <c r="I249" s="6">
        <f>F249*2</f>
        <v>1966.6666666666667</v>
      </c>
      <c r="J249" s="6" t="s">
        <v>78</v>
      </c>
      <c r="K249" s="6"/>
      <c r="L249" s="18">
        <v>1475</v>
      </c>
      <c r="M249" s="18">
        <v>983.38250000000005</v>
      </c>
      <c r="N249" s="18">
        <v>1966.6175000000001</v>
      </c>
      <c r="O249" s="18">
        <v>3000</v>
      </c>
      <c r="P249" s="6">
        <v>2000</v>
      </c>
      <c r="Q249" s="18" t="s">
        <v>186</v>
      </c>
    </row>
    <row r="250" spans="1:17">
      <c r="A250" s="10" t="s">
        <v>30</v>
      </c>
      <c r="B250" s="18" t="s">
        <v>31</v>
      </c>
      <c r="C250" s="27">
        <v>200.77</v>
      </c>
      <c r="D250" s="27"/>
      <c r="E250" s="27"/>
      <c r="F250" s="6">
        <f>L250*$P250/$O250</f>
        <v>1183.3333333333333</v>
      </c>
      <c r="G250" s="6" t="s">
        <v>2</v>
      </c>
      <c r="H250" s="6">
        <f>F250*0.5</f>
        <v>591.66666666666663</v>
      </c>
      <c r="I250" s="6">
        <f>F250*2</f>
        <v>2366.6666666666665</v>
      </c>
      <c r="J250" s="6" t="s">
        <v>78</v>
      </c>
      <c r="K250" s="6"/>
      <c r="L250" s="18">
        <v>1775</v>
      </c>
      <c r="M250" s="18">
        <f>L250-592</f>
        <v>1183</v>
      </c>
      <c r="N250" s="18">
        <f>L250+592</f>
        <v>2367</v>
      </c>
      <c r="O250" s="18">
        <v>3000</v>
      </c>
      <c r="P250" s="18">
        <f>35.3*40+588</f>
        <v>2000</v>
      </c>
      <c r="Q250" s="18" t="s">
        <v>187</v>
      </c>
    </row>
    <row r="251" spans="1:17">
      <c r="A251" s="10" t="s">
        <v>30</v>
      </c>
      <c r="B251" s="18" t="s">
        <v>31</v>
      </c>
      <c r="C251" s="27">
        <v>200.78</v>
      </c>
      <c r="D251" s="27"/>
      <c r="E251" s="27"/>
      <c r="F251" s="6">
        <f>L251*$P251/$O251</f>
        <v>1135.3333333333333</v>
      </c>
      <c r="G251" s="6" t="s">
        <v>2</v>
      </c>
      <c r="H251" s="6">
        <f>F251*0.5</f>
        <v>567.66666666666663</v>
      </c>
      <c r="I251" s="6">
        <f>F251*2</f>
        <v>2270.6666666666665</v>
      </c>
      <c r="J251" s="6" t="s">
        <v>78</v>
      </c>
      <c r="K251" s="6"/>
      <c r="L251" s="18">
        <v>1703</v>
      </c>
      <c r="M251" s="18">
        <f>L251-568</f>
        <v>1135</v>
      </c>
      <c r="N251" s="18">
        <f>L251+568</f>
        <v>2271</v>
      </c>
      <c r="O251" s="18">
        <v>3000</v>
      </c>
      <c r="P251" s="18">
        <f t="shared" ref="P251:P286" si="2">35.3*40+588</f>
        <v>2000</v>
      </c>
      <c r="Q251" s="18" t="s">
        <v>187</v>
      </c>
    </row>
    <row r="252" spans="1:17">
      <c r="A252" s="10" t="s">
        <v>30</v>
      </c>
      <c r="B252" s="18" t="s">
        <v>31</v>
      </c>
      <c r="C252" s="27">
        <v>200.78</v>
      </c>
      <c r="D252" s="27"/>
      <c r="E252" s="27"/>
      <c r="F252" s="6">
        <f>L252*$P252/$O252</f>
        <v>1478.6666666666667</v>
      </c>
      <c r="G252" s="6" t="s">
        <v>2</v>
      </c>
      <c r="H252" s="6">
        <f>F252*0.5</f>
        <v>739.33333333333337</v>
      </c>
      <c r="I252" s="6">
        <f>F252*2</f>
        <v>2957.3333333333335</v>
      </c>
      <c r="J252" s="6" t="s">
        <v>78</v>
      </c>
      <c r="K252" s="6"/>
      <c r="L252" s="18">
        <v>2218</v>
      </c>
      <c r="M252" s="18">
        <f>L252-739</f>
        <v>1479</v>
      </c>
      <c r="N252" s="18">
        <f>L252+739</f>
        <v>2957</v>
      </c>
      <c r="O252" s="18">
        <v>3000</v>
      </c>
      <c r="P252" s="18">
        <f t="shared" si="2"/>
        <v>2000</v>
      </c>
      <c r="Q252" s="18" t="s">
        <v>187</v>
      </c>
    </row>
    <row r="253" spans="1:17">
      <c r="A253" s="10" t="s">
        <v>30</v>
      </c>
      <c r="B253" s="18" t="s">
        <v>31</v>
      </c>
      <c r="C253" s="27">
        <v>200.84</v>
      </c>
      <c r="D253" s="27"/>
      <c r="E253" s="27"/>
      <c r="F253" s="6">
        <f>L253*$P253/$O253</f>
        <v>1376</v>
      </c>
      <c r="G253" s="6" t="s">
        <v>2</v>
      </c>
      <c r="H253" s="6">
        <f>F253*0.5</f>
        <v>688</v>
      </c>
      <c r="I253" s="6">
        <f>F253*2</f>
        <v>2752</v>
      </c>
      <c r="J253" s="6" t="s">
        <v>78</v>
      </c>
      <c r="K253" s="6"/>
      <c r="L253" s="18">
        <v>2064</v>
      </c>
      <c r="M253" s="18">
        <f>L253-688</f>
        <v>1376</v>
      </c>
      <c r="N253" s="18">
        <f>L253+688</f>
        <v>2752</v>
      </c>
      <c r="O253" s="18">
        <v>3000</v>
      </c>
      <c r="P253" s="18">
        <f t="shared" si="2"/>
        <v>2000</v>
      </c>
      <c r="Q253" s="18" t="s">
        <v>187</v>
      </c>
    </row>
    <row r="254" spans="1:17">
      <c r="A254" s="10" t="s">
        <v>28</v>
      </c>
      <c r="B254" s="18" t="s">
        <v>29</v>
      </c>
      <c r="C254" s="28">
        <v>200.90624395464732</v>
      </c>
      <c r="D254" s="28"/>
      <c r="E254" s="28"/>
      <c r="F254" s="6">
        <f>L254*$P254/$O254</f>
        <v>1376.6666666666667</v>
      </c>
      <c r="G254" s="6" t="s">
        <v>2</v>
      </c>
      <c r="H254" s="6">
        <f>F254*0.5</f>
        <v>688.33333333333337</v>
      </c>
      <c r="I254" s="6">
        <f>F254*2</f>
        <v>2753.3333333333335</v>
      </c>
      <c r="J254" s="6" t="s">
        <v>78</v>
      </c>
      <c r="K254" s="6"/>
      <c r="L254" s="18">
        <v>2065</v>
      </c>
      <c r="M254" s="18">
        <f>L254-688</f>
        <v>1377</v>
      </c>
      <c r="N254" s="18">
        <f>L254+688</f>
        <v>2753</v>
      </c>
      <c r="O254" s="18">
        <v>3000</v>
      </c>
      <c r="P254" s="18">
        <f t="shared" si="2"/>
        <v>2000</v>
      </c>
      <c r="Q254" s="18" t="s">
        <v>187</v>
      </c>
    </row>
    <row r="255" spans="1:17">
      <c r="A255" s="10" t="s">
        <v>28</v>
      </c>
      <c r="B255" s="18" t="s">
        <v>29</v>
      </c>
      <c r="C255" s="28">
        <v>200.90624395464732</v>
      </c>
      <c r="D255" s="28"/>
      <c r="E255" s="28"/>
      <c r="F255" s="6">
        <f>L255*$P255/$O255</f>
        <v>3457.3333333333335</v>
      </c>
      <c r="G255" s="6" t="s">
        <v>2</v>
      </c>
      <c r="H255" s="6">
        <f>F255*0.5</f>
        <v>1728.6666666666667</v>
      </c>
      <c r="I255" s="6">
        <f>F255*2</f>
        <v>6914.666666666667</v>
      </c>
      <c r="J255" s="6" t="s">
        <v>78</v>
      </c>
      <c r="K255" s="6"/>
      <c r="L255" s="18">
        <v>5186</v>
      </c>
      <c r="M255" s="18">
        <f>L255-1773</f>
        <v>3413</v>
      </c>
      <c r="N255" s="18">
        <f>L255+1773</f>
        <v>6959</v>
      </c>
      <c r="O255" s="18">
        <v>3000</v>
      </c>
      <c r="P255" s="18">
        <f t="shared" si="2"/>
        <v>2000</v>
      </c>
      <c r="Q255" s="18" t="s">
        <v>187</v>
      </c>
    </row>
    <row r="256" spans="1:17">
      <c r="A256" s="10" t="s">
        <v>28</v>
      </c>
      <c r="B256" s="18" t="s">
        <v>29</v>
      </c>
      <c r="C256" s="28">
        <v>200.91432461716821</v>
      </c>
      <c r="D256" s="28"/>
      <c r="E256" s="28"/>
      <c r="F256" s="6">
        <f>L256*$P256/$O256</f>
        <v>2049.3333333333335</v>
      </c>
      <c r="G256" s="6" t="s">
        <v>2</v>
      </c>
      <c r="H256" s="6">
        <f>F256*0.5</f>
        <v>1024.6666666666667</v>
      </c>
      <c r="I256" s="6">
        <f>F256*2</f>
        <v>4098.666666666667</v>
      </c>
      <c r="J256" s="6" t="s">
        <v>78</v>
      </c>
      <c r="K256" s="6"/>
      <c r="L256" s="18">
        <v>3074</v>
      </c>
      <c r="M256" s="18">
        <f>L256-1025</f>
        <v>2049</v>
      </c>
      <c r="N256" s="18">
        <f>L256+1025</f>
        <v>4099</v>
      </c>
      <c r="O256" s="18">
        <v>3000</v>
      </c>
      <c r="P256" s="18">
        <f t="shared" si="2"/>
        <v>2000</v>
      </c>
      <c r="Q256" s="18" t="s">
        <v>187</v>
      </c>
    </row>
    <row r="257" spans="1:17">
      <c r="A257" s="10" t="s">
        <v>28</v>
      </c>
      <c r="B257" s="18" t="s">
        <v>29</v>
      </c>
      <c r="C257" s="28">
        <v>201.02466761969171</v>
      </c>
      <c r="D257" s="28"/>
      <c r="E257" s="28"/>
      <c r="F257" s="6">
        <f>L257*$P257/$O257</f>
        <v>1499.3333333333333</v>
      </c>
      <c r="G257" s="6" t="s">
        <v>2</v>
      </c>
      <c r="H257" s="6">
        <f>F257*0.5</f>
        <v>749.66666666666663</v>
      </c>
      <c r="I257" s="6">
        <f>F257*2</f>
        <v>2998.6666666666665</v>
      </c>
      <c r="J257" s="6" t="s">
        <v>78</v>
      </c>
      <c r="K257" s="6"/>
      <c r="L257" s="18">
        <v>2249</v>
      </c>
      <c r="M257" s="18">
        <f>L257-746</f>
        <v>1503</v>
      </c>
      <c r="N257" s="18">
        <f>L257+746</f>
        <v>2995</v>
      </c>
      <c r="O257" s="18">
        <v>3000</v>
      </c>
      <c r="P257" s="18">
        <f t="shared" si="2"/>
        <v>2000</v>
      </c>
      <c r="Q257" s="18" t="s">
        <v>187</v>
      </c>
    </row>
    <row r="258" spans="1:17">
      <c r="A258" s="10" t="s">
        <v>28</v>
      </c>
      <c r="B258" s="18" t="s">
        <v>29</v>
      </c>
      <c r="C258" s="16">
        <v>201.0743337923854</v>
      </c>
      <c r="D258" s="16"/>
      <c r="E258" s="16"/>
      <c r="F258" s="6">
        <f>L258*$P258/$O258</f>
        <v>3648.6666666666665</v>
      </c>
      <c r="G258" s="6" t="s">
        <v>2</v>
      </c>
      <c r="H258" s="6">
        <f>F258*0.5</f>
        <v>1824.3333333333333</v>
      </c>
      <c r="I258" s="6">
        <f>F258*2</f>
        <v>7297.333333333333</v>
      </c>
      <c r="J258" s="6" t="s">
        <v>78</v>
      </c>
      <c r="K258" s="6"/>
      <c r="L258" s="18">
        <v>5473</v>
      </c>
      <c r="M258" s="18">
        <f>L258-1824</f>
        <v>3649</v>
      </c>
      <c r="N258" s="18">
        <f>L258+1824</f>
        <v>7297</v>
      </c>
      <c r="O258" s="18">
        <v>3000</v>
      </c>
      <c r="P258" s="18">
        <f t="shared" si="2"/>
        <v>2000</v>
      </c>
      <c r="Q258" s="18" t="s">
        <v>187</v>
      </c>
    </row>
    <row r="259" spans="1:17">
      <c r="A259" s="10" t="s">
        <v>28</v>
      </c>
      <c r="B259" s="18" t="s">
        <v>29</v>
      </c>
      <c r="C259" s="28">
        <v>201.11838032888863</v>
      </c>
      <c r="D259" s="28"/>
      <c r="E259" s="28"/>
      <c r="F259" s="6">
        <f>L259*$P259/$O259</f>
        <v>1986.6666666666667</v>
      </c>
      <c r="G259" s="6" t="s">
        <v>2</v>
      </c>
      <c r="H259" s="6">
        <f>F259*0.5</f>
        <v>993.33333333333337</v>
      </c>
      <c r="I259" s="6">
        <f>F259*2</f>
        <v>3973.3333333333335</v>
      </c>
      <c r="J259" s="6" t="s">
        <v>78</v>
      </c>
      <c r="K259" s="6"/>
      <c r="L259" s="18">
        <v>2980</v>
      </c>
      <c r="M259" s="18">
        <f>L259-993</f>
        <v>1987</v>
      </c>
      <c r="N259" s="18">
        <f>L259+993</f>
        <v>3973</v>
      </c>
      <c r="O259" s="18">
        <v>3000</v>
      </c>
      <c r="P259" s="18">
        <f t="shared" si="2"/>
        <v>2000</v>
      </c>
      <c r="Q259" s="18" t="s">
        <v>187</v>
      </c>
    </row>
    <row r="260" spans="1:17">
      <c r="A260" s="10" t="s">
        <v>28</v>
      </c>
      <c r="B260" s="18" t="s">
        <v>29</v>
      </c>
      <c r="C260" s="27">
        <v>201.1629622549315</v>
      </c>
      <c r="D260" s="27"/>
      <c r="E260" s="27"/>
      <c r="F260" s="6">
        <f>L260*$P260/$O260</f>
        <v>2353.3333333333335</v>
      </c>
      <c r="G260" s="6" t="s">
        <v>2</v>
      </c>
      <c r="H260" s="6">
        <f>F260*0.5</f>
        <v>1176.6666666666667</v>
      </c>
      <c r="I260" s="6">
        <f>F260*2</f>
        <v>4706.666666666667</v>
      </c>
      <c r="J260" s="6" t="s">
        <v>78</v>
      </c>
      <c r="K260" s="6"/>
      <c r="L260" s="18">
        <v>3530</v>
      </c>
      <c r="M260" s="18">
        <f>L260-1177</f>
        <v>2353</v>
      </c>
      <c r="N260" s="18">
        <f>L260+1177</f>
        <v>4707</v>
      </c>
      <c r="O260" s="18">
        <v>3000</v>
      </c>
      <c r="P260" s="18">
        <f t="shared" si="2"/>
        <v>2000</v>
      </c>
      <c r="Q260" s="18" t="s">
        <v>187</v>
      </c>
    </row>
    <row r="261" spans="1:17">
      <c r="A261" s="10" t="s">
        <v>30</v>
      </c>
      <c r="B261" s="18" t="s">
        <v>31</v>
      </c>
      <c r="C261" s="27">
        <v>201.18</v>
      </c>
      <c r="D261" s="27"/>
      <c r="E261" s="27"/>
      <c r="F261" s="6">
        <f>L261*$P261/$O261</f>
        <v>2927.3333333333335</v>
      </c>
      <c r="G261" s="6" t="s">
        <v>2</v>
      </c>
      <c r="H261" s="6">
        <f>F261*0.5</f>
        <v>1463.6666666666667</v>
      </c>
      <c r="I261" s="6">
        <f>F261*2</f>
        <v>5854.666666666667</v>
      </c>
      <c r="J261" s="6" t="s">
        <v>78</v>
      </c>
      <c r="K261" s="6"/>
      <c r="L261" s="18">
        <v>4391</v>
      </c>
      <c r="M261" s="18">
        <f>L261-1464</f>
        <v>2927</v>
      </c>
      <c r="N261" s="18">
        <f>L261+1464</f>
        <v>5855</v>
      </c>
      <c r="O261" s="18">
        <v>3000</v>
      </c>
      <c r="P261" s="18">
        <f t="shared" si="2"/>
        <v>2000</v>
      </c>
      <c r="Q261" s="18" t="s">
        <v>187</v>
      </c>
    </row>
    <row r="262" spans="1:17">
      <c r="A262" s="10" t="s">
        <v>28</v>
      </c>
      <c r="B262" s="18" t="s">
        <v>29</v>
      </c>
      <c r="C262" s="27">
        <v>201.19990608714139</v>
      </c>
      <c r="D262" s="27"/>
      <c r="E262" s="27"/>
      <c r="F262" s="6">
        <f>L262*$P262/$O262</f>
        <v>3012</v>
      </c>
      <c r="G262" s="6" t="s">
        <v>2</v>
      </c>
      <c r="H262" s="6">
        <f>F262*0.5</f>
        <v>1506</v>
      </c>
      <c r="I262" s="6">
        <f>F262*2</f>
        <v>6024</v>
      </c>
      <c r="J262" s="6" t="s">
        <v>78</v>
      </c>
      <c r="K262" s="6"/>
      <c r="L262" s="18">
        <v>4518</v>
      </c>
      <c r="M262" s="18">
        <f>L262-1506</f>
        <v>3012</v>
      </c>
      <c r="N262" s="18">
        <f>L262+1506</f>
        <v>6024</v>
      </c>
      <c r="O262" s="18">
        <v>3000</v>
      </c>
      <c r="P262" s="18">
        <f t="shared" si="2"/>
        <v>2000</v>
      </c>
      <c r="Q262" s="18" t="s">
        <v>187</v>
      </c>
    </row>
    <row r="263" spans="1:17">
      <c r="A263" s="10" t="s">
        <v>28</v>
      </c>
      <c r="B263" s="18" t="s">
        <v>29</v>
      </c>
      <c r="C263" s="27">
        <v>201.21159868205044</v>
      </c>
      <c r="D263" s="27"/>
      <c r="E263" s="27"/>
      <c r="F263" s="6">
        <f>L263*$P263/$O263</f>
        <v>2382.6666666666665</v>
      </c>
      <c r="G263" s="6" t="s">
        <v>2</v>
      </c>
      <c r="H263" s="6">
        <f>F263*0.5</f>
        <v>1191.3333333333333</v>
      </c>
      <c r="I263" s="6">
        <f>F263*2</f>
        <v>4765.333333333333</v>
      </c>
      <c r="J263" s="6" t="s">
        <v>78</v>
      </c>
      <c r="K263" s="6"/>
      <c r="L263" s="18">
        <v>3574</v>
      </c>
      <c r="M263" s="18">
        <f>L263-1191</f>
        <v>2383</v>
      </c>
      <c r="N263" s="18">
        <f>L263+1191</f>
        <v>4765</v>
      </c>
      <c r="O263" s="18">
        <v>3000</v>
      </c>
      <c r="P263" s="18">
        <f t="shared" si="2"/>
        <v>2000</v>
      </c>
      <c r="Q263" s="18" t="s">
        <v>187</v>
      </c>
    </row>
    <row r="264" spans="1:17">
      <c r="A264" s="10" t="s">
        <v>28</v>
      </c>
      <c r="B264" s="18" t="s">
        <v>29</v>
      </c>
      <c r="C264" s="27">
        <v>201.21159868205044</v>
      </c>
      <c r="D264" s="27"/>
      <c r="E264" s="27"/>
      <c r="F264" s="6">
        <f>L264*$P264/$O264</f>
        <v>1818</v>
      </c>
      <c r="G264" s="6" t="s">
        <v>2</v>
      </c>
      <c r="H264" s="6">
        <f>F264*0.5</f>
        <v>909</v>
      </c>
      <c r="I264" s="6">
        <f>F264*2</f>
        <v>3636</v>
      </c>
      <c r="J264" s="6" t="s">
        <v>78</v>
      </c>
      <c r="K264" s="6"/>
      <c r="L264" s="18">
        <v>2727</v>
      </c>
      <c r="M264" s="18">
        <f>L264-909</f>
        <v>1818</v>
      </c>
      <c r="N264" s="18">
        <f>L264+909</f>
        <v>3636</v>
      </c>
      <c r="O264" s="18">
        <v>3000</v>
      </c>
      <c r="P264" s="18">
        <f t="shared" si="2"/>
        <v>2000</v>
      </c>
      <c r="Q264" s="18" t="s">
        <v>187</v>
      </c>
    </row>
    <row r="265" spans="1:17">
      <c r="A265" s="10" t="s">
        <v>28</v>
      </c>
      <c r="B265" s="18" t="s">
        <v>29</v>
      </c>
      <c r="C265" s="27">
        <v>201.21565318312571</v>
      </c>
      <c r="D265" s="27"/>
      <c r="E265" s="27"/>
      <c r="F265" s="6">
        <f>L265*$P265/$O265</f>
        <v>2012.6666666666667</v>
      </c>
      <c r="G265" s="6" t="s">
        <v>2</v>
      </c>
      <c r="H265" s="6">
        <f>F265*0.5</f>
        <v>1006.3333333333334</v>
      </c>
      <c r="I265" s="6">
        <f>F265*2</f>
        <v>4025.3333333333335</v>
      </c>
      <c r="J265" s="6" t="s">
        <v>78</v>
      </c>
      <c r="K265" s="6"/>
      <c r="L265" s="18">
        <v>3019</v>
      </c>
      <c r="M265" s="18">
        <f>L265-1006</f>
        <v>2013</v>
      </c>
      <c r="N265" s="18">
        <f>L265+1006</f>
        <v>4025</v>
      </c>
      <c r="O265" s="18">
        <v>3000</v>
      </c>
      <c r="P265" s="18">
        <f t="shared" si="2"/>
        <v>2000</v>
      </c>
      <c r="Q265" s="18" t="s">
        <v>187</v>
      </c>
    </row>
    <row r="266" spans="1:17">
      <c r="A266" s="10" t="s">
        <v>28</v>
      </c>
      <c r="B266" s="18" t="s">
        <v>29</v>
      </c>
      <c r="C266" s="27">
        <v>201.22628789520002</v>
      </c>
      <c r="D266" s="27"/>
      <c r="E266" s="27"/>
      <c r="F266" s="6">
        <f>L266*$P266/$O266</f>
        <v>1874</v>
      </c>
      <c r="G266" s="6" t="s">
        <v>2</v>
      </c>
      <c r="H266" s="6">
        <f>F266*0.5</f>
        <v>937</v>
      </c>
      <c r="I266" s="6">
        <f>F266*2</f>
        <v>3748</v>
      </c>
      <c r="J266" s="6" t="s">
        <v>78</v>
      </c>
      <c r="K266" s="6"/>
      <c r="L266" s="18">
        <v>2811</v>
      </c>
      <c r="M266" s="18">
        <f>L266-937</f>
        <v>1874</v>
      </c>
      <c r="N266" s="18">
        <f>L266+937</f>
        <v>3748</v>
      </c>
      <c r="O266" s="18">
        <v>3000</v>
      </c>
      <c r="P266" s="18">
        <f t="shared" si="2"/>
        <v>2000</v>
      </c>
      <c r="Q266" s="18" t="s">
        <v>187</v>
      </c>
    </row>
    <row r="267" spans="1:17">
      <c r="A267" s="10" t="s">
        <v>28</v>
      </c>
      <c r="B267" s="18" t="s">
        <v>29</v>
      </c>
      <c r="C267" s="27">
        <v>201.22628789520002</v>
      </c>
      <c r="D267" s="27"/>
      <c r="E267" s="27"/>
      <c r="F267" s="6">
        <f>L267*$P267/$O267</f>
        <v>2303.3333333333335</v>
      </c>
      <c r="G267" s="6" t="s">
        <v>2</v>
      </c>
      <c r="H267" s="6">
        <f>F267*0.5</f>
        <v>1151.6666666666667</v>
      </c>
      <c r="I267" s="6">
        <f>F267*2</f>
        <v>4606.666666666667</v>
      </c>
      <c r="J267" s="6" t="s">
        <v>78</v>
      </c>
      <c r="K267" s="6"/>
      <c r="L267" s="18">
        <v>3455</v>
      </c>
      <c r="M267" s="18">
        <f>L267-1152</f>
        <v>2303</v>
      </c>
      <c r="N267" s="18">
        <f>L267+1152</f>
        <v>4607</v>
      </c>
      <c r="O267" s="18">
        <v>3000</v>
      </c>
      <c r="P267" s="18">
        <f t="shared" si="2"/>
        <v>2000</v>
      </c>
      <c r="Q267" s="18" t="s">
        <v>187</v>
      </c>
    </row>
    <row r="268" spans="1:17">
      <c r="A268" s="10" t="s">
        <v>28</v>
      </c>
      <c r="B268" s="18" t="s">
        <v>29</v>
      </c>
      <c r="C268" s="27">
        <v>201.25656495750681</v>
      </c>
      <c r="D268" s="27"/>
      <c r="E268" s="27"/>
      <c r="F268" s="6">
        <f>L268*$P268/$O268</f>
        <v>1992</v>
      </c>
      <c r="G268" s="6" t="s">
        <v>2</v>
      </c>
      <c r="H268" s="6">
        <f>F268*0.5</f>
        <v>996</v>
      </c>
      <c r="I268" s="6">
        <f>F268*2</f>
        <v>3984</v>
      </c>
      <c r="J268" s="6" t="s">
        <v>78</v>
      </c>
      <c r="K268" s="6"/>
      <c r="L268" s="18">
        <v>2988</v>
      </c>
      <c r="M268" s="18">
        <f>L268-996</f>
        <v>1992</v>
      </c>
      <c r="N268" s="18">
        <f>L268+996</f>
        <v>3984</v>
      </c>
      <c r="O268" s="18">
        <v>3000</v>
      </c>
      <c r="P268" s="18">
        <f t="shared" si="2"/>
        <v>2000</v>
      </c>
      <c r="Q268" s="18" t="s">
        <v>187</v>
      </c>
    </row>
    <row r="269" spans="1:17">
      <c r="A269" s="10" t="s">
        <v>30</v>
      </c>
      <c r="B269" s="18" t="s">
        <v>31</v>
      </c>
      <c r="C269" s="27">
        <v>201.26</v>
      </c>
      <c r="D269" s="27"/>
      <c r="E269" s="27"/>
      <c r="F269" s="6">
        <f>L269*$P269/$O269</f>
        <v>2048</v>
      </c>
      <c r="G269" s="6" t="s">
        <v>2</v>
      </c>
      <c r="H269" s="6">
        <f>F269*0.5</f>
        <v>1024</v>
      </c>
      <c r="I269" s="6">
        <f>F269*2</f>
        <v>4096</v>
      </c>
      <c r="J269" s="6" t="s">
        <v>78</v>
      </c>
      <c r="K269" s="6"/>
      <c r="L269" s="18">
        <v>3072</v>
      </c>
      <c r="M269" s="18">
        <f>L269-1024</f>
        <v>2048</v>
      </c>
      <c r="N269" s="18">
        <f>M269+1024</f>
        <v>3072</v>
      </c>
      <c r="O269" s="18">
        <v>3000</v>
      </c>
      <c r="P269" s="18">
        <f t="shared" si="2"/>
        <v>2000</v>
      </c>
      <c r="Q269" s="18" t="s">
        <v>187</v>
      </c>
    </row>
    <row r="270" spans="1:17">
      <c r="A270" s="10" t="s">
        <v>28</v>
      </c>
      <c r="B270" s="18" t="s">
        <v>29</v>
      </c>
      <c r="C270" s="27">
        <v>201.27754855309695</v>
      </c>
      <c r="D270" s="27"/>
      <c r="E270" s="27"/>
      <c r="F270" s="6">
        <f>L270*$P270/$O270</f>
        <v>1544.6666666666667</v>
      </c>
      <c r="G270" s="6" t="s">
        <v>2</v>
      </c>
      <c r="H270" s="6">
        <f>F270*0.5</f>
        <v>772.33333333333337</v>
      </c>
      <c r="I270" s="6">
        <f>F270*2</f>
        <v>3089.3333333333335</v>
      </c>
      <c r="J270" s="6" t="s">
        <v>78</v>
      </c>
      <c r="K270" s="6"/>
      <c r="L270" s="18">
        <v>2317</v>
      </c>
      <c r="M270" s="18">
        <f>L270-772</f>
        <v>1545</v>
      </c>
      <c r="N270" s="18">
        <f>L270+772</f>
        <v>3089</v>
      </c>
      <c r="O270" s="18">
        <v>3000</v>
      </c>
      <c r="P270" s="18">
        <f t="shared" si="2"/>
        <v>2000</v>
      </c>
      <c r="Q270" s="18" t="s">
        <v>187</v>
      </c>
    </row>
    <row r="271" spans="1:17">
      <c r="A271" s="10" t="s">
        <v>28</v>
      </c>
      <c r="B271" s="18" t="s">
        <v>29</v>
      </c>
      <c r="C271" s="27">
        <v>201.38784625390065</v>
      </c>
      <c r="D271" s="27"/>
      <c r="E271" s="27"/>
      <c r="F271" s="6">
        <f>L271*$P271/$O271</f>
        <v>2186.6666666666665</v>
      </c>
      <c r="G271" s="6" t="s">
        <v>2</v>
      </c>
      <c r="H271" s="6">
        <f>F271*0.5</f>
        <v>1093.3333333333333</v>
      </c>
      <c r="I271" s="6">
        <f>F271*2</f>
        <v>4373.333333333333</v>
      </c>
      <c r="J271" s="6" t="s">
        <v>78</v>
      </c>
      <c r="K271" s="6"/>
      <c r="L271" s="18">
        <v>3280</v>
      </c>
      <c r="M271" s="18">
        <f>L271-1093</f>
        <v>2187</v>
      </c>
      <c r="N271" s="18">
        <f>L271+1093</f>
        <v>4373</v>
      </c>
      <c r="O271" s="18">
        <v>3000</v>
      </c>
      <c r="P271" s="18">
        <f t="shared" si="2"/>
        <v>2000</v>
      </c>
      <c r="Q271" s="18" t="s">
        <v>187</v>
      </c>
    </row>
    <row r="272" spans="1:17">
      <c r="A272" s="10" t="s">
        <v>28</v>
      </c>
      <c r="B272" s="18" t="s">
        <v>29</v>
      </c>
      <c r="C272" s="27">
        <v>201.45384822676715</v>
      </c>
      <c r="D272" s="27"/>
      <c r="E272" s="27"/>
      <c r="F272" s="6">
        <f>L272*$P272/$O272</f>
        <v>1469.3333333333333</v>
      </c>
      <c r="G272" s="6" t="s">
        <v>2</v>
      </c>
      <c r="H272" s="6">
        <f>F272*0.5</f>
        <v>734.66666666666663</v>
      </c>
      <c r="I272" s="6">
        <f>F272*2</f>
        <v>2938.6666666666665</v>
      </c>
      <c r="J272" s="6" t="s">
        <v>78</v>
      </c>
      <c r="K272" s="6"/>
      <c r="L272" s="18">
        <v>2204</v>
      </c>
      <c r="M272" s="18">
        <f>L272-735</f>
        <v>1469</v>
      </c>
      <c r="N272" s="18">
        <f>L272+735</f>
        <v>2939</v>
      </c>
      <c r="O272" s="18">
        <v>3000</v>
      </c>
      <c r="P272" s="18">
        <f t="shared" si="2"/>
        <v>2000</v>
      </c>
      <c r="Q272" s="18" t="s">
        <v>187</v>
      </c>
    </row>
    <row r="273" spans="1:17">
      <c r="A273" s="10" t="s">
        <v>28</v>
      </c>
      <c r="B273" s="18" t="s">
        <v>29</v>
      </c>
      <c r="C273" s="27">
        <v>201.48950000000002</v>
      </c>
      <c r="D273" s="27"/>
      <c r="E273" s="27"/>
      <c r="F273" s="6">
        <f>L273*$P273/$O273</f>
        <v>1696.6666666666667</v>
      </c>
      <c r="G273" s="6" t="s">
        <v>2</v>
      </c>
      <c r="H273" s="6">
        <f>F273*0.5</f>
        <v>848.33333333333337</v>
      </c>
      <c r="I273" s="6">
        <f>F273*2</f>
        <v>3393.3333333333335</v>
      </c>
      <c r="J273" s="6" t="s">
        <v>78</v>
      </c>
      <c r="K273" s="6"/>
      <c r="L273" s="18">
        <v>2545</v>
      </c>
      <c r="M273" s="18">
        <f>L273-848</f>
        <v>1697</v>
      </c>
      <c r="N273" s="18">
        <f>L273+848</f>
        <v>3393</v>
      </c>
      <c r="O273" s="18">
        <v>3000</v>
      </c>
      <c r="P273" s="18">
        <f t="shared" si="2"/>
        <v>2000</v>
      </c>
      <c r="Q273" s="18" t="s">
        <v>187</v>
      </c>
    </row>
    <row r="274" spans="1:17">
      <c r="A274" s="10" t="s">
        <v>28</v>
      </c>
      <c r="B274" s="18" t="s">
        <v>29</v>
      </c>
      <c r="C274" s="27">
        <v>201.5091020871773</v>
      </c>
      <c r="D274" s="27"/>
      <c r="E274" s="27"/>
      <c r="F274" s="6">
        <f>L274*$P274/$O274</f>
        <v>2997.3333333333335</v>
      </c>
      <c r="G274" s="6" t="s">
        <v>2</v>
      </c>
      <c r="H274" s="6">
        <f>F274*0.5</f>
        <v>1498.6666666666667</v>
      </c>
      <c r="I274" s="6">
        <f>F274*2</f>
        <v>5994.666666666667</v>
      </c>
      <c r="J274" s="6" t="s">
        <v>78</v>
      </c>
      <c r="K274" s="6"/>
      <c r="L274" s="18">
        <v>4496</v>
      </c>
      <c r="M274" s="18">
        <f>L274-1499</f>
        <v>2997</v>
      </c>
      <c r="N274" s="18">
        <f>L274+1499</f>
        <v>5995</v>
      </c>
      <c r="O274" s="18">
        <v>3000</v>
      </c>
      <c r="P274" s="18">
        <f t="shared" si="2"/>
        <v>2000</v>
      </c>
      <c r="Q274" s="18" t="s">
        <v>187</v>
      </c>
    </row>
    <row r="275" spans="1:17">
      <c r="A275" s="10" t="s">
        <v>62</v>
      </c>
      <c r="B275" s="17" t="s">
        <v>63</v>
      </c>
      <c r="C275" s="27">
        <v>201.54</v>
      </c>
      <c r="D275" s="27"/>
      <c r="E275" s="27"/>
      <c r="F275" s="17">
        <f>L275*$P275/$O275</f>
        <v>2750</v>
      </c>
      <c r="G275" s="6" t="s">
        <v>2</v>
      </c>
      <c r="H275" s="18">
        <f>M275*$P275/$O275</f>
        <v>1833.3333333333333</v>
      </c>
      <c r="I275" s="18">
        <f>N275*$P275/$O275</f>
        <v>3666.6666666666665</v>
      </c>
      <c r="J275" s="6" t="s">
        <v>254</v>
      </c>
      <c r="K275" s="6"/>
      <c r="L275" s="18">
        <v>4125</v>
      </c>
      <c r="M275" s="18">
        <f>L275-1375</f>
        <v>2750</v>
      </c>
      <c r="N275" s="18">
        <f>L275+1375</f>
        <v>5500</v>
      </c>
      <c r="O275" s="18">
        <v>3000</v>
      </c>
      <c r="P275" s="18">
        <f t="shared" si="2"/>
        <v>2000</v>
      </c>
      <c r="Q275" s="18" t="s">
        <v>187</v>
      </c>
    </row>
    <row r="276" spans="1:17">
      <c r="A276" s="10" t="s">
        <v>28</v>
      </c>
      <c r="B276" s="18" t="s">
        <v>29</v>
      </c>
      <c r="C276" s="27">
        <v>201.72614282884447</v>
      </c>
      <c r="D276" s="27"/>
      <c r="E276" s="27"/>
      <c r="F276" s="6">
        <f>L276*$P276/$O276</f>
        <v>3394.6666666666665</v>
      </c>
      <c r="G276" s="6" t="s">
        <v>2</v>
      </c>
      <c r="H276" s="6">
        <f>F276*0.5</f>
        <v>1697.3333333333333</v>
      </c>
      <c r="I276" s="6">
        <f>F276*2</f>
        <v>6789.333333333333</v>
      </c>
      <c r="J276" s="6" t="s">
        <v>78</v>
      </c>
      <c r="K276" s="6"/>
      <c r="L276" s="18">
        <v>5092</v>
      </c>
      <c r="M276" s="18">
        <f>L276-1697</f>
        <v>3395</v>
      </c>
      <c r="N276" s="18">
        <f>L276+1697</f>
        <v>6789</v>
      </c>
      <c r="O276" s="18">
        <v>3000</v>
      </c>
      <c r="P276" s="18">
        <f t="shared" si="2"/>
        <v>2000</v>
      </c>
      <c r="Q276" s="18" t="s">
        <v>187</v>
      </c>
    </row>
    <row r="277" spans="1:17">
      <c r="A277" s="10" t="s">
        <v>62</v>
      </c>
      <c r="B277" s="17" t="s">
        <v>63</v>
      </c>
      <c r="C277" s="27">
        <v>201.76</v>
      </c>
      <c r="D277" s="27"/>
      <c r="E277" s="27"/>
      <c r="F277" s="17">
        <f>L277*$P277/$O277</f>
        <v>1921.3333333333333</v>
      </c>
      <c r="G277" s="6" t="s">
        <v>2</v>
      </c>
      <c r="H277" s="18">
        <f>M277*$P277/$O277</f>
        <v>1280.6666666666667</v>
      </c>
      <c r="I277" s="18">
        <f>N277*$P277/$O277</f>
        <v>2562</v>
      </c>
      <c r="J277" s="6" t="s">
        <v>254</v>
      </c>
      <c r="K277" s="6"/>
      <c r="L277" s="18">
        <v>2882</v>
      </c>
      <c r="M277" s="18">
        <f>L277-961</f>
        <v>1921</v>
      </c>
      <c r="N277" s="18">
        <f>L277+961</f>
        <v>3843</v>
      </c>
      <c r="O277" s="18">
        <v>3000</v>
      </c>
      <c r="P277" s="18">
        <f t="shared" si="2"/>
        <v>2000</v>
      </c>
      <c r="Q277" s="18" t="s">
        <v>187</v>
      </c>
    </row>
    <row r="278" spans="1:17">
      <c r="A278" s="10" t="s">
        <v>28</v>
      </c>
      <c r="B278" s="18" t="s">
        <v>29</v>
      </c>
      <c r="C278" s="27">
        <v>201.81362213181166</v>
      </c>
      <c r="D278" s="27"/>
      <c r="E278" s="27"/>
      <c r="F278" s="6">
        <f>L278*$P278/$O278</f>
        <v>2002</v>
      </c>
      <c r="G278" s="6" t="s">
        <v>2</v>
      </c>
      <c r="H278" s="6">
        <f>F278*0.5</f>
        <v>1001</v>
      </c>
      <c r="I278" s="6">
        <f>F278*2</f>
        <v>4004</v>
      </c>
      <c r="J278" s="6" t="s">
        <v>78</v>
      </c>
      <c r="K278" s="6"/>
      <c r="L278" s="18">
        <v>3003</v>
      </c>
      <c r="M278" s="18">
        <f>L278-1001</f>
        <v>2002</v>
      </c>
      <c r="N278" s="18">
        <f>L278+1001</f>
        <v>4004</v>
      </c>
      <c r="O278" s="18">
        <v>3000</v>
      </c>
      <c r="P278" s="18">
        <f t="shared" si="2"/>
        <v>2000</v>
      </c>
      <c r="Q278" s="18" t="s">
        <v>187</v>
      </c>
    </row>
    <row r="279" spans="1:17">
      <c r="A279" s="10" t="s">
        <v>62</v>
      </c>
      <c r="B279" s="17" t="s">
        <v>63</v>
      </c>
      <c r="C279" s="27">
        <v>201.84</v>
      </c>
      <c r="D279" s="27"/>
      <c r="E279" s="27"/>
      <c r="F279" s="17">
        <f>L279*$P279/$O279</f>
        <v>997.33333333333337</v>
      </c>
      <c r="G279" s="6" t="s">
        <v>2</v>
      </c>
      <c r="H279" s="18">
        <f>M279*$P279/$O279</f>
        <v>664.66666666666663</v>
      </c>
      <c r="I279" s="18">
        <f>N279*$P279/$O279</f>
        <v>1330</v>
      </c>
      <c r="J279" s="6" t="s">
        <v>254</v>
      </c>
      <c r="K279" s="6"/>
      <c r="L279" s="18">
        <v>1496</v>
      </c>
      <c r="M279" s="18">
        <f>L279-499</f>
        <v>997</v>
      </c>
      <c r="N279" s="18">
        <f>L279+499</f>
        <v>1995</v>
      </c>
      <c r="O279" s="18">
        <v>3000</v>
      </c>
      <c r="P279" s="18">
        <f t="shared" si="2"/>
        <v>2000</v>
      </c>
      <c r="Q279" s="18" t="s">
        <v>187</v>
      </c>
    </row>
    <row r="280" spans="1:17">
      <c r="A280" s="10" t="s">
        <v>28</v>
      </c>
      <c r="B280" s="18" t="s">
        <v>29</v>
      </c>
      <c r="C280" s="27">
        <v>201.8767453354117</v>
      </c>
      <c r="D280" s="27"/>
      <c r="E280" s="27"/>
      <c r="F280" s="6">
        <f>L280*$P280/$O280</f>
        <v>1411.3333333333333</v>
      </c>
      <c r="G280" s="6" t="s">
        <v>2</v>
      </c>
      <c r="H280" s="6">
        <f>F280*0.5</f>
        <v>705.66666666666663</v>
      </c>
      <c r="I280" s="6">
        <f>F280*2</f>
        <v>2822.6666666666665</v>
      </c>
      <c r="J280" s="6" t="s">
        <v>78</v>
      </c>
      <c r="K280" s="6"/>
      <c r="L280" s="18">
        <v>2117</v>
      </c>
      <c r="M280" s="18">
        <f>L280-706</f>
        <v>1411</v>
      </c>
      <c r="N280" s="18">
        <f>L280+706</f>
        <v>2823</v>
      </c>
      <c r="O280" s="18">
        <v>3000</v>
      </c>
      <c r="P280" s="18">
        <f t="shared" si="2"/>
        <v>2000</v>
      </c>
      <c r="Q280" s="18" t="s">
        <v>187</v>
      </c>
    </row>
    <row r="281" spans="1:17">
      <c r="A281" s="10" t="s">
        <v>62</v>
      </c>
      <c r="B281" s="17" t="s">
        <v>63</v>
      </c>
      <c r="C281" s="27">
        <v>201.91</v>
      </c>
      <c r="D281" s="27"/>
      <c r="E281" s="27"/>
      <c r="F281" s="17">
        <f>L281*$P281/$O281</f>
        <v>1766</v>
      </c>
      <c r="G281" s="6" t="s">
        <v>2</v>
      </c>
      <c r="H281" s="18">
        <f>M281*$P281/$O281</f>
        <v>1177.3333333333333</v>
      </c>
      <c r="I281" s="18">
        <f>N281*$P281/$O281</f>
        <v>2354.6666666666665</v>
      </c>
      <c r="J281" s="6" t="s">
        <v>254</v>
      </c>
      <c r="K281" s="6"/>
      <c r="L281" s="18">
        <v>2649</v>
      </c>
      <c r="M281" s="18">
        <f>L281-883</f>
        <v>1766</v>
      </c>
      <c r="N281" s="18">
        <f>L281+883</f>
        <v>3532</v>
      </c>
      <c r="O281" s="18">
        <v>3000</v>
      </c>
      <c r="P281" s="18">
        <f t="shared" si="2"/>
        <v>2000</v>
      </c>
      <c r="Q281" s="18" t="s">
        <v>187</v>
      </c>
    </row>
    <row r="282" spans="1:17">
      <c r="A282" s="10" t="s">
        <v>28</v>
      </c>
      <c r="B282" s="18" t="s">
        <v>29</v>
      </c>
      <c r="C282" s="27">
        <v>202.07297018116441</v>
      </c>
      <c r="D282" s="27"/>
      <c r="E282" s="27"/>
      <c r="F282" s="6">
        <f>L282*$P282/$O282</f>
        <v>1810.6666666666667</v>
      </c>
      <c r="G282" s="6" t="s">
        <v>2</v>
      </c>
      <c r="H282" s="6">
        <f>F282*0.5</f>
        <v>905.33333333333337</v>
      </c>
      <c r="I282" s="6">
        <f>F282*2</f>
        <v>3621.3333333333335</v>
      </c>
      <c r="J282" s="6" t="s">
        <v>78</v>
      </c>
      <c r="K282" s="6"/>
      <c r="L282" s="18">
        <v>2716</v>
      </c>
      <c r="M282" s="18">
        <f>L282-905</f>
        <v>1811</v>
      </c>
      <c r="N282" s="18">
        <f>L282+905</f>
        <v>3621</v>
      </c>
      <c r="O282" s="18">
        <v>3000</v>
      </c>
      <c r="P282" s="18">
        <f t="shared" si="2"/>
        <v>2000</v>
      </c>
      <c r="Q282" s="18" t="s">
        <v>187</v>
      </c>
    </row>
    <row r="283" spans="1:17">
      <c r="A283" s="10" t="s">
        <v>62</v>
      </c>
      <c r="B283" s="17" t="s">
        <v>63</v>
      </c>
      <c r="C283" s="27">
        <v>202.1</v>
      </c>
      <c r="D283" s="27"/>
      <c r="E283" s="27"/>
      <c r="F283" s="17">
        <f>L283*$P283/$O283</f>
        <v>1018.6666666666666</v>
      </c>
      <c r="G283" s="6" t="s">
        <v>2</v>
      </c>
      <c r="H283" s="18">
        <f>M283*$P283/$O283</f>
        <v>679.33333333333337</v>
      </c>
      <c r="I283" s="18">
        <f>N283*$P283/$O283</f>
        <v>1358</v>
      </c>
      <c r="J283" s="6" t="s">
        <v>254</v>
      </c>
      <c r="K283" s="6"/>
      <c r="L283" s="18">
        <v>1528</v>
      </c>
      <c r="M283" s="18">
        <f>L283-509</f>
        <v>1019</v>
      </c>
      <c r="N283" s="18">
        <f>L283+509</f>
        <v>2037</v>
      </c>
      <c r="O283" s="18">
        <v>3000</v>
      </c>
      <c r="P283" s="18">
        <f t="shared" si="2"/>
        <v>2000</v>
      </c>
      <c r="Q283" s="18" t="s">
        <v>187</v>
      </c>
    </row>
    <row r="284" spans="1:17">
      <c r="A284" s="10" t="s">
        <v>28</v>
      </c>
      <c r="B284" s="18" t="s">
        <v>29</v>
      </c>
      <c r="C284" s="27">
        <v>202.1734093808644</v>
      </c>
      <c r="D284" s="27"/>
      <c r="E284" s="27"/>
      <c r="F284" s="6">
        <f>L284*$P284/$O284</f>
        <v>610</v>
      </c>
      <c r="G284" s="6" t="s">
        <v>2</v>
      </c>
      <c r="H284" s="6">
        <f>F284*0.5</f>
        <v>305</v>
      </c>
      <c r="I284" s="6">
        <f>F284*2</f>
        <v>1220</v>
      </c>
      <c r="J284" s="6" t="s">
        <v>78</v>
      </c>
      <c r="K284" s="6"/>
      <c r="L284" s="18">
        <v>915</v>
      </c>
      <c r="M284" s="18">
        <f>L284-305</f>
        <v>610</v>
      </c>
      <c r="N284" s="18">
        <f>L284+305</f>
        <v>1220</v>
      </c>
      <c r="O284" s="18">
        <v>3000</v>
      </c>
      <c r="P284" s="18">
        <f t="shared" si="2"/>
        <v>2000</v>
      </c>
      <c r="Q284" s="18" t="s">
        <v>187</v>
      </c>
    </row>
    <row r="285" spans="1:17">
      <c r="A285" s="10" t="s">
        <v>28</v>
      </c>
      <c r="B285" s="18" t="s">
        <v>29</v>
      </c>
      <c r="C285" s="27">
        <v>202.51029163868185</v>
      </c>
      <c r="D285" s="27"/>
      <c r="E285" s="27"/>
      <c r="F285" s="6">
        <f>L285*$P285/$O285</f>
        <v>523.33333333333337</v>
      </c>
      <c r="G285" s="6" t="s">
        <v>2</v>
      </c>
      <c r="H285" s="6">
        <f>F285*0.5</f>
        <v>261.66666666666669</v>
      </c>
      <c r="I285" s="6">
        <f>F285*2</f>
        <v>1046.6666666666667</v>
      </c>
      <c r="J285" s="6" t="s">
        <v>78</v>
      </c>
      <c r="K285" s="6"/>
      <c r="L285" s="18">
        <v>785</v>
      </c>
      <c r="M285" s="18">
        <f>L285-262</f>
        <v>523</v>
      </c>
      <c r="N285" s="18">
        <f>L285+262</f>
        <v>1047</v>
      </c>
      <c r="O285" s="18">
        <v>3000</v>
      </c>
      <c r="P285" s="18">
        <f t="shared" si="2"/>
        <v>2000</v>
      </c>
      <c r="Q285" s="18" t="s">
        <v>187</v>
      </c>
    </row>
    <row r="286" spans="1:17">
      <c r="A286" s="10" t="s">
        <v>62</v>
      </c>
      <c r="B286" s="17" t="s">
        <v>63</v>
      </c>
      <c r="C286" s="27">
        <v>202.58</v>
      </c>
      <c r="D286" s="27"/>
      <c r="E286" s="27"/>
      <c r="F286" s="17">
        <f>L286*$P286/$O286</f>
        <v>1178.6666666666667</v>
      </c>
      <c r="G286" s="6" t="s">
        <v>2</v>
      </c>
      <c r="H286" s="18">
        <f>M286*$P286/$O286</f>
        <v>786</v>
      </c>
      <c r="I286" s="18">
        <f>N286*$P286/$O286</f>
        <v>1571.3333333333333</v>
      </c>
      <c r="J286" s="6" t="s">
        <v>254</v>
      </c>
      <c r="K286" s="6"/>
      <c r="L286" s="18">
        <v>1768</v>
      </c>
      <c r="M286" s="18">
        <f>L286-589</f>
        <v>1179</v>
      </c>
      <c r="N286" s="18">
        <f>L286+589</f>
        <v>2357</v>
      </c>
      <c r="O286" s="18">
        <v>3000</v>
      </c>
      <c r="P286" s="18">
        <f t="shared" si="2"/>
        <v>2000</v>
      </c>
      <c r="Q286" s="18" t="s">
        <v>187</v>
      </c>
    </row>
    <row r="287" spans="1:17">
      <c r="A287" s="10" t="s">
        <v>62</v>
      </c>
      <c r="B287" s="17" t="s">
        <v>63</v>
      </c>
      <c r="C287" s="27">
        <v>202.78</v>
      </c>
      <c r="D287" s="27"/>
      <c r="E287" s="27"/>
      <c r="F287" s="17">
        <f>L287*$P287/$O287</f>
        <v>392.52854812398044</v>
      </c>
      <c r="G287" s="6" t="s">
        <v>2</v>
      </c>
      <c r="H287" s="18">
        <f>M287*$P287/$O287</f>
        <v>234.03588907014682</v>
      </c>
      <c r="I287" s="18">
        <f>N287*$P287/$O287</f>
        <v>551.02120717781406</v>
      </c>
      <c r="J287" s="6" t="s">
        <v>254</v>
      </c>
      <c r="K287" s="6"/>
      <c r="L287" s="17">
        <v>530</v>
      </c>
      <c r="M287" s="17">
        <f>L287-214</f>
        <v>316</v>
      </c>
      <c r="N287" s="17">
        <f>L287+214</f>
        <v>744</v>
      </c>
      <c r="O287" s="18">
        <f>AVERAGE(1301,2156,1301,1372)</f>
        <v>1532.5</v>
      </c>
      <c r="P287" s="18">
        <v>1135</v>
      </c>
      <c r="Q287" s="17" t="s">
        <v>188</v>
      </c>
    </row>
    <row r="288" spans="1:17">
      <c r="A288" s="10" t="s">
        <v>28</v>
      </c>
      <c r="B288" s="18" t="s">
        <v>29</v>
      </c>
      <c r="C288" s="27">
        <v>202.95416810188314</v>
      </c>
      <c r="D288" s="27"/>
      <c r="E288" s="27"/>
      <c r="F288" s="6">
        <f>L288*$P288/$O288</f>
        <v>173.73571212579378</v>
      </c>
      <c r="G288" s="6" t="s">
        <v>2</v>
      </c>
      <c r="H288" s="6">
        <f>F288*0.5</f>
        <v>86.867856062896891</v>
      </c>
      <c r="I288" s="6">
        <f>F288*2</f>
        <v>347.47142425158756</v>
      </c>
      <c r="J288" s="6" t="s">
        <v>78</v>
      </c>
      <c r="K288" s="6"/>
      <c r="L288" s="17">
        <v>241</v>
      </c>
      <c r="M288" s="17">
        <f>L288-136</f>
        <v>105</v>
      </c>
      <c r="N288" s="17">
        <f>L288+136</f>
        <v>377</v>
      </c>
      <c r="O288" s="18">
        <f>AVERAGE(1344,1963)</f>
        <v>1653.5</v>
      </c>
      <c r="P288" s="18">
        <v>1192</v>
      </c>
      <c r="Q288" s="17" t="s">
        <v>188</v>
      </c>
    </row>
    <row r="289" spans="1:17">
      <c r="A289" s="10" t="s">
        <v>28</v>
      </c>
      <c r="B289" s="18" t="s">
        <v>29</v>
      </c>
      <c r="C289" s="27">
        <v>203.09348699179645</v>
      </c>
      <c r="D289" s="27"/>
      <c r="E289" s="27"/>
      <c r="F289" s="6">
        <f>L289*$P289/$O289</f>
        <v>232.35986607625014</v>
      </c>
      <c r="G289" s="6" t="s">
        <v>2</v>
      </c>
      <c r="H289" s="6">
        <f>F289*0.5</f>
        <v>116.17993303812507</v>
      </c>
      <c r="I289" s="6">
        <f>F289*2</f>
        <v>464.71973215250028</v>
      </c>
      <c r="J289" s="6" t="s">
        <v>78</v>
      </c>
      <c r="K289" s="6"/>
      <c r="L289" s="17">
        <v>345</v>
      </c>
      <c r="M289" s="17">
        <f>L289-208</f>
        <v>137</v>
      </c>
      <c r="N289" s="17">
        <f>L289+208</f>
        <v>553</v>
      </c>
      <c r="O289" s="18">
        <f>AVERAGE(1279,2660,2660,2660)</f>
        <v>2314.75</v>
      </c>
      <c r="P289" s="18">
        <v>1559</v>
      </c>
      <c r="Q289" s="17" t="s">
        <v>188</v>
      </c>
    </row>
    <row r="290" spans="1:17">
      <c r="A290" s="10" t="s">
        <v>62</v>
      </c>
      <c r="B290" s="17" t="s">
        <v>63</v>
      </c>
      <c r="C290" s="27">
        <v>203.34</v>
      </c>
      <c r="D290" s="27"/>
      <c r="E290" s="27"/>
      <c r="F290" s="17">
        <f>L290*$P290/$O290</f>
        <v>1522</v>
      </c>
      <c r="G290" s="6" t="s">
        <v>2</v>
      </c>
      <c r="H290" s="18">
        <f>M290*$P290/$O290</f>
        <v>1349</v>
      </c>
      <c r="I290" s="18">
        <f>N290*$P290/$O290</f>
        <v>1695</v>
      </c>
      <c r="J290" s="6" t="s">
        <v>254</v>
      </c>
      <c r="K290" s="6"/>
      <c r="L290" s="17">
        <v>1522</v>
      </c>
      <c r="M290" s="17">
        <f>L290-173</f>
        <v>1349</v>
      </c>
      <c r="N290" s="17">
        <f>L290+173</f>
        <v>1695</v>
      </c>
      <c r="O290" s="17">
        <v>1500</v>
      </c>
      <c r="P290" s="18">
        <f t="shared" ref="P290:P295" si="3">O290</f>
        <v>1500</v>
      </c>
      <c r="Q290" s="17"/>
    </row>
    <row r="291" spans="1:17">
      <c r="A291" s="10" t="s">
        <v>62</v>
      </c>
      <c r="B291" s="17" t="s">
        <v>63</v>
      </c>
      <c r="C291" s="27">
        <v>203.54</v>
      </c>
      <c r="D291" s="27"/>
      <c r="E291" s="27"/>
      <c r="F291" s="17">
        <f>L291*$P291/$O291</f>
        <v>1520</v>
      </c>
      <c r="G291" s="6" t="s">
        <v>2</v>
      </c>
      <c r="H291" s="18">
        <f>M291*$P291/$O291</f>
        <v>1292</v>
      </c>
      <c r="I291" s="18">
        <f>N291*$P291/$O291</f>
        <v>1748</v>
      </c>
      <c r="J291" s="6" t="s">
        <v>254</v>
      </c>
      <c r="K291" s="6"/>
      <c r="L291" s="17">
        <v>1520</v>
      </c>
      <c r="M291" s="17">
        <f>L291-228</f>
        <v>1292</v>
      </c>
      <c r="N291" s="17">
        <f>L291+228</f>
        <v>1748</v>
      </c>
      <c r="O291" s="17">
        <v>2000</v>
      </c>
      <c r="P291" s="18">
        <f t="shared" si="3"/>
        <v>2000</v>
      </c>
      <c r="Q291" s="17"/>
    </row>
    <row r="292" spans="1:17">
      <c r="A292" s="10" t="s">
        <v>28</v>
      </c>
      <c r="B292" s="18" t="s">
        <v>29</v>
      </c>
      <c r="C292" s="27">
        <v>203.57182727305965</v>
      </c>
      <c r="D292" s="27"/>
      <c r="E292" s="27"/>
      <c r="F292" s="6">
        <f>L292*$P292/$O292</f>
        <v>1368</v>
      </c>
      <c r="G292" s="6" t="s">
        <v>2</v>
      </c>
      <c r="H292" s="6">
        <f>F292*0.5</f>
        <v>684</v>
      </c>
      <c r="I292" s="6">
        <f>F292*2</f>
        <v>2736</v>
      </c>
      <c r="J292" s="6" t="s">
        <v>78</v>
      </c>
      <c r="K292" s="6"/>
      <c r="L292" s="17">
        <v>1368</v>
      </c>
      <c r="M292" s="17">
        <f>L292-68</f>
        <v>1300</v>
      </c>
      <c r="N292" s="17">
        <f>L292+68</f>
        <v>1436</v>
      </c>
      <c r="O292" s="17">
        <v>2000</v>
      </c>
      <c r="P292" s="18">
        <f t="shared" si="3"/>
        <v>2000</v>
      </c>
      <c r="Q292" s="17"/>
    </row>
    <row r="293" spans="1:17">
      <c r="A293" s="10" t="s">
        <v>28</v>
      </c>
      <c r="B293" s="18" t="s">
        <v>29</v>
      </c>
      <c r="C293" s="27">
        <v>203.7123220609364</v>
      </c>
      <c r="D293" s="27"/>
      <c r="E293" s="27"/>
      <c r="F293" s="6">
        <f>L293*$P293/$O293</f>
        <v>1428</v>
      </c>
      <c r="G293" s="6" t="s">
        <v>2</v>
      </c>
      <c r="H293" s="6">
        <f>F293*0.5</f>
        <v>714</v>
      </c>
      <c r="I293" s="6">
        <f>F293*2</f>
        <v>2856</v>
      </c>
      <c r="J293" s="6" t="s">
        <v>78</v>
      </c>
      <c r="K293" s="6"/>
      <c r="L293" s="17">
        <v>1428</v>
      </c>
      <c r="M293" s="17">
        <f>L293-128</f>
        <v>1300</v>
      </c>
      <c r="N293" s="17">
        <f>L293+128</f>
        <v>1556</v>
      </c>
      <c r="O293" s="17">
        <v>2000</v>
      </c>
      <c r="P293" s="18">
        <f t="shared" si="3"/>
        <v>2000</v>
      </c>
      <c r="Q293" s="17"/>
    </row>
    <row r="294" spans="1:17">
      <c r="A294" s="10" t="s">
        <v>62</v>
      </c>
      <c r="B294" s="17" t="s">
        <v>63</v>
      </c>
      <c r="C294" s="27">
        <v>203.87</v>
      </c>
      <c r="D294" s="27"/>
      <c r="E294" s="27"/>
      <c r="F294" s="17">
        <f>L294*$P294/$O294</f>
        <v>1060</v>
      </c>
      <c r="G294" s="6" t="s">
        <v>2</v>
      </c>
      <c r="H294" s="18">
        <f>M294*$P294/$O294</f>
        <v>984</v>
      </c>
      <c r="I294" s="18">
        <f>N294*$P294/$O294</f>
        <v>1136</v>
      </c>
      <c r="J294" s="6" t="s">
        <v>254</v>
      </c>
      <c r="K294" s="6"/>
      <c r="L294" s="17">
        <v>1060</v>
      </c>
      <c r="M294" s="17">
        <f>L294-76</f>
        <v>984</v>
      </c>
      <c r="N294" s="17">
        <f>L294+76</f>
        <v>1136</v>
      </c>
      <c r="O294" s="17">
        <v>2000</v>
      </c>
      <c r="P294" s="18">
        <f t="shared" si="3"/>
        <v>2000</v>
      </c>
      <c r="Q294" s="17"/>
    </row>
    <row r="295" spans="1:17">
      <c r="A295" s="10" t="s">
        <v>28</v>
      </c>
      <c r="B295" s="18" t="s">
        <v>29</v>
      </c>
      <c r="C295" s="27">
        <v>203.94560020217907</v>
      </c>
      <c r="D295" s="27"/>
      <c r="E295" s="27"/>
      <c r="F295" s="6">
        <f>L295*$P295/$O295</f>
        <v>449</v>
      </c>
      <c r="G295" s="6" t="s">
        <v>2</v>
      </c>
      <c r="H295" s="6">
        <f>F295*0.5</f>
        <v>224.5</v>
      </c>
      <c r="I295" s="6">
        <f>F295*2</f>
        <v>898</v>
      </c>
      <c r="J295" s="6" t="s">
        <v>78</v>
      </c>
      <c r="K295" s="6"/>
      <c r="L295" s="17">
        <v>449</v>
      </c>
      <c r="M295" s="17">
        <f>L295-140</f>
        <v>309</v>
      </c>
      <c r="N295" s="17">
        <f>L295+140</f>
        <v>589</v>
      </c>
      <c r="O295" s="17">
        <v>2500</v>
      </c>
      <c r="P295" s="18">
        <f t="shared" si="3"/>
        <v>2500</v>
      </c>
      <c r="Q295" s="17"/>
    </row>
    <row r="296" spans="1:17">
      <c r="A296" s="10" t="s">
        <v>62</v>
      </c>
      <c r="B296" s="17" t="s">
        <v>63</v>
      </c>
      <c r="C296" s="27">
        <v>204.09</v>
      </c>
      <c r="D296" s="27"/>
      <c r="E296" s="27"/>
      <c r="F296" s="17">
        <f>L296*$P296/$O296</f>
        <v>557.66666666666663</v>
      </c>
      <c r="G296" s="6" t="s">
        <v>2</v>
      </c>
      <c r="H296" s="18">
        <f>M296*$P296/$O296</f>
        <v>445</v>
      </c>
      <c r="I296" s="18">
        <f>N296*$P296/$O296</f>
        <v>670.33333333333337</v>
      </c>
      <c r="J296" s="6" t="s">
        <v>254</v>
      </c>
      <c r="K296" s="6"/>
      <c r="L296" s="17">
        <v>1673</v>
      </c>
      <c r="M296" s="17">
        <f>L296-338</f>
        <v>1335</v>
      </c>
      <c r="N296" s="17">
        <f>L296+338</f>
        <v>2011</v>
      </c>
      <c r="O296" s="17">
        <v>6000</v>
      </c>
      <c r="P296" s="18">
        <v>2000</v>
      </c>
      <c r="Q296" s="18" t="s">
        <v>164</v>
      </c>
    </row>
    <row r="297" spans="1:17">
      <c r="A297" s="10" t="s">
        <v>62</v>
      </c>
      <c r="B297" s="17" t="s">
        <v>63</v>
      </c>
      <c r="C297" s="27">
        <v>204.39</v>
      </c>
      <c r="D297" s="27"/>
      <c r="E297" s="27"/>
      <c r="F297" s="17">
        <f>L297*$P297/$O297</f>
        <v>222</v>
      </c>
      <c r="G297" s="6" t="s">
        <v>2</v>
      </c>
      <c r="H297" s="18">
        <f>M297*$P297/$O297</f>
        <v>112</v>
      </c>
      <c r="I297" s="18">
        <f>N297*$P297/$O297</f>
        <v>524</v>
      </c>
      <c r="J297" s="6" t="s">
        <v>254</v>
      </c>
      <c r="K297" s="6"/>
      <c r="L297" s="17">
        <v>222</v>
      </c>
      <c r="M297" s="17">
        <v>112</v>
      </c>
      <c r="N297" s="17">
        <v>524</v>
      </c>
      <c r="O297" s="18">
        <v>440</v>
      </c>
      <c r="P297" s="17">
        <v>440</v>
      </c>
      <c r="Q297" s="17" t="s">
        <v>162</v>
      </c>
    </row>
    <row r="298" spans="1:17">
      <c r="A298" s="10" t="s">
        <v>62</v>
      </c>
      <c r="B298" s="17" t="s">
        <v>63</v>
      </c>
      <c r="C298" s="27">
        <v>204.62</v>
      </c>
      <c r="D298" s="27"/>
      <c r="E298" s="27"/>
      <c r="F298" s="17" t="e">
        <f>L298*$P298/$O298</f>
        <v>#DIV/0!</v>
      </c>
      <c r="G298" s="6" t="s">
        <v>2</v>
      </c>
      <c r="H298" s="18" t="e">
        <f>M298*$P298/$O298</f>
        <v>#DIV/0!</v>
      </c>
      <c r="I298" s="18" t="e">
        <f>N298*$P298/$O298</f>
        <v>#DIV/0!</v>
      </c>
      <c r="J298" s="6" t="s">
        <v>254</v>
      </c>
      <c r="K298" s="6"/>
      <c r="L298" s="18">
        <v>683.76099999999997</v>
      </c>
      <c r="M298" s="18">
        <v>574.35900000000004</v>
      </c>
      <c r="N298" s="18">
        <v>806.83799999999997</v>
      </c>
      <c r="O298" s="17"/>
      <c r="P298" s="17"/>
      <c r="Q298" s="17" t="s">
        <v>190</v>
      </c>
    </row>
    <row r="299" spans="1:17">
      <c r="A299" s="10" t="s">
        <v>62</v>
      </c>
      <c r="B299" s="17" t="s">
        <v>63</v>
      </c>
      <c r="C299" s="27">
        <v>204.64</v>
      </c>
      <c r="D299" s="27"/>
      <c r="E299" s="27"/>
      <c r="F299" s="17" t="e">
        <f>L299*$P299/$O299</f>
        <v>#DIV/0!</v>
      </c>
      <c r="G299" s="6" t="s">
        <v>2</v>
      </c>
      <c r="H299" s="18" t="e">
        <f>M299*$P299/$O299</f>
        <v>#DIV/0!</v>
      </c>
      <c r="I299" s="18" t="e">
        <f>N299*$P299/$O299</f>
        <v>#DIV/0!</v>
      </c>
      <c r="J299" s="6" t="s">
        <v>254</v>
      </c>
      <c r="K299" s="6"/>
      <c r="L299" s="18">
        <v>396.58100000000002</v>
      </c>
      <c r="M299" s="18">
        <v>246</v>
      </c>
      <c r="N299" s="18">
        <v>533.33299999999997</v>
      </c>
      <c r="O299" s="17"/>
      <c r="P299" s="17"/>
      <c r="Q299" s="17" t="s">
        <v>190</v>
      </c>
    </row>
    <row r="300" spans="1:17">
      <c r="A300" s="10" t="s">
        <v>62</v>
      </c>
      <c r="B300" s="17" t="s">
        <v>63</v>
      </c>
      <c r="C300" s="27">
        <v>204.66</v>
      </c>
      <c r="D300" s="27"/>
      <c r="E300" s="27"/>
      <c r="F300" s="17" t="e">
        <f>L300*$P300/$O300</f>
        <v>#DIV/0!</v>
      </c>
      <c r="G300" s="6" t="s">
        <v>2</v>
      </c>
      <c r="H300" s="18" t="e">
        <f>M300*$P300/$O300</f>
        <v>#DIV/0!</v>
      </c>
      <c r="I300" s="18" t="e">
        <f>N300*$P300/$O300</f>
        <v>#DIV/0!</v>
      </c>
      <c r="J300" s="6" t="s">
        <v>254</v>
      </c>
      <c r="K300" s="6"/>
      <c r="L300" s="18">
        <v>177.77799999999999</v>
      </c>
      <c r="M300" s="18">
        <v>109.402</v>
      </c>
      <c r="N300" s="18">
        <v>246.154</v>
      </c>
      <c r="O300" s="17"/>
      <c r="P300" s="17"/>
      <c r="Q300" s="17" t="s">
        <v>190</v>
      </c>
    </row>
    <row r="301" spans="1:17">
      <c r="A301" s="10" t="s">
        <v>30</v>
      </c>
      <c r="B301" s="18" t="s">
        <v>31</v>
      </c>
      <c r="C301" s="27">
        <v>205</v>
      </c>
      <c r="D301" s="17"/>
      <c r="E301" s="17"/>
      <c r="F301" s="6" t="e">
        <f>L301*$P301/$O301</f>
        <v>#DIV/0!</v>
      </c>
      <c r="G301" s="6" t="s">
        <v>2</v>
      </c>
      <c r="H301" s="6" t="e">
        <f>F301*0.5</f>
        <v>#DIV/0!</v>
      </c>
      <c r="I301" s="6" t="e">
        <f>F301*2</f>
        <v>#DIV/0!</v>
      </c>
      <c r="J301" s="6" t="s">
        <v>78</v>
      </c>
      <c r="K301" s="6"/>
      <c r="L301" s="18">
        <v>1285.47</v>
      </c>
      <c r="M301" s="18">
        <v>1025.6400000000001</v>
      </c>
      <c r="N301" s="18">
        <v>1531.62</v>
      </c>
      <c r="O301" s="17"/>
      <c r="P301" s="17"/>
      <c r="Q301" s="17" t="s">
        <v>190</v>
      </c>
    </row>
    <row r="302" spans="1:17">
      <c r="A302" s="10" t="s">
        <v>70</v>
      </c>
      <c r="B302" s="17" t="s">
        <v>71</v>
      </c>
      <c r="C302" s="17">
        <f>AVERAGE(D302:E302)</f>
        <v>205.15</v>
      </c>
      <c r="D302" s="17">
        <v>209</v>
      </c>
      <c r="E302" s="17">
        <v>201.3</v>
      </c>
      <c r="F302" s="17" t="e">
        <f>L302*$P302/$O302</f>
        <v>#DIV/0!</v>
      </c>
      <c r="G302" s="6" t="s">
        <v>2</v>
      </c>
      <c r="H302" s="18" t="e">
        <f>F302*0.5</f>
        <v>#DIV/0!</v>
      </c>
      <c r="I302" s="18" t="e">
        <f>F302*2</f>
        <v>#DIV/0!</v>
      </c>
      <c r="J302" s="6" t="s">
        <v>292</v>
      </c>
      <c r="K302" s="6"/>
      <c r="L302" s="18">
        <v>1353.85</v>
      </c>
      <c r="M302" s="18">
        <v>1258.1199999999999</v>
      </c>
      <c r="N302" s="18">
        <v>1449.57</v>
      </c>
      <c r="O302" s="17"/>
      <c r="P302" s="17"/>
      <c r="Q302" s="17" t="s">
        <v>190</v>
      </c>
    </row>
    <row r="303" spans="1:17">
      <c r="A303" s="10" t="s">
        <v>70</v>
      </c>
      <c r="B303" s="17" t="s">
        <v>71</v>
      </c>
      <c r="C303" s="17">
        <f>AVERAGE(D303:E303)</f>
        <v>205.15</v>
      </c>
      <c r="D303" s="17">
        <v>209</v>
      </c>
      <c r="E303" s="17">
        <v>201.3</v>
      </c>
      <c r="F303" s="17" t="e">
        <f>L303*$P303/$O303</f>
        <v>#DIV/0!</v>
      </c>
      <c r="G303" s="6" t="s">
        <v>2</v>
      </c>
      <c r="H303" s="18" t="e">
        <f>F303*0.5</f>
        <v>#DIV/0!</v>
      </c>
      <c r="I303" s="18" t="e">
        <f>F303*2</f>
        <v>#DIV/0!</v>
      </c>
      <c r="J303" s="6" t="s">
        <v>292</v>
      </c>
      <c r="K303" s="6"/>
      <c r="L303" s="18">
        <v>970.94</v>
      </c>
      <c r="M303" s="18">
        <v>834.18799999999999</v>
      </c>
      <c r="N303" s="18">
        <v>1107.69</v>
      </c>
      <c r="O303" s="17"/>
      <c r="P303" s="17"/>
      <c r="Q303" s="17" t="s">
        <v>190</v>
      </c>
    </row>
    <row r="304" spans="1:17">
      <c r="A304" s="10" t="s">
        <v>70</v>
      </c>
      <c r="B304" s="17" t="s">
        <v>71</v>
      </c>
      <c r="C304" s="17">
        <f>AVERAGE(D304:E304)</f>
        <v>205.15</v>
      </c>
      <c r="D304" s="17">
        <v>209</v>
      </c>
      <c r="E304" s="17">
        <v>201.3</v>
      </c>
      <c r="F304" s="17" t="e">
        <f>L304*$P304/$O304</f>
        <v>#DIV/0!</v>
      </c>
      <c r="G304" s="6" t="s">
        <v>2</v>
      </c>
      <c r="H304" s="18" t="e">
        <f>F304*0.5</f>
        <v>#DIV/0!</v>
      </c>
      <c r="I304" s="18" t="e">
        <f>F304*2</f>
        <v>#DIV/0!</v>
      </c>
      <c r="J304" s="6" t="s">
        <v>292</v>
      </c>
      <c r="K304" s="6"/>
      <c r="L304" s="18">
        <v>1709.4</v>
      </c>
      <c r="M304" s="18">
        <v>1435.9</v>
      </c>
      <c r="N304" s="18">
        <v>2000</v>
      </c>
      <c r="O304" s="17"/>
      <c r="P304" s="17"/>
      <c r="Q304" s="17" t="s">
        <v>190</v>
      </c>
    </row>
    <row r="305" spans="1:17">
      <c r="A305" s="11" t="s">
        <v>20</v>
      </c>
      <c r="B305" s="17" t="s">
        <v>22</v>
      </c>
      <c r="C305" s="28">
        <f>AVERAGE(D305:E305)</f>
        <v>205.4</v>
      </c>
      <c r="D305" s="5">
        <f>209.5</f>
        <v>209.5</v>
      </c>
      <c r="E305" s="5">
        <f>201.3</f>
        <v>201.3</v>
      </c>
      <c r="F305" s="6" t="e">
        <f>L305*$P305/$O305</f>
        <v>#DIV/0!</v>
      </c>
      <c r="G305" s="6" t="s">
        <v>2</v>
      </c>
      <c r="H305" s="6" t="e">
        <f>F305*0.5</f>
        <v>#DIV/0!</v>
      </c>
      <c r="I305" s="6" t="e">
        <f>F305*2</f>
        <v>#DIV/0!</v>
      </c>
      <c r="J305" s="6" t="s">
        <v>78</v>
      </c>
      <c r="K305" s="6"/>
      <c r="L305" s="18">
        <v>1299.1500000000001</v>
      </c>
      <c r="M305" s="18">
        <v>1066.67</v>
      </c>
      <c r="N305" s="18">
        <v>1490.6</v>
      </c>
      <c r="O305" s="17"/>
      <c r="P305" s="17"/>
      <c r="Q305" s="17" t="s">
        <v>190</v>
      </c>
    </row>
    <row r="306" spans="1:17">
      <c r="A306" s="11" t="s">
        <v>20</v>
      </c>
      <c r="B306" s="17" t="s">
        <v>22</v>
      </c>
      <c r="C306" s="28">
        <f>AVERAGE(D306:E306)</f>
        <v>205.4</v>
      </c>
      <c r="D306" s="5">
        <f>209.5</f>
        <v>209.5</v>
      </c>
      <c r="E306" s="5">
        <f>201.3</f>
        <v>201.3</v>
      </c>
      <c r="F306" s="6" t="e">
        <f>L306*$P306/$O306</f>
        <v>#DIV/0!</v>
      </c>
      <c r="G306" s="6" t="s">
        <v>2</v>
      </c>
      <c r="H306" s="6" t="e">
        <f>F306*0.5</f>
        <v>#DIV/0!</v>
      </c>
      <c r="I306" s="6" t="e">
        <f>F306*2</f>
        <v>#DIV/0!</v>
      </c>
      <c r="J306" s="6" t="s">
        <v>78</v>
      </c>
      <c r="K306" s="6"/>
      <c r="L306" s="18">
        <v>902.56399999999996</v>
      </c>
      <c r="M306" s="18">
        <v>738.46199999999999</v>
      </c>
      <c r="N306" s="18">
        <v>1067</v>
      </c>
      <c r="O306" s="17"/>
      <c r="P306" s="17"/>
      <c r="Q306" s="17" t="s">
        <v>190</v>
      </c>
    </row>
    <row r="307" spans="1:17">
      <c r="A307" s="11" t="s">
        <v>20</v>
      </c>
      <c r="B307" s="17" t="s">
        <v>22</v>
      </c>
      <c r="C307" s="28">
        <f>AVERAGE(D307:E307)</f>
        <v>205.4</v>
      </c>
      <c r="D307" s="5">
        <f>209.5</f>
        <v>209.5</v>
      </c>
      <c r="E307" s="5">
        <f>201.3</f>
        <v>201.3</v>
      </c>
      <c r="F307" s="6" t="e">
        <f>L307*$P307/$O307</f>
        <v>#DIV/0!</v>
      </c>
      <c r="G307" s="6" t="s">
        <v>2</v>
      </c>
      <c r="H307" s="6" t="e">
        <f>F307*0.5</f>
        <v>#DIV/0!</v>
      </c>
      <c r="I307" s="6" t="e">
        <f>F307*2</f>
        <v>#DIV/0!</v>
      </c>
      <c r="J307" s="6" t="s">
        <v>78</v>
      </c>
      <c r="K307" s="6"/>
      <c r="L307" s="18">
        <v>300.85500000000002</v>
      </c>
      <c r="M307" s="18">
        <v>218.803</v>
      </c>
      <c r="N307" s="18">
        <v>382.90600000000001</v>
      </c>
      <c r="O307" s="17"/>
      <c r="P307" s="17"/>
      <c r="Q307" s="17" t="s">
        <v>190</v>
      </c>
    </row>
    <row r="308" spans="1:17">
      <c r="A308" s="11" t="s">
        <v>20</v>
      </c>
      <c r="B308" s="17" t="s">
        <v>22</v>
      </c>
      <c r="C308" s="28">
        <f>AVERAGE(D308:E308)</f>
        <v>205.4</v>
      </c>
      <c r="D308" s="5">
        <f>209.5</f>
        <v>209.5</v>
      </c>
      <c r="E308" s="5">
        <f>201.3</f>
        <v>201.3</v>
      </c>
      <c r="F308" s="6">
        <f>L308*$P308/$O308</f>
        <v>234.64821151169244</v>
      </c>
      <c r="G308" s="6" t="s">
        <v>2</v>
      </c>
      <c r="H308" s="6">
        <f>F308*0.5</f>
        <v>117.32410575584622</v>
      </c>
      <c r="I308" s="6">
        <f>F308*2</f>
        <v>469.29642302338488</v>
      </c>
      <c r="J308" s="6" t="s">
        <v>78</v>
      </c>
      <c r="K308" s="6"/>
      <c r="L308" s="17">
        <v>399</v>
      </c>
      <c r="M308" s="17">
        <f>L308-79</f>
        <v>320</v>
      </c>
      <c r="N308" s="17">
        <f>L308+79</f>
        <v>478</v>
      </c>
      <c r="O308" s="18">
        <v>4700</v>
      </c>
      <c r="P308" s="18">
        <v>2764.0265516414902</v>
      </c>
      <c r="Q308" s="17" t="s">
        <v>188</v>
      </c>
    </row>
    <row r="309" spans="1:17">
      <c r="A309" s="11" t="s">
        <v>20</v>
      </c>
      <c r="B309" s="17" t="s">
        <v>22</v>
      </c>
      <c r="C309" s="28">
        <f>AVERAGE(D309:E309)</f>
        <v>205.4</v>
      </c>
      <c r="D309" s="5">
        <f>209.5</f>
        <v>209.5</v>
      </c>
      <c r="E309" s="5">
        <f>201.3</f>
        <v>201.3</v>
      </c>
      <c r="F309" s="6">
        <f>L309*$P309/$O309</f>
        <v>212.05151649320578</v>
      </c>
      <c r="G309" s="6" t="s">
        <v>2</v>
      </c>
      <c r="H309" s="6">
        <f>F309*0.5</f>
        <v>106.02575824660289</v>
      </c>
      <c r="I309" s="6">
        <f>F309*2</f>
        <v>424.10303298641156</v>
      </c>
      <c r="J309" s="6" t="s">
        <v>78</v>
      </c>
      <c r="K309" s="6"/>
      <c r="L309" s="17">
        <v>341</v>
      </c>
      <c r="M309" s="17">
        <f>L309-103</f>
        <v>238</v>
      </c>
      <c r="N309" s="17">
        <f>L309+103</f>
        <v>444</v>
      </c>
      <c r="O309" s="18">
        <v>2987</v>
      </c>
      <c r="P309" s="18">
        <v>1857.4717881677586</v>
      </c>
      <c r="Q309" s="17" t="s">
        <v>191</v>
      </c>
    </row>
    <row r="310" spans="1:17">
      <c r="A310" s="11" t="s">
        <v>20</v>
      </c>
      <c r="B310" s="17" t="s">
        <v>22</v>
      </c>
      <c r="C310" s="28">
        <f>AVERAGE(D310:E310)</f>
        <v>205.4</v>
      </c>
      <c r="D310" s="5">
        <f>209.5</f>
        <v>209.5</v>
      </c>
      <c r="E310" s="5">
        <f>201.3</f>
        <v>201.3</v>
      </c>
      <c r="F310" s="6">
        <f>L310*$P310/$O310</f>
        <v>199.59476701156882</v>
      </c>
      <c r="G310" s="6" t="s">
        <v>2</v>
      </c>
      <c r="H310" s="6">
        <f>F310*0.5</f>
        <v>99.79738350578441</v>
      </c>
      <c r="I310" s="6">
        <f>F310*2</f>
        <v>399.18953402313764</v>
      </c>
      <c r="J310" s="6" t="s">
        <v>78</v>
      </c>
      <c r="K310" s="6"/>
      <c r="L310" s="17">
        <v>326</v>
      </c>
      <c r="M310" s="17">
        <f>L310-91</f>
        <v>235</v>
      </c>
      <c r="N310" s="17">
        <f>L310+91</f>
        <v>417</v>
      </c>
      <c r="O310" s="18">
        <f>AVERAGE(2649,4024)</f>
        <v>3336.5</v>
      </c>
      <c r="P310" s="18">
        <v>2042.7850924358877</v>
      </c>
      <c r="Q310" s="17" t="s">
        <v>191</v>
      </c>
    </row>
    <row r="311" spans="1:17">
      <c r="A311" s="11" t="s">
        <v>20</v>
      </c>
      <c r="B311" s="17" t="s">
        <v>22</v>
      </c>
      <c r="C311" s="28">
        <f>AVERAGE(D311:E311)</f>
        <v>205.4</v>
      </c>
      <c r="D311" s="5">
        <f>209.5</f>
        <v>209.5</v>
      </c>
      <c r="E311" s="5">
        <f>201.3</f>
        <v>201.3</v>
      </c>
      <c r="F311" s="6">
        <f>L311*$P311/$O311</f>
        <v>288.94127381856879</v>
      </c>
      <c r="G311" s="6" t="s">
        <v>2</v>
      </c>
      <c r="H311" s="6">
        <f>F311*0.5</f>
        <v>144.47063690928439</v>
      </c>
      <c r="I311" s="6">
        <f>F311*2</f>
        <v>577.88254763713758</v>
      </c>
      <c r="J311" s="6" t="s">
        <v>78</v>
      </c>
      <c r="K311" s="6"/>
      <c r="L311" s="17">
        <v>456</v>
      </c>
      <c r="M311" s="17">
        <f>L311-159</f>
        <v>297</v>
      </c>
      <c r="N311" s="17">
        <f>L311+159</f>
        <v>615</v>
      </c>
      <c r="O311" s="18">
        <f>AVERAGE(1275,3338,3338)</f>
        <v>2650.3333333333335</v>
      </c>
      <c r="P311" s="18">
        <v>1679.3655468797081</v>
      </c>
      <c r="Q311" s="17" t="s">
        <v>191</v>
      </c>
    </row>
    <row r="312" spans="1:17">
      <c r="A312" s="11" t="s">
        <v>20</v>
      </c>
      <c r="B312" s="17" t="s">
        <v>22</v>
      </c>
      <c r="C312" s="28">
        <f>AVERAGE(D312:E312)</f>
        <v>205.4</v>
      </c>
      <c r="D312" s="5">
        <f>209.5</f>
        <v>209.5</v>
      </c>
      <c r="E312" s="5">
        <f>201.3</f>
        <v>201.3</v>
      </c>
      <c r="F312" s="6">
        <f>L312*$P312/$O312</f>
        <v>175.13069162365264</v>
      </c>
      <c r="G312" s="6" t="s">
        <v>2</v>
      </c>
      <c r="H312" s="6">
        <f>F312*0.5</f>
        <v>87.565345811826319</v>
      </c>
      <c r="I312" s="6">
        <f>F312*2</f>
        <v>350.26138324730528</v>
      </c>
      <c r="J312" s="6" t="s">
        <v>78</v>
      </c>
      <c r="K312" s="6"/>
      <c r="L312" s="17">
        <v>286</v>
      </c>
      <c r="M312" s="17">
        <f>L312-78</f>
        <v>208</v>
      </c>
      <c r="N312" s="17">
        <f>L312+78</f>
        <v>364</v>
      </c>
      <c r="O312" s="18">
        <v>3338</v>
      </c>
      <c r="P312" s="18">
        <v>2044.0078623767572</v>
      </c>
      <c r="Q312" s="17" t="s">
        <v>191</v>
      </c>
    </row>
    <row r="313" spans="1:17">
      <c r="A313" s="11" t="s">
        <v>20</v>
      </c>
      <c r="B313" s="17" t="s">
        <v>22</v>
      </c>
      <c r="C313" s="28">
        <f>AVERAGE(D313:E313)</f>
        <v>205.4</v>
      </c>
      <c r="D313" s="5">
        <f>209.5</f>
        <v>209.5</v>
      </c>
      <c r="E313" s="5">
        <f>201.3</f>
        <v>201.3</v>
      </c>
      <c r="F313" s="6">
        <f>L313*$P313/$O313</f>
        <v>357.49301786748816</v>
      </c>
      <c r="G313" s="6" t="s">
        <v>2</v>
      </c>
      <c r="H313" s="6">
        <f>F313*0.5</f>
        <v>178.74650893374408</v>
      </c>
      <c r="I313" s="6">
        <f>F313*2</f>
        <v>714.98603573497633</v>
      </c>
      <c r="J313" s="6" t="s">
        <v>78</v>
      </c>
      <c r="K313" s="6"/>
      <c r="L313" s="17">
        <v>584</v>
      </c>
      <c r="M313" s="17">
        <f>L313-159</f>
        <v>425</v>
      </c>
      <c r="N313" s="17">
        <f>L313+159</f>
        <v>743</v>
      </c>
      <c r="O313" s="18">
        <v>3340</v>
      </c>
      <c r="P313" s="18">
        <v>2044.566232324333</v>
      </c>
      <c r="Q313" s="17" t="s">
        <v>191</v>
      </c>
    </row>
    <row r="314" spans="1:17">
      <c r="A314" s="11" t="s">
        <v>20</v>
      </c>
      <c r="B314" s="17" t="s">
        <v>22</v>
      </c>
      <c r="C314" s="28">
        <f>AVERAGE(D314:E314)</f>
        <v>205.4</v>
      </c>
      <c r="D314" s="5">
        <f>209.5</f>
        <v>209.5</v>
      </c>
      <c r="E314" s="5">
        <f>201.3</f>
        <v>201.3</v>
      </c>
      <c r="F314" s="6">
        <f>L314*$P314/$O314</f>
        <v>277.65805513335124</v>
      </c>
      <c r="G314" s="6" t="s">
        <v>2</v>
      </c>
      <c r="H314" s="6">
        <f>F314*0.5</f>
        <v>138.82902756667562</v>
      </c>
      <c r="I314" s="6">
        <f>F314*2</f>
        <v>555.31611026670248</v>
      </c>
      <c r="J314" s="6" t="s">
        <v>78</v>
      </c>
      <c r="K314" s="6"/>
      <c r="L314" s="17">
        <v>451</v>
      </c>
      <c r="M314" s="17">
        <f>L314-126</f>
        <v>325</v>
      </c>
      <c r="N314" s="17">
        <f>L314+126</f>
        <v>577</v>
      </c>
      <c r="O314" s="18">
        <f>AVERAGE(4717,1689)</f>
        <v>3203</v>
      </c>
      <c r="P314" s="18">
        <v>1971.926276257481</v>
      </c>
      <c r="Q314" s="17" t="s">
        <v>191</v>
      </c>
    </row>
    <row r="315" spans="1:17">
      <c r="A315" s="11" t="s">
        <v>20</v>
      </c>
      <c r="B315" s="17" t="s">
        <v>22</v>
      </c>
      <c r="C315" s="28">
        <f>AVERAGE(D315:E315)</f>
        <v>205.4</v>
      </c>
      <c r="D315" s="5">
        <f>209.5</f>
        <v>209.5</v>
      </c>
      <c r="E315" s="5">
        <f>201.3</f>
        <v>201.3</v>
      </c>
      <c r="F315" s="6">
        <f>L315*$P315/$O315</f>
        <v>360.48374235754693</v>
      </c>
      <c r="G315" s="6" t="s">
        <v>2</v>
      </c>
      <c r="H315" s="6">
        <f>F315*0.5</f>
        <v>180.24187117877347</v>
      </c>
      <c r="I315" s="6">
        <f>F315*2</f>
        <v>720.96748471509386</v>
      </c>
      <c r="J315" s="6" t="s">
        <v>78</v>
      </c>
      <c r="K315" s="6"/>
      <c r="L315" s="17">
        <v>569</v>
      </c>
      <c r="M315" s="17">
        <f>L315-271</f>
        <v>298</v>
      </c>
      <c r="N315" s="17">
        <f>L315+271</f>
        <v>840</v>
      </c>
      <c r="O315" s="18">
        <f>AVERAGE(1965,1965,1965,2653,4718)</f>
        <v>2653.2</v>
      </c>
      <c r="P315" s="18">
        <v>1680.9059142759991</v>
      </c>
      <c r="Q315" s="17" t="s">
        <v>191</v>
      </c>
    </row>
    <row r="316" spans="1:17">
      <c r="A316" s="11" t="s">
        <v>20</v>
      </c>
      <c r="B316" s="17" t="s">
        <v>22</v>
      </c>
      <c r="C316" s="28">
        <f>AVERAGE(D316:E316)</f>
        <v>205.4</v>
      </c>
      <c r="D316" s="5">
        <f>209.5</f>
        <v>209.5</v>
      </c>
      <c r="E316" s="5">
        <f>201.3</f>
        <v>201.3</v>
      </c>
      <c r="F316" s="6">
        <f>L316*$P316/$O316</f>
        <v>297.77357771402592</v>
      </c>
      <c r="G316" s="6" t="s">
        <v>2</v>
      </c>
      <c r="H316" s="6">
        <f>F316*0.5</f>
        <v>148.88678885701296</v>
      </c>
      <c r="I316" s="6">
        <f>F316*2</f>
        <v>595.54715542805184</v>
      </c>
      <c r="J316" s="6" t="s">
        <v>78</v>
      </c>
      <c r="K316" s="6"/>
      <c r="L316" s="17">
        <v>470</v>
      </c>
      <c r="M316" s="17">
        <f>L316-160</f>
        <v>310</v>
      </c>
      <c r="N316" s="17">
        <f>L316+160</f>
        <v>630</v>
      </c>
      <c r="O316" s="18">
        <v>2654</v>
      </c>
      <c r="P316" s="18">
        <v>1681.4703728787763</v>
      </c>
      <c r="Q316" s="17" t="s">
        <v>191</v>
      </c>
    </row>
    <row r="317" spans="1:17">
      <c r="A317" s="11" t="s">
        <v>20</v>
      </c>
      <c r="B317" s="17" t="s">
        <v>22</v>
      </c>
      <c r="C317" s="28">
        <f>AVERAGE(D317:E317)</f>
        <v>205.4</v>
      </c>
      <c r="D317" s="5">
        <f>209.5</f>
        <v>209.5</v>
      </c>
      <c r="E317" s="5">
        <f>201.3</f>
        <v>201.3</v>
      </c>
      <c r="F317" s="6">
        <f>L317*$P317/$O317</f>
        <v>491.86701773079386</v>
      </c>
      <c r="G317" s="6" t="s">
        <v>2</v>
      </c>
      <c r="H317" s="6">
        <f>F317*0.5</f>
        <v>245.93350886539693</v>
      </c>
      <c r="I317" s="6">
        <f>F317*2</f>
        <v>983.73403546158772</v>
      </c>
      <c r="J317" s="6" t="s">
        <v>78</v>
      </c>
      <c r="K317" s="6"/>
      <c r="L317" s="17">
        <v>837</v>
      </c>
      <c r="M317" s="17">
        <f>L317-164</f>
        <v>673</v>
      </c>
      <c r="N317" s="17">
        <f>L317+164</f>
        <v>1001</v>
      </c>
      <c r="O317" s="18">
        <v>4738</v>
      </c>
      <c r="P317" s="18">
        <v>2784.3081601057361</v>
      </c>
      <c r="Q317" s="17" t="s">
        <v>191</v>
      </c>
    </row>
    <row r="318" spans="1:17">
      <c r="A318" s="11" t="s">
        <v>20</v>
      </c>
      <c r="B318" s="17" t="s">
        <v>22</v>
      </c>
      <c r="C318" s="28">
        <f>AVERAGE(D318:E318)</f>
        <v>205.4</v>
      </c>
      <c r="D318" s="5">
        <f>209.5</f>
        <v>209.5</v>
      </c>
      <c r="E318" s="5">
        <f>201.3</f>
        <v>201.3</v>
      </c>
      <c r="F318" s="6">
        <f>L318*$P318/$O318</f>
        <v>175.01050557206986</v>
      </c>
      <c r="G318" s="6" t="s">
        <v>2</v>
      </c>
      <c r="H318" s="6">
        <f>F318*0.5</f>
        <v>87.50525278603493</v>
      </c>
      <c r="I318" s="6">
        <f>F318*2</f>
        <v>350.02101114413972</v>
      </c>
      <c r="J318" s="6" t="s">
        <v>78</v>
      </c>
      <c r="K318" s="6"/>
      <c r="L318" s="17">
        <v>277</v>
      </c>
      <c r="M318" s="17">
        <f>L318-115</f>
        <v>162</v>
      </c>
      <c r="N318" s="17">
        <f>L318+115</f>
        <v>392</v>
      </c>
      <c r="O318" s="18">
        <f>AVERAGE(2685,1986,3034,3384,2405)</f>
        <v>2698.8</v>
      </c>
      <c r="P318" s="18">
        <v>1705.1204059130043</v>
      </c>
      <c r="Q318" s="17" t="s">
        <v>191</v>
      </c>
    </row>
    <row r="319" spans="1:17">
      <c r="A319" s="11" t="s">
        <v>20</v>
      </c>
      <c r="B319" s="17" t="s">
        <v>22</v>
      </c>
      <c r="C319" s="28">
        <f>AVERAGE(D319:E319)</f>
        <v>205.4</v>
      </c>
      <c r="D319" s="5">
        <f>209.5</f>
        <v>209.5</v>
      </c>
      <c r="E319" s="5">
        <f>201.3</f>
        <v>201.3</v>
      </c>
      <c r="F319" s="6" t="e">
        <f>L319*$P319/$O319</f>
        <v>#DIV/0!</v>
      </c>
      <c r="G319" s="6" t="s">
        <v>2</v>
      </c>
      <c r="H319" s="6" t="e">
        <f>F319*0.5</f>
        <v>#DIV/0!</v>
      </c>
      <c r="I319" s="6" t="e">
        <f>F319*2</f>
        <v>#DIV/0!</v>
      </c>
      <c r="J319" s="6" t="s">
        <v>78</v>
      </c>
      <c r="K319" s="6"/>
      <c r="L319" s="17">
        <v>400</v>
      </c>
      <c r="M319" s="17">
        <v>275</v>
      </c>
      <c r="N319" s="17">
        <v>530</v>
      </c>
      <c r="O319" s="17"/>
      <c r="P319" s="17"/>
      <c r="Q319" s="17" t="s">
        <v>192</v>
      </c>
    </row>
    <row r="320" spans="1:17">
      <c r="A320" s="11" t="s">
        <v>20</v>
      </c>
      <c r="B320" s="17" t="s">
        <v>22</v>
      </c>
      <c r="C320" s="28">
        <f>AVERAGE(D320:E320)</f>
        <v>205.4</v>
      </c>
      <c r="D320" s="5">
        <f>209.5</f>
        <v>209.5</v>
      </c>
      <c r="E320" s="5">
        <f>201.3</f>
        <v>201.3</v>
      </c>
      <c r="F320" s="6" t="e">
        <f>L320*$P320/$O320</f>
        <v>#DIV/0!</v>
      </c>
      <c r="G320" s="6" t="s">
        <v>2</v>
      </c>
      <c r="H320" s="6" t="e">
        <f>F320*0.5</f>
        <v>#DIV/0!</v>
      </c>
      <c r="I320" s="6" t="e">
        <f>F320*2</f>
        <v>#DIV/0!</v>
      </c>
      <c r="J320" s="6" t="s">
        <v>78</v>
      </c>
      <c r="K320" s="6"/>
      <c r="L320" s="17">
        <v>750</v>
      </c>
      <c r="M320" s="17">
        <v>630</v>
      </c>
      <c r="N320" s="17">
        <v>880</v>
      </c>
      <c r="O320" s="17"/>
      <c r="P320" s="17"/>
      <c r="Q320" s="17" t="s">
        <v>192</v>
      </c>
    </row>
    <row r="321" spans="1:17">
      <c r="A321" s="11" t="s">
        <v>20</v>
      </c>
      <c r="B321" s="17" t="s">
        <v>22</v>
      </c>
      <c r="C321" s="28">
        <f>AVERAGE(D321:E321)</f>
        <v>205.4</v>
      </c>
      <c r="D321" s="5">
        <f>209.5</f>
        <v>209.5</v>
      </c>
      <c r="E321" s="5">
        <f>201.3</f>
        <v>201.3</v>
      </c>
      <c r="F321" s="6" t="e">
        <f>L321*$P321/$O321</f>
        <v>#DIV/0!</v>
      </c>
      <c r="G321" s="6" t="s">
        <v>2</v>
      </c>
      <c r="H321" s="6" t="e">
        <f>F321*0.5</f>
        <v>#DIV/0!</v>
      </c>
      <c r="I321" s="6" t="e">
        <f>F321*2</f>
        <v>#DIV/0!</v>
      </c>
      <c r="J321" s="6" t="s">
        <v>78</v>
      </c>
      <c r="K321" s="6"/>
      <c r="L321" s="17">
        <v>1260</v>
      </c>
      <c r="M321" s="17">
        <v>1075</v>
      </c>
      <c r="N321" s="17">
        <v>1440</v>
      </c>
      <c r="O321" s="17"/>
      <c r="P321" s="17"/>
      <c r="Q321" s="17" t="s">
        <v>192</v>
      </c>
    </row>
    <row r="322" spans="1:17">
      <c r="A322" s="11" t="s">
        <v>20</v>
      </c>
      <c r="B322" s="17" t="s">
        <v>22</v>
      </c>
      <c r="C322" s="28">
        <f>AVERAGE(D322:E322)</f>
        <v>205.4</v>
      </c>
      <c r="D322" s="5">
        <f>209.5</f>
        <v>209.5</v>
      </c>
      <c r="E322" s="5">
        <f>201.3</f>
        <v>201.3</v>
      </c>
      <c r="F322" s="6" t="e">
        <f>L322*$P322/$O322</f>
        <v>#DIV/0!</v>
      </c>
      <c r="G322" s="6" t="s">
        <v>2</v>
      </c>
      <c r="H322" s="6" t="e">
        <f>F322*0.5</f>
        <v>#DIV/0!</v>
      </c>
      <c r="I322" s="6" t="e">
        <f>F322*2</f>
        <v>#DIV/0!</v>
      </c>
      <c r="J322" s="6" t="s">
        <v>78</v>
      </c>
      <c r="K322" s="6"/>
      <c r="L322" s="17">
        <v>1210</v>
      </c>
      <c r="M322" s="17">
        <v>1030</v>
      </c>
      <c r="N322" s="17">
        <v>1400</v>
      </c>
      <c r="O322" s="17"/>
      <c r="P322" s="17"/>
      <c r="Q322" s="17" t="s">
        <v>192</v>
      </c>
    </row>
    <row r="323" spans="1:17">
      <c r="A323" s="11" t="s">
        <v>20</v>
      </c>
      <c r="B323" s="17" t="s">
        <v>22</v>
      </c>
      <c r="C323" s="28">
        <f>AVERAGE(D323:E323)</f>
        <v>205.4</v>
      </c>
      <c r="D323" s="5">
        <f>209.5</f>
        <v>209.5</v>
      </c>
      <c r="E323" s="5">
        <f>201.3</f>
        <v>201.3</v>
      </c>
      <c r="F323" s="6" t="e">
        <f>L323*$P323/$O323</f>
        <v>#DIV/0!</v>
      </c>
      <c r="G323" s="6" t="s">
        <v>2</v>
      </c>
      <c r="H323" s="6" t="e">
        <f>F323*0.5</f>
        <v>#DIV/0!</v>
      </c>
      <c r="I323" s="6" t="e">
        <f>F323*2</f>
        <v>#DIV/0!</v>
      </c>
      <c r="J323" s="6" t="s">
        <v>78</v>
      </c>
      <c r="K323" s="6"/>
      <c r="L323" s="17">
        <v>725</v>
      </c>
      <c r="M323" s="17">
        <v>640</v>
      </c>
      <c r="N323" s="17">
        <v>800</v>
      </c>
      <c r="O323" s="17"/>
      <c r="P323" s="17"/>
      <c r="Q323" s="17" t="s">
        <v>192</v>
      </c>
    </row>
    <row r="324" spans="1:17">
      <c r="A324" s="11" t="s">
        <v>20</v>
      </c>
      <c r="B324" s="17" t="s">
        <v>22</v>
      </c>
      <c r="C324" s="28">
        <f>AVERAGE(D324:E324)</f>
        <v>205.4</v>
      </c>
      <c r="D324" s="5">
        <f>209.5</f>
        <v>209.5</v>
      </c>
      <c r="E324" s="5">
        <f>201.3</f>
        <v>201.3</v>
      </c>
      <c r="F324" s="6">
        <f>L324*$P324/$O324</f>
        <v>923.59780000000001</v>
      </c>
      <c r="G324" s="6" t="s">
        <v>2</v>
      </c>
      <c r="H324" s="6">
        <f>F324*0.5</f>
        <v>461.7989</v>
      </c>
      <c r="I324" s="6">
        <f>F324*2</f>
        <v>1847.1956</v>
      </c>
      <c r="J324" s="6" t="s">
        <v>78</v>
      </c>
      <c r="K324" s="6"/>
      <c r="L324" s="17">
        <f>AVERAGE(M324:N324)</f>
        <v>1711</v>
      </c>
      <c r="M324" s="17">
        <v>1226</v>
      </c>
      <c r="N324" s="17">
        <v>2196</v>
      </c>
      <c r="O324" s="17">
        <v>5000</v>
      </c>
      <c r="P324" s="17">
        <v>2699</v>
      </c>
      <c r="Q324" s="17" t="s">
        <v>188</v>
      </c>
    </row>
    <row r="325" spans="1:17">
      <c r="A325" s="11" t="s">
        <v>20</v>
      </c>
      <c r="B325" s="17" t="s">
        <v>22</v>
      </c>
      <c r="C325" s="28">
        <f>AVERAGE(D325:E325)</f>
        <v>205.4</v>
      </c>
      <c r="D325" s="5">
        <f>209.5</f>
        <v>209.5</v>
      </c>
      <c r="E325" s="5">
        <f>201.3</f>
        <v>201.3</v>
      </c>
      <c r="F325" s="6">
        <f>L325*$P325/$O325</f>
        <v>264.59906090715731</v>
      </c>
      <c r="G325" s="6" t="s">
        <v>2</v>
      </c>
      <c r="H325" s="6">
        <f>F325*0.5</f>
        <v>132.29953045357865</v>
      </c>
      <c r="I325" s="6">
        <f>F325*2</f>
        <v>529.19812181431462</v>
      </c>
      <c r="J325" s="6" t="s">
        <v>78</v>
      </c>
      <c r="K325" s="6"/>
      <c r="L325" s="17">
        <v>433</v>
      </c>
      <c r="M325" s="17"/>
      <c r="N325" s="17"/>
      <c r="O325" s="17">
        <v>3382</v>
      </c>
      <c r="P325" s="18">
        <f>35.3*((O325-588)/66.7)+588</f>
        <v>2066.6836581709144</v>
      </c>
      <c r="Q325" s="17" t="s">
        <v>188</v>
      </c>
    </row>
    <row r="326" spans="1:17">
      <c r="A326" s="11" t="s">
        <v>20</v>
      </c>
      <c r="B326" s="17" t="s">
        <v>22</v>
      </c>
      <c r="C326" s="28">
        <f>AVERAGE(D326:E326)</f>
        <v>205.4</v>
      </c>
      <c r="D326" s="5">
        <f>209.5</f>
        <v>209.5</v>
      </c>
      <c r="E326" s="5">
        <f>201.3</f>
        <v>201.3</v>
      </c>
      <c r="F326" s="6">
        <f>L326*$P326/$O326</f>
        <v>376.83470880935749</v>
      </c>
      <c r="G326" s="6" t="s">
        <v>2</v>
      </c>
      <c r="H326" s="6">
        <f>F326*0.5</f>
        <v>188.41735440467875</v>
      </c>
      <c r="I326" s="6">
        <f>F326*2</f>
        <v>753.66941761871499</v>
      </c>
      <c r="J326" s="6" t="s">
        <v>78</v>
      </c>
      <c r="K326" s="6"/>
      <c r="L326" s="17">
        <v>633</v>
      </c>
      <c r="M326" s="17"/>
      <c r="N326" s="17"/>
      <c r="O326" s="17">
        <v>4189</v>
      </c>
      <c r="P326" s="18">
        <f>35.3*((O326-588)/66.7)+588</f>
        <v>2493.7766116941525</v>
      </c>
      <c r="Q326" s="17" t="s">
        <v>188</v>
      </c>
    </row>
    <row r="327" spans="1:17">
      <c r="A327" s="11" t="s">
        <v>20</v>
      </c>
      <c r="B327" s="17" t="s">
        <v>22</v>
      </c>
      <c r="C327" s="28">
        <f>AVERAGE(D327:E327)</f>
        <v>205.4</v>
      </c>
      <c r="D327" s="5">
        <f>209.5</f>
        <v>209.5</v>
      </c>
      <c r="E327" s="5">
        <f>201.3</f>
        <v>201.3</v>
      </c>
      <c r="F327" s="6">
        <f>L327*$P327/$O327</f>
        <v>1325</v>
      </c>
      <c r="G327" s="6" t="s">
        <v>2</v>
      </c>
      <c r="H327" s="6">
        <f>F327*0.5</f>
        <v>662.5</v>
      </c>
      <c r="I327" s="6">
        <f>F327*2</f>
        <v>2650</v>
      </c>
      <c r="J327" s="6" t="s">
        <v>78</v>
      </c>
      <c r="K327" s="6"/>
      <c r="L327" s="17">
        <f>AVERAGE(M327:N327)</f>
        <v>1325</v>
      </c>
      <c r="M327" s="17">
        <v>850</v>
      </c>
      <c r="N327" s="17">
        <v>1800</v>
      </c>
      <c r="O327" s="17">
        <v>1500</v>
      </c>
      <c r="P327" s="17">
        <f>O327</f>
        <v>1500</v>
      </c>
      <c r="Q327" s="17"/>
    </row>
    <row r="328" spans="1:17">
      <c r="A328" s="10" t="s">
        <v>62</v>
      </c>
      <c r="B328" s="17" t="s">
        <v>63</v>
      </c>
      <c r="C328" s="27">
        <v>205.91</v>
      </c>
      <c r="D328" s="27"/>
      <c r="E328" s="27"/>
      <c r="F328" s="17">
        <f>L328*$P328/$O328</f>
        <v>1100</v>
      </c>
      <c r="G328" s="6" t="s">
        <v>2</v>
      </c>
      <c r="H328" s="18">
        <f>M328*$P328/$O328</f>
        <v>700</v>
      </c>
      <c r="I328" s="18">
        <f>N328*$P328/$O328</f>
        <v>1500</v>
      </c>
      <c r="J328" s="6" t="s">
        <v>254</v>
      </c>
      <c r="K328" s="6"/>
      <c r="L328" s="17">
        <f t="shared" ref="L328:L329" si="4">AVERAGE(M328:N328)</f>
        <v>1100</v>
      </c>
      <c r="M328" s="17">
        <v>700</v>
      </c>
      <c r="N328" s="17">
        <v>1500</v>
      </c>
      <c r="O328" s="17">
        <v>1500</v>
      </c>
      <c r="P328" s="17">
        <f t="shared" ref="P328:P329" si="5">O328</f>
        <v>1500</v>
      </c>
      <c r="Q328" s="17"/>
    </row>
    <row r="329" spans="1:17">
      <c r="A329" s="10" t="s">
        <v>62</v>
      </c>
      <c r="B329" s="17" t="s">
        <v>63</v>
      </c>
      <c r="C329" s="27">
        <v>205.93</v>
      </c>
      <c r="D329" s="27"/>
      <c r="E329" s="27"/>
      <c r="F329" s="17">
        <f>L329*$P329/$O329</f>
        <v>883</v>
      </c>
      <c r="G329" s="6" t="s">
        <v>2</v>
      </c>
      <c r="H329" s="18">
        <f>M329*$P329/$O329</f>
        <v>533</v>
      </c>
      <c r="I329" s="18">
        <f>N329*$P329/$O329</f>
        <v>1233</v>
      </c>
      <c r="J329" s="6" t="s">
        <v>254</v>
      </c>
      <c r="K329" s="6"/>
      <c r="L329" s="17">
        <f t="shared" si="4"/>
        <v>883</v>
      </c>
      <c r="M329" s="17">
        <v>533</v>
      </c>
      <c r="N329" s="17">
        <v>1233</v>
      </c>
      <c r="O329" s="17">
        <v>1500</v>
      </c>
      <c r="P329" s="17">
        <f t="shared" si="5"/>
        <v>1500</v>
      </c>
      <c r="Q329" s="17"/>
    </row>
    <row r="330" spans="1:17">
      <c r="A330" s="10" t="s">
        <v>62</v>
      </c>
      <c r="B330" s="17" t="s">
        <v>63</v>
      </c>
      <c r="C330" s="27">
        <v>207.22</v>
      </c>
      <c r="D330" s="27"/>
      <c r="E330" s="27"/>
      <c r="F330" s="17">
        <f>L330*$P330/$O330</f>
        <v>213.25182019782301</v>
      </c>
      <c r="G330" s="6" t="s">
        <v>2</v>
      </c>
      <c r="H330" s="18">
        <f>M330*$P330/$O330</f>
        <v>117.60518051863102</v>
      </c>
      <c r="I330" s="18">
        <f>N330*$P330/$O330</f>
        <v>375.95908936367698</v>
      </c>
      <c r="J330" s="6" t="s">
        <v>254</v>
      </c>
      <c r="K330" s="6"/>
      <c r="L330" s="18">
        <v>213.25182019782301</v>
      </c>
      <c r="M330" s="18">
        <v>117.605180518631</v>
      </c>
      <c r="N330" s="18">
        <v>375.95908936367698</v>
      </c>
      <c r="O330" s="17">
        <v>596</v>
      </c>
      <c r="P330" s="17">
        <v>596</v>
      </c>
      <c r="Q330" s="17" t="s">
        <v>196</v>
      </c>
    </row>
    <row r="331" spans="1:17">
      <c r="A331" s="10" t="s">
        <v>62</v>
      </c>
      <c r="B331" s="17" t="s">
        <v>63</v>
      </c>
      <c r="C331" s="27">
        <v>207.31</v>
      </c>
      <c r="D331" s="27"/>
      <c r="E331" s="27"/>
      <c r="F331" s="17">
        <f>L331*$P331/$O331</f>
        <v>283.17034197948198</v>
      </c>
      <c r="G331" s="6" t="s">
        <v>2</v>
      </c>
      <c r="H331" s="18">
        <f>M331*$P331/$O331</f>
        <v>154.04219192743901</v>
      </c>
      <c r="I331" s="18">
        <f>N331*$P331/$O331</f>
        <v>531.17108083096196</v>
      </c>
      <c r="J331" s="6" t="s">
        <v>254</v>
      </c>
      <c r="K331" s="6"/>
      <c r="L331" s="18">
        <v>283.17034197948198</v>
      </c>
      <c r="M331" s="18">
        <v>154.04219192743901</v>
      </c>
      <c r="N331" s="18">
        <v>531.17108083096196</v>
      </c>
      <c r="O331" s="17">
        <v>596</v>
      </c>
      <c r="P331" s="17">
        <v>596</v>
      </c>
      <c r="Q331" s="17" t="s">
        <v>196</v>
      </c>
    </row>
    <row r="332" spans="1:17">
      <c r="A332" s="10" t="s">
        <v>68</v>
      </c>
      <c r="B332" s="17" t="s">
        <v>69</v>
      </c>
      <c r="C332" s="5">
        <v>207.4</v>
      </c>
      <c r="D332" s="17"/>
      <c r="E332" s="17"/>
      <c r="F332" s="17">
        <f>L332</f>
        <v>371.50130145429199</v>
      </c>
      <c r="G332" s="6" t="s">
        <v>2</v>
      </c>
      <c r="H332" s="6">
        <f>F332*0.5</f>
        <v>185.750650727146</v>
      </c>
      <c r="I332" s="6">
        <f>F332*2</f>
        <v>743.00260290858398</v>
      </c>
      <c r="J332" s="6" t="s">
        <v>193</v>
      </c>
      <c r="K332" s="6"/>
      <c r="L332" s="18">
        <v>371.50130145429199</v>
      </c>
      <c r="M332" s="18">
        <v>227.050417806974</v>
      </c>
      <c r="N332" s="18">
        <v>663.49651337889804</v>
      </c>
      <c r="O332" s="17">
        <v>596</v>
      </c>
      <c r="P332" s="17">
        <v>596</v>
      </c>
      <c r="Q332" s="17" t="s">
        <v>199</v>
      </c>
    </row>
    <row r="333" spans="1:17">
      <c r="A333" s="10" t="s">
        <v>62</v>
      </c>
      <c r="B333" s="17" t="s">
        <v>63</v>
      </c>
      <c r="C333" s="27">
        <v>207.49</v>
      </c>
      <c r="D333" s="27"/>
      <c r="E333" s="27"/>
      <c r="F333" s="17">
        <f>L333*$P333/$O333</f>
        <v>273.78774511348502</v>
      </c>
      <c r="G333" s="6" t="s">
        <v>2</v>
      </c>
      <c r="H333" s="18">
        <f>M333*$P333/$O333</f>
        <v>173.198449290187</v>
      </c>
      <c r="I333" s="18">
        <f>N333*$P333/$O333</f>
        <v>476.118655931533</v>
      </c>
      <c r="J333" s="6" t="s">
        <v>254</v>
      </c>
      <c r="K333" s="6"/>
      <c r="L333" s="18">
        <v>273.78774511348502</v>
      </c>
      <c r="M333" s="18">
        <v>173.198449290187</v>
      </c>
      <c r="N333" s="18">
        <v>476.118655931533</v>
      </c>
      <c r="O333" s="17">
        <v>596</v>
      </c>
      <c r="P333" s="17">
        <v>596</v>
      </c>
      <c r="Q333" s="17" t="s">
        <v>196</v>
      </c>
    </row>
    <row r="334" spans="1:17">
      <c r="A334" s="10" t="s">
        <v>62</v>
      </c>
      <c r="B334" s="17" t="s">
        <v>63</v>
      </c>
      <c r="C334" s="27">
        <v>207.81</v>
      </c>
      <c r="D334" s="27"/>
      <c r="E334" s="27"/>
      <c r="F334" s="17">
        <f>L334*$P334/$O334</f>
        <v>197.14878517745501</v>
      </c>
      <c r="G334" s="6" t="s">
        <v>2</v>
      </c>
      <c r="H334" s="18">
        <f>M334*$P334/$O334</f>
        <v>89.531486710791199</v>
      </c>
      <c r="I334" s="18">
        <f>N334*$P334/$O334</f>
        <v>484.54076343145101</v>
      </c>
      <c r="J334" s="6" t="s">
        <v>254</v>
      </c>
      <c r="K334" s="6"/>
      <c r="L334" s="18">
        <v>197.14878517745501</v>
      </c>
      <c r="M334" s="18">
        <v>89.531486710791199</v>
      </c>
      <c r="N334" s="18">
        <v>484.54076343145101</v>
      </c>
      <c r="O334" s="17">
        <v>440</v>
      </c>
      <c r="P334" s="17">
        <v>440</v>
      </c>
      <c r="Q334" s="17" t="s">
        <v>202</v>
      </c>
    </row>
    <row r="335" spans="1:17">
      <c r="A335" s="10" t="s">
        <v>62</v>
      </c>
      <c r="B335" s="17" t="s">
        <v>63</v>
      </c>
      <c r="C335" s="27">
        <v>207.94</v>
      </c>
      <c r="D335" s="27"/>
      <c r="E335" s="27"/>
      <c r="F335" s="17">
        <f>L335*$P335/$O335</f>
        <v>267.14736569538798</v>
      </c>
      <c r="G335" s="6" t="s">
        <v>2</v>
      </c>
      <c r="H335" s="18">
        <f>M335*$P335/$O335</f>
        <v>130.78943309134399</v>
      </c>
      <c r="I335" s="18">
        <f>N335*$P335/$O335</f>
        <v>624.40714240309501</v>
      </c>
      <c r="J335" s="6" t="s">
        <v>254</v>
      </c>
      <c r="K335" s="6"/>
      <c r="L335" s="18">
        <v>267.14736569538798</v>
      </c>
      <c r="M335" s="18">
        <v>130.78943309134399</v>
      </c>
      <c r="N335" s="18">
        <v>624.40714240309501</v>
      </c>
      <c r="O335" s="17">
        <v>440</v>
      </c>
      <c r="P335" s="17">
        <v>440</v>
      </c>
      <c r="Q335" s="17" t="s">
        <v>202</v>
      </c>
    </row>
    <row r="336" spans="1:17">
      <c r="A336" s="10" t="s">
        <v>68</v>
      </c>
      <c r="B336" s="17" t="s">
        <v>69</v>
      </c>
      <c r="C336" s="5">
        <v>208.006</v>
      </c>
      <c r="D336" s="17"/>
      <c r="E336" s="17"/>
      <c r="F336" s="17">
        <f>L336</f>
        <v>101.37095366309499</v>
      </c>
      <c r="G336" s="6" t="s">
        <v>2</v>
      </c>
      <c r="H336" s="6">
        <f>F336*0.5</f>
        <v>50.685476831547497</v>
      </c>
      <c r="I336" s="6">
        <f>F336*2</f>
        <v>202.74190732618999</v>
      </c>
      <c r="J336" s="6" t="s">
        <v>193</v>
      </c>
      <c r="K336" s="6"/>
      <c r="L336" s="18">
        <v>101.37095366309499</v>
      </c>
      <c r="M336" s="18">
        <v>31.468686386663698</v>
      </c>
      <c r="N336" s="18">
        <v>272.475455001537</v>
      </c>
      <c r="O336" s="17">
        <v>440</v>
      </c>
      <c r="P336" s="17">
        <v>440</v>
      </c>
      <c r="Q336" s="17" t="s">
        <v>205</v>
      </c>
    </row>
    <row r="337" spans="1:17">
      <c r="A337" s="10" t="s">
        <v>62</v>
      </c>
      <c r="B337" s="17" t="s">
        <v>63</v>
      </c>
      <c r="C337" s="27">
        <v>208.05</v>
      </c>
      <c r="D337" s="27"/>
      <c r="E337" s="27"/>
      <c r="F337" s="17">
        <f>L337*$P337/$O337</f>
        <v>260.59522299516601</v>
      </c>
      <c r="G337" s="6" t="s">
        <v>2</v>
      </c>
      <c r="H337" s="18">
        <f>M337*$P337/$O337</f>
        <v>125.37094850340202</v>
      </c>
      <c r="I337" s="18">
        <f>N337*$P337/$O337</f>
        <v>609.45220922685405</v>
      </c>
      <c r="J337" s="6" t="s">
        <v>254</v>
      </c>
      <c r="K337" s="6"/>
      <c r="L337" s="18">
        <v>260.59522299516601</v>
      </c>
      <c r="M337" s="18">
        <v>125.370948503402</v>
      </c>
      <c r="N337" s="18">
        <v>609.45220922685405</v>
      </c>
      <c r="O337" s="17">
        <v>440</v>
      </c>
      <c r="P337" s="17">
        <v>440</v>
      </c>
      <c r="Q337" s="17" t="s">
        <v>207</v>
      </c>
    </row>
    <row r="338" spans="1:17">
      <c r="A338" s="10" t="s">
        <v>68</v>
      </c>
      <c r="B338" s="17" t="s">
        <v>69</v>
      </c>
      <c r="C338" s="5">
        <v>208.21100000000001</v>
      </c>
      <c r="D338" s="17"/>
      <c r="E338" s="17"/>
      <c r="F338" s="17">
        <f>L338</f>
        <v>237</v>
      </c>
      <c r="G338" s="6" t="s">
        <v>2</v>
      </c>
      <c r="H338" s="6">
        <f>F338*0.5</f>
        <v>118.5</v>
      </c>
      <c r="I338" s="6">
        <f>F338*2</f>
        <v>474</v>
      </c>
      <c r="J338" s="6" t="s">
        <v>193</v>
      </c>
      <c r="K338" s="6"/>
      <c r="L338" s="18">
        <v>237</v>
      </c>
      <c r="M338" s="18">
        <v>73</v>
      </c>
      <c r="N338" s="18">
        <v>1017</v>
      </c>
      <c r="O338" s="17">
        <v>711</v>
      </c>
      <c r="P338" s="17">
        <v>711</v>
      </c>
      <c r="Q338" s="17" t="s">
        <v>209</v>
      </c>
    </row>
    <row r="339" spans="1:17">
      <c r="A339" s="10" t="s">
        <v>62</v>
      </c>
      <c r="B339" s="17" t="s">
        <v>63</v>
      </c>
      <c r="C339" s="27">
        <v>208.3</v>
      </c>
      <c r="D339" s="27"/>
      <c r="E339" s="27"/>
      <c r="F339" s="17">
        <f>L339*$P339/$O339</f>
        <v>160</v>
      </c>
      <c r="G339" s="6" t="s">
        <v>2</v>
      </c>
      <c r="H339" s="18">
        <f>M339*$P339/$O339</f>
        <v>47</v>
      </c>
      <c r="I339" s="18">
        <f>N339*$P339/$O339</f>
        <v>694</v>
      </c>
      <c r="J339" s="6" t="s">
        <v>254</v>
      </c>
      <c r="K339" s="6"/>
      <c r="L339" s="18">
        <v>160</v>
      </c>
      <c r="M339" s="18">
        <v>47</v>
      </c>
      <c r="N339" s="18">
        <v>694</v>
      </c>
      <c r="O339" s="17">
        <v>711</v>
      </c>
      <c r="P339" s="17">
        <v>711</v>
      </c>
      <c r="Q339" s="17" t="s">
        <v>211</v>
      </c>
    </row>
    <row r="340" spans="1:17">
      <c r="A340" s="10" t="s">
        <v>62</v>
      </c>
      <c r="B340" s="17" t="s">
        <v>63</v>
      </c>
      <c r="C340" s="27">
        <v>208.37</v>
      </c>
      <c r="D340" s="27"/>
      <c r="E340" s="27"/>
      <c r="F340" s="17">
        <f>L340*$P340/$O340</f>
        <v>274</v>
      </c>
      <c r="G340" s="6" t="s">
        <v>2</v>
      </c>
      <c r="H340" s="18">
        <f>M340*$P340/$O340</f>
        <v>183</v>
      </c>
      <c r="I340" s="18">
        <f>N340*$P340/$O340</f>
        <v>400</v>
      </c>
      <c r="J340" s="6" t="s">
        <v>254</v>
      </c>
      <c r="K340" s="6"/>
      <c r="L340" s="18">
        <v>274</v>
      </c>
      <c r="M340" s="18">
        <v>183</v>
      </c>
      <c r="N340" s="18">
        <v>400</v>
      </c>
      <c r="O340" s="17">
        <v>629</v>
      </c>
      <c r="P340" s="17">
        <v>629</v>
      </c>
      <c r="Q340" s="17" t="s">
        <v>213</v>
      </c>
    </row>
    <row r="341" spans="1:17">
      <c r="A341" s="10" t="s">
        <v>68</v>
      </c>
      <c r="B341" s="17" t="s">
        <v>69</v>
      </c>
      <c r="C341" s="5">
        <v>208.417</v>
      </c>
      <c r="D341" s="17"/>
      <c r="E341" s="17"/>
      <c r="F341" s="17">
        <f>L341</f>
        <v>203.002584007216</v>
      </c>
      <c r="G341" s="6" t="s">
        <v>2</v>
      </c>
      <c r="H341" s="6">
        <f>F341*0.5</f>
        <v>101.501292003608</v>
      </c>
      <c r="I341" s="6">
        <f>F341*2</f>
        <v>406.005168014432</v>
      </c>
      <c r="J341" s="6" t="s">
        <v>193</v>
      </c>
      <c r="K341" s="6"/>
      <c r="L341" s="18">
        <v>203.002584007216</v>
      </c>
      <c r="M341" s="18">
        <v>97.103037659662704</v>
      </c>
      <c r="N341" s="18">
        <v>492.51052189126801</v>
      </c>
      <c r="O341" s="17">
        <v>440</v>
      </c>
      <c r="P341" s="17">
        <v>440</v>
      </c>
      <c r="Q341" s="17" t="s">
        <v>215</v>
      </c>
    </row>
    <row r="342" spans="1:17">
      <c r="A342" s="10" t="s">
        <v>68</v>
      </c>
      <c r="B342" s="17" t="s">
        <v>69</v>
      </c>
      <c r="C342" s="5">
        <v>208.62299999999999</v>
      </c>
      <c r="D342" s="17"/>
      <c r="E342" s="17"/>
      <c r="F342" s="17">
        <f>L342</f>
        <v>954</v>
      </c>
      <c r="G342" s="6" t="s">
        <v>2</v>
      </c>
      <c r="H342" s="6">
        <f>F342*0.5</f>
        <v>477</v>
      </c>
      <c r="I342" s="6">
        <f>F342*2</f>
        <v>1908</v>
      </c>
      <c r="J342" s="6" t="s">
        <v>193</v>
      </c>
      <c r="K342" s="6"/>
      <c r="L342" s="3">
        <v>954</v>
      </c>
      <c r="M342" s="17"/>
      <c r="N342" s="17"/>
      <c r="O342" s="17">
        <v>2500</v>
      </c>
      <c r="P342" s="17">
        <v>2000</v>
      </c>
      <c r="Q342" s="17" t="s">
        <v>216</v>
      </c>
    </row>
    <row r="343" spans="1:17">
      <c r="A343" s="10" t="s">
        <v>68</v>
      </c>
      <c r="B343" s="17" t="s">
        <v>69</v>
      </c>
      <c r="C343" s="5">
        <v>208.96600000000001</v>
      </c>
      <c r="D343" s="17"/>
      <c r="E343" s="17"/>
      <c r="F343" s="17">
        <f>L343</f>
        <v>776</v>
      </c>
      <c r="G343" s="6" t="s">
        <v>2</v>
      </c>
      <c r="H343" s="6">
        <f>F343*0.5</f>
        <v>388</v>
      </c>
      <c r="I343" s="6">
        <f>F343*2</f>
        <v>1552</v>
      </c>
      <c r="J343" s="6" t="s">
        <v>193</v>
      </c>
      <c r="K343" s="6"/>
      <c r="L343" s="3">
        <v>776</v>
      </c>
      <c r="M343" s="17"/>
      <c r="N343" s="17"/>
      <c r="O343" s="17">
        <v>2500</v>
      </c>
      <c r="P343" s="17">
        <v>2000</v>
      </c>
      <c r="Q343" s="17" t="s">
        <v>217</v>
      </c>
    </row>
    <row r="344" spans="1:17">
      <c r="A344" s="10" t="s">
        <v>62</v>
      </c>
      <c r="B344" s="17" t="s">
        <v>63</v>
      </c>
      <c r="C344" s="27">
        <v>209.16</v>
      </c>
      <c r="D344" s="27"/>
      <c r="E344" s="27"/>
      <c r="F344" s="17">
        <f>L344*$P344/$O344</f>
        <v>792</v>
      </c>
      <c r="G344" s="6" t="s">
        <v>2</v>
      </c>
      <c r="H344" s="18">
        <f>M344*$P344/$O344</f>
        <v>0</v>
      </c>
      <c r="I344" s="18">
        <f>N344*$P344/$O344</f>
        <v>0</v>
      </c>
      <c r="J344" s="6" t="s">
        <v>254</v>
      </c>
      <c r="K344" s="6"/>
      <c r="L344" s="3">
        <v>990</v>
      </c>
      <c r="M344" s="17"/>
      <c r="N344" s="17"/>
      <c r="O344" s="17">
        <v>2500</v>
      </c>
      <c r="P344" s="17">
        <v>2000</v>
      </c>
      <c r="Q344" s="17" t="s">
        <v>218</v>
      </c>
    </row>
    <row r="345" spans="1:17">
      <c r="A345" s="10" t="s">
        <v>68</v>
      </c>
      <c r="B345" s="17" t="s">
        <v>69</v>
      </c>
      <c r="C345" s="5">
        <v>209.172</v>
      </c>
      <c r="D345" s="17"/>
      <c r="E345" s="17"/>
      <c r="F345" s="17">
        <f>L345</f>
        <v>1315</v>
      </c>
      <c r="G345" s="6" t="s">
        <v>2</v>
      </c>
      <c r="H345" s="6">
        <f>F345*0.5</f>
        <v>657.5</v>
      </c>
      <c r="I345" s="6">
        <f>F345*2</f>
        <v>2630</v>
      </c>
      <c r="J345" s="6" t="s">
        <v>193</v>
      </c>
      <c r="K345" s="6"/>
      <c r="L345" s="3">
        <v>1315</v>
      </c>
      <c r="M345" s="17"/>
      <c r="N345" s="17"/>
      <c r="O345" s="17">
        <v>2500</v>
      </c>
      <c r="P345" s="17">
        <v>2000</v>
      </c>
      <c r="Q345" s="17" t="s">
        <v>219</v>
      </c>
    </row>
    <row r="346" spans="1:17">
      <c r="A346" s="10" t="s">
        <v>68</v>
      </c>
      <c r="B346" s="17" t="s">
        <v>69</v>
      </c>
      <c r="C346" s="5">
        <v>209.309</v>
      </c>
      <c r="D346" s="17"/>
      <c r="E346" s="17"/>
      <c r="F346" s="17">
        <f>L346</f>
        <v>1558</v>
      </c>
      <c r="G346" s="6" t="s">
        <v>2</v>
      </c>
      <c r="H346" s="6">
        <f>F346*0.5</f>
        <v>779</v>
      </c>
      <c r="I346" s="6">
        <f>F346*2</f>
        <v>3116</v>
      </c>
      <c r="J346" s="6" t="s">
        <v>193</v>
      </c>
      <c r="K346" s="6"/>
      <c r="L346" s="3">
        <v>1558</v>
      </c>
      <c r="M346" s="17"/>
      <c r="N346" s="17"/>
      <c r="O346" s="17">
        <v>2500</v>
      </c>
      <c r="P346" s="17">
        <v>2000</v>
      </c>
      <c r="Q346" s="17" t="s">
        <v>220</v>
      </c>
    </row>
    <row r="347" spans="1:17">
      <c r="A347" s="10" t="s">
        <v>68</v>
      </c>
      <c r="B347" s="17" t="s">
        <v>69</v>
      </c>
      <c r="C347" s="5">
        <v>209.51499999999999</v>
      </c>
      <c r="D347" s="17"/>
      <c r="E347" s="17"/>
      <c r="F347" s="17">
        <f>L347</f>
        <v>1424</v>
      </c>
      <c r="G347" s="6" t="s">
        <v>2</v>
      </c>
      <c r="H347" s="6">
        <f>F347*0.5</f>
        <v>712</v>
      </c>
      <c r="I347" s="6">
        <f>F347*2</f>
        <v>2848</v>
      </c>
      <c r="J347" s="6" t="s">
        <v>193</v>
      </c>
      <c r="K347" s="6"/>
      <c r="L347" s="3">
        <v>1424</v>
      </c>
      <c r="M347" s="17"/>
      <c r="N347" s="17"/>
      <c r="O347" s="17">
        <v>2500</v>
      </c>
      <c r="P347" s="17">
        <v>2000</v>
      </c>
      <c r="Q347" s="17" t="s">
        <v>221</v>
      </c>
    </row>
    <row r="348" spans="1:17">
      <c r="A348" s="10" t="s">
        <v>68</v>
      </c>
      <c r="B348" s="17" t="s">
        <v>69</v>
      </c>
      <c r="C348" s="5">
        <v>209.583</v>
      </c>
      <c r="D348" s="17"/>
      <c r="E348" s="17"/>
      <c r="F348" s="17">
        <f>L348</f>
        <v>1568</v>
      </c>
      <c r="G348" s="6" t="s">
        <v>2</v>
      </c>
      <c r="H348" s="6">
        <f>F348*0.5</f>
        <v>784</v>
      </c>
      <c r="I348" s="6">
        <f>F348*2</f>
        <v>3136</v>
      </c>
      <c r="J348" s="6" t="s">
        <v>193</v>
      </c>
      <c r="K348" s="6"/>
      <c r="L348" s="3">
        <v>1568</v>
      </c>
      <c r="M348" s="17"/>
      <c r="N348" s="17"/>
      <c r="O348" s="17">
        <v>2500</v>
      </c>
      <c r="P348" s="17">
        <v>2000</v>
      </c>
      <c r="Q348" s="17" t="s">
        <v>222</v>
      </c>
    </row>
    <row r="349" spans="1:17">
      <c r="A349" s="10" t="s">
        <v>68</v>
      </c>
      <c r="B349" s="17" t="s">
        <v>69</v>
      </c>
      <c r="C349" s="5">
        <v>209.65199999999999</v>
      </c>
      <c r="D349" s="17"/>
      <c r="E349" s="17"/>
      <c r="F349" s="17">
        <f>L349</f>
        <v>1749</v>
      </c>
      <c r="G349" s="6" t="s">
        <v>2</v>
      </c>
      <c r="H349" s="6">
        <f>F349*0.5</f>
        <v>874.5</v>
      </c>
      <c r="I349" s="6">
        <f>F349*2</f>
        <v>3498</v>
      </c>
      <c r="J349" s="6" t="s">
        <v>193</v>
      </c>
      <c r="K349" s="6"/>
      <c r="L349" s="3">
        <v>1749</v>
      </c>
      <c r="M349" s="17"/>
      <c r="N349" s="17"/>
      <c r="O349" s="17">
        <v>2500</v>
      </c>
      <c r="P349" s="17">
        <v>2000</v>
      </c>
      <c r="Q349" s="17" t="s">
        <v>223</v>
      </c>
    </row>
    <row r="350" spans="1:17">
      <c r="A350" s="10" t="s">
        <v>68</v>
      </c>
      <c r="B350" s="17" t="s">
        <v>69</v>
      </c>
      <c r="C350" s="5">
        <v>209.857</v>
      </c>
      <c r="D350" s="17"/>
      <c r="E350" s="17"/>
      <c r="F350" s="17">
        <f>L350</f>
        <v>1843</v>
      </c>
      <c r="G350" s="6" t="s">
        <v>2</v>
      </c>
      <c r="H350" s="6">
        <f>F350*0.5</f>
        <v>921.5</v>
      </c>
      <c r="I350" s="6">
        <f>F350*2</f>
        <v>3686</v>
      </c>
      <c r="J350" s="6" t="s">
        <v>193</v>
      </c>
      <c r="K350" s="6"/>
      <c r="L350" s="3">
        <v>1843</v>
      </c>
      <c r="M350" s="17"/>
      <c r="N350" s="17"/>
      <c r="O350" s="17">
        <v>2500</v>
      </c>
      <c r="P350" s="17">
        <v>2000</v>
      </c>
      <c r="Q350" s="17" t="s">
        <v>224</v>
      </c>
    </row>
    <row r="351" spans="1:17">
      <c r="A351" s="10" t="s">
        <v>68</v>
      </c>
      <c r="B351" s="17" t="s">
        <v>69</v>
      </c>
      <c r="C351" s="5">
        <v>209.92599999999999</v>
      </c>
      <c r="D351" s="17"/>
      <c r="E351" s="17"/>
      <c r="F351" s="17">
        <f>L351</f>
        <v>2099</v>
      </c>
      <c r="G351" s="6" t="s">
        <v>2</v>
      </c>
      <c r="H351" s="6">
        <f>F351*0.5</f>
        <v>1049.5</v>
      </c>
      <c r="I351" s="6">
        <f>F351*2</f>
        <v>4198</v>
      </c>
      <c r="J351" s="6" t="s">
        <v>193</v>
      </c>
      <c r="K351" s="6"/>
      <c r="L351" s="3">
        <v>2099</v>
      </c>
      <c r="M351" s="17"/>
      <c r="N351" s="17"/>
      <c r="O351" s="17">
        <v>2500</v>
      </c>
      <c r="P351" s="17">
        <v>2000</v>
      </c>
      <c r="Q351" s="17" t="s">
        <v>225</v>
      </c>
    </row>
    <row r="352" spans="1:17">
      <c r="A352" s="10" t="s">
        <v>62</v>
      </c>
      <c r="B352" s="17" t="s">
        <v>63</v>
      </c>
      <c r="C352" s="27">
        <v>210.01</v>
      </c>
      <c r="D352" s="27"/>
      <c r="E352" s="27"/>
      <c r="F352" s="17">
        <f>L352*$P352/$O352</f>
        <v>1496.8</v>
      </c>
      <c r="G352" s="6" t="s">
        <v>2</v>
      </c>
      <c r="H352" s="18">
        <f>M352*$P352/$O352</f>
        <v>0</v>
      </c>
      <c r="I352" s="18">
        <f>N352*$P352/$O352</f>
        <v>0</v>
      </c>
      <c r="J352" s="6" t="s">
        <v>254</v>
      </c>
      <c r="K352" s="6"/>
      <c r="L352" s="3">
        <v>1871</v>
      </c>
      <c r="M352" s="17"/>
      <c r="N352" s="17"/>
      <c r="O352" s="17">
        <v>2500</v>
      </c>
      <c r="P352" s="17">
        <v>2000</v>
      </c>
      <c r="Q352" s="17" t="s">
        <v>226</v>
      </c>
    </row>
    <row r="353" spans="1:17">
      <c r="A353" s="10" t="s">
        <v>68</v>
      </c>
      <c r="B353" s="17" t="s">
        <v>69</v>
      </c>
      <c r="C353" s="5">
        <v>210.08099999999999</v>
      </c>
      <c r="D353" s="17"/>
      <c r="E353" s="17"/>
      <c r="F353" s="17">
        <f>L353</f>
        <v>1870</v>
      </c>
      <c r="G353" s="6" t="s">
        <v>2</v>
      </c>
      <c r="H353" s="6">
        <f>F353*0.5</f>
        <v>935</v>
      </c>
      <c r="I353" s="6">
        <f>F353*2</f>
        <v>3740</v>
      </c>
      <c r="J353" s="6" t="s">
        <v>193</v>
      </c>
      <c r="K353" s="6"/>
      <c r="L353" s="3">
        <v>1870</v>
      </c>
      <c r="M353" s="17"/>
      <c r="N353" s="17"/>
      <c r="O353" s="17">
        <v>2500</v>
      </c>
      <c r="P353" s="17">
        <v>2000</v>
      </c>
      <c r="Q353" s="17" t="s">
        <v>227</v>
      </c>
    </row>
    <row r="354" spans="1:17">
      <c r="A354" s="10" t="s">
        <v>62</v>
      </c>
      <c r="B354" s="17" t="s">
        <v>63</v>
      </c>
      <c r="C354" s="27">
        <v>210.31</v>
      </c>
      <c r="D354" s="17"/>
      <c r="E354" s="17"/>
      <c r="F354" s="17">
        <f>L354*$P354/$O354</f>
        <v>1200.8</v>
      </c>
      <c r="G354" s="6" t="s">
        <v>2</v>
      </c>
      <c r="H354" s="18">
        <f>M354*$P354/$O354</f>
        <v>0</v>
      </c>
      <c r="I354" s="18">
        <f>N354*$P354/$O354</f>
        <v>0</v>
      </c>
      <c r="J354" s="6" t="s">
        <v>254</v>
      </c>
      <c r="K354" s="6"/>
      <c r="L354" s="3">
        <v>1501</v>
      </c>
      <c r="M354" s="17"/>
      <c r="N354" s="17"/>
      <c r="O354" s="17">
        <v>2500</v>
      </c>
      <c r="P354" s="17">
        <v>2000</v>
      </c>
      <c r="Q354" s="17" t="s">
        <v>228</v>
      </c>
    </row>
    <row r="355" spans="1:17">
      <c r="A355" s="10" t="s">
        <v>68</v>
      </c>
      <c r="B355" s="17" t="s">
        <v>69</v>
      </c>
      <c r="C355" s="5">
        <v>210.39</v>
      </c>
      <c r="D355" s="17"/>
      <c r="E355" s="17"/>
      <c r="F355" s="17">
        <f>L355</f>
        <v>1269</v>
      </c>
      <c r="G355" s="6" t="s">
        <v>2</v>
      </c>
      <c r="H355" s="6">
        <f>F355*0.5</f>
        <v>634.5</v>
      </c>
      <c r="I355" s="6">
        <f>F355*2</f>
        <v>2538</v>
      </c>
      <c r="J355" s="6" t="s">
        <v>193</v>
      </c>
      <c r="K355" s="6"/>
      <c r="L355" s="3">
        <v>1269</v>
      </c>
      <c r="M355" s="17"/>
      <c r="N355" s="17"/>
      <c r="O355" s="17">
        <v>2500</v>
      </c>
      <c r="P355" s="17">
        <v>2000</v>
      </c>
      <c r="Q355" s="17" t="s">
        <v>229</v>
      </c>
    </row>
    <row r="356" spans="1:17">
      <c r="A356" s="11" t="s">
        <v>20</v>
      </c>
      <c r="B356" s="17" t="s">
        <v>21</v>
      </c>
      <c r="C356" s="28">
        <f>AVERAGE(D356:E356)</f>
        <v>210.7</v>
      </c>
      <c r="D356" s="5">
        <v>211.9</v>
      </c>
      <c r="E356" s="5">
        <v>209.5</v>
      </c>
      <c r="F356" s="6">
        <f>L356*$P356/$O356</f>
        <v>1064.8</v>
      </c>
      <c r="G356" s="6" t="s">
        <v>2</v>
      </c>
      <c r="H356" s="6">
        <f>F356*0.5</f>
        <v>532.4</v>
      </c>
      <c r="I356" s="6">
        <f>F356*2</f>
        <v>2129.6</v>
      </c>
      <c r="J356" s="6" t="s">
        <v>78</v>
      </c>
      <c r="K356" s="6"/>
      <c r="L356" s="3">
        <v>1331</v>
      </c>
      <c r="M356" s="17"/>
      <c r="N356" s="17"/>
      <c r="O356" s="17">
        <v>2500</v>
      </c>
      <c r="P356" s="17">
        <v>2000</v>
      </c>
      <c r="Q356" s="17" t="s">
        <v>230</v>
      </c>
    </row>
    <row r="357" spans="1:17">
      <c r="A357" s="11" t="s">
        <v>20</v>
      </c>
      <c r="B357" s="17" t="s">
        <v>21</v>
      </c>
      <c r="C357" s="28">
        <f>AVERAGE(D357:E357)</f>
        <v>210.7</v>
      </c>
      <c r="D357" s="5">
        <v>211.9</v>
      </c>
      <c r="E357" s="5">
        <v>209.5</v>
      </c>
      <c r="F357" s="6">
        <f>L357*$P357/$O357</f>
        <v>1636.8</v>
      </c>
      <c r="G357" s="6" t="s">
        <v>2</v>
      </c>
      <c r="H357" s="6">
        <f>F357*0.5</f>
        <v>818.4</v>
      </c>
      <c r="I357" s="6">
        <f>F357*2</f>
        <v>3273.6</v>
      </c>
      <c r="J357" s="6" t="s">
        <v>78</v>
      </c>
      <c r="K357" s="6"/>
      <c r="L357" s="3">
        <v>2046</v>
      </c>
      <c r="M357" s="17"/>
      <c r="N357" s="17"/>
      <c r="O357" s="17">
        <v>2500</v>
      </c>
      <c r="P357" s="17">
        <v>2000</v>
      </c>
      <c r="Q357" s="17" t="s">
        <v>231</v>
      </c>
    </row>
    <row r="358" spans="1:17">
      <c r="A358" s="11" t="s">
        <v>20</v>
      </c>
      <c r="B358" s="17" t="s">
        <v>21</v>
      </c>
      <c r="C358" s="28">
        <f>AVERAGE(D358:E358)</f>
        <v>210.7</v>
      </c>
      <c r="D358" s="5">
        <v>211.9</v>
      </c>
      <c r="E358" s="5">
        <v>209.5</v>
      </c>
      <c r="F358" s="6">
        <f>L358*$P358/$O358</f>
        <v>1966.4</v>
      </c>
      <c r="G358" s="6" t="s">
        <v>2</v>
      </c>
      <c r="H358" s="6">
        <f>F358*0.5</f>
        <v>983.2</v>
      </c>
      <c r="I358" s="6">
        <f>F358*2</f>
        <v>3932.8</v>
      </c>
      <c r="J358" s="6" t="s">
        <v>78</v>
      </c>
      <c r="K358" s="6"/>
      <c r="L358" s="3">
        <v>2458</v>
      </c>
      <c r="M358" s="17"/>
      <c r="N358" s="17"/>
      <c r="O358" s="17">
        <v>2500</v>
      </c>
      <c r="P358" s="17">
        <v>2000</v>
      </c>
      <c r="Q358" s="17" t="s">
        <v>232</v>
      </c>
    </row>
    <row r="359" spans="1:17">
      <c r="A359" s="11" t="s">
        <v>20</v>
      </c>
      <c r="B359" s="17" t="s">
        <v>21</v>
      </c>
      <c r="C359" s="28">
        <f>AVERAGE(D359:E359)</f>
        <v>210.7</v>
      </c>
      <c r="D359" s="5">
        <v>211.9</v>
      </c>
      <c r="E359" s="5">
        <v>209.5</v>
      </c>
      <c r="F359" s="6">
        <f>L359*$P359/$O359</f>
        <v>1880</v>
      </c>
      <c r="G359" s="6" t="s">
        <v>2</v>
      </c>
      <c r="H359" s="6">
        <f>F359*0.5</f>
        <v>940</v>
      </c>
      <c r="I359" s="6">
        <f>F359*2</f>
        <v>3760</v>
      </c>
      <c r="J359" s="6" t="s">
        <v>78</v>
      </c>
      <c r="K359" s="6"/>
      <c r="L359" s="3">
        <v>2350</v>
      </c>
      <c r="M359" s="17"/>
      <c r="N359" s="17"/>
      <c r="O359" s="17">
        <v>2500</v>
      </c>
      <c r="P359" s="17">
        <v>2000</v>
      </c>
      <c r="Q359" s="17" t="s">
        <v>233</v>
      </c>
    </row>
    <row r="360" spans="1:17">
      <c r="A360" s="11" t="s">
        <v>20</v>
      </c>
      <c r="B360" s="17" t="s">
        <v>21</v>
      </c>
      <c r="C360" s="28">
        <f>AVERAGE(D360:E360)</f>
        <v>210.7</v>
      </c>
      <c r="D360" s="5">
        <v>211.9</v>
      </c>
      <c r="E360" s="5">
        <v>209.5</v>
      </c>
      <c r="F360" s="6">
        <f>L360*$P360/$O360</f>
        <v>1828.8</v>
      </c>
      <c r="G360" s="6" t="s">
        <v>2</v>
      </c>
      <c r="H360" s="6">
        <f>F360*0.5</f>
        <v>914.4</v>
      </c>
      <c r="I360" s="6">
        <f>F360*2</f>
        <v>3657.6</v>
      </c>
      <c r="J360" s="6" t="s">
        <v>78</v>
      </c>
      <c r="K360" s="6"/>
      <c r="L360" s="3">
        <v>2286</v>
      </c>
      <c r="M360" s="17"/>
      <c r="N360" s="17"/>
      <c r="O360" s="17">
        <v>2500</v>
      </c>
      <c r="P360" s="17">
        <v>2000</v>
      </c>
      <c r="Q360" s="17" t="s">
        <v>234</v>
      </c>
    </row>
    <row r="361" spans="1:17">
      <c r="A361" s="11" t="s">
        <v>20</v>
      </c>
      <c r="B361" s="17" t="s">
        <v>21</v>
      </c>
      <c r="C361" s="28">
        <f>AVERAGE(D361:E361)</f>
        <v>210.7</v>
      </c>
      <c r="D361" s="5">
        <v>211.9</v>
      </c>
      <c r="E361" s="5">
        <v>209.5</v>
      </c>
      <c r="F361" s="6">
        <f>L361*$P361/$O361</f>
        <v>1419.2</v>
      </c>
      <c r="G361" s="6" t="s">
        <v>2</v>
      </c>
      <c r="H361" s="6">
        <f>F361*0.5</f>
        <v>709.6</v>
      </c>
      <c r="I361" s="6">
        <f>F361*2</f>
        <v>2838.4</v>
      </c>
      <c r="J361" s="6" t="s">
        <v>78</v>
      </c>
      <c r="K361" s="6"/>
      <c r="L361" s="3">
        <v>1774</v>
      </c>
      <c r="M361" s="17"/>
      <c r="N361" s="17"/>
      <c r="O361" s="17">
        <v>2500</v>
      </c>
      <c r="P361" s="17">
        <v>2000</v>
      </c>
      <c r="Q361" s="17" t="s">
        <v>235</v>
      </c>
    </row>
    <row r="362" spans="1:17">
      <c r="A362" s="11" t="s">
        <v>20</v>
      </c>
      <c r="B362" s="17" t="s">
        <v>21</v>
      </c>
      <c r="C362" s="28">
        <f>AVERAGE(D362:E362)</f>
        <v>210.7</v>
      </c>
      <c r="D362" s="5">
        <v>211.9</v>
      </c>
      <c r="E362" s="5">
        <v>209.5</v>
      </c>
      <c r="F362" s="6">
        <f>L362*$P362/$O362</f>
        <v>1295.2</v>
      </c>
      <c r="G362" s="6" t="s">
        <v>2</v>
      </c>
      <c r="H362" s="6">
        <f>F362*0.5</f>
        <v>647.6</v>
      </c>
      <c r="I362" s="6">
        <f>F362*2</f>
        <v>2590.4</v>
      </c>
      <c r="J362" s="6" t="s">
        <v>78</v>
      </c>
      <c r="K362" s="6"/>
      <c r="L362" s="3">
        <v>1619</v>
      </c>
      <c r="M362" s="17"/>
      <c r="N362" s="17"/>
      <c r="O362" s="17">
        <v>2500</v>
      </c>
      <c r="P362" s="17">
        <v>2000</v>
      </c>
      <c r="Q362" s="17" t="s">
        <v>236</v>
      </c>
    </row>
    <row r="363" spans="1:17">
      <c r="A363" s="11" t="s">
        <v>20</v>
      </c>
      <c r="B363" s="17" t="s">
        <v>21</v>
      </c>
      <c r="C363" s="28">
        <f>AVERAGE(D363:E363)</f>
        <v>210.7</v>
      </c>
      <c r="D363" s="5">
        <v>211.9</v>
      </c>
      <c r="E363" s="5">
        <v>209.5</v>
      </c>
      <c r="F363" s="6">
        <f>L363*$P363/$O363</f>
        <v>1514.4</v>
      </c>
      <c r="G363" s="6" t="s">
        <v>2</v>
      </c>
      <c r="H363" s="6">
        <f>F363*0.5</f>
        <v>757.2</v>
      </c>
      <c r="I363" s="6">
        <f>F363*2</f>
        <v>3028.8</v>
      </c>
      <c r="J363" s="6" t="s">
        <v>78</v>
      </c>
      <c r="K363" s="6"/>
      <c r="L363" s="3">
        <v>1893</v>
      </c>
      <c r="M363" s="17"/>
      <c r="N363" s="17"/>
      <c r="O363" s="17">
        <v>2500</v>
      </c>
      <c r="P363" s="17">
        <v>2000</v>
      </c>
      <c r="Q363" s="17" t="s">
        <v>237</v>
      </c>
    </row>
    <row r="364" spans="1:17">
      <c r="A364" s="10" t="s">
        <v>62</v>
      </c>
      <c r="B364" s="17" t="s">
        <v>63</v>
      </c>
      <c r="C364" s="27">
        <v>210.75</v>
      </c>
      <c r="D364" s="17"/>
      <c r="E364" s="17"/>
      <c r="F364" s="17">
        <f>L364*$P364/$O364</f>
        <v>1426.4</v>
      </c>
      <c r="G364" s="6" t="s">
        <v>2</v>
      </c>
      <c r="H364" s="18">
        <f>M364*$P364/$O364</f>
        <v>0</v>
      </c>
      <c r="I364" s="18">
        <f>N364*$P364/$O364</f>
        <v>0</v>
      </c>
      <c r="J364" s="6" t="s">
        <v>254</v>
      </c>
      <c r="K364" s="6"/>
      <c r="L364" s="3">
        <v>1783</v>
      </c>
      <c r="M364" s="17"/>
      <c r="N364" s="17"/>
      <c r="O364" s="17">
        <v>2500</v>
      </c>
      <c r="P364" s="17">
        <v>2000</v>
      </c>
      <c r="Q364" s="17" t="s">
        <v>238</v>
      </c>
    </row>
    <row r="365" spans="1:17">
      <c r="A365" s="10" t="s">
        <v>68</v>
      </c>
      <c r="B365" s="17" t="s">
        <v>69</v>
      </c>
      <c r="C365" s="5">
        <v>211.06100000000001</v>
      </c>
      <c r="D365" s="17"/>
      <c r="E365" s="17"/>
      <c r="F365" s="17">
        <f>L365</f>
        <v>1709</v>
      </c>
      <c r="G365" s="6" t="s">
        <v>2</v>
      </c>
      <c r="H365" s="6">
        <f>F365*0.5</f>
        <v>854.5</v>
      </c>
      <c r="I365" s="6">
        <f>F365*2</f>
        <v>3418</v>
      </c>
      <c r="J365" s="6" t="s">
        <v>193</v>
      </c>
      <c r="K365" s="6"/>
      <c r="L365" s="3">
        <v>1709</v>
      </c>
      <c r="M365" s="17"/>
      <c r="N365" s="17"/>
      <c r="O365" s="17">
        <v>2500</v>
      </c>
      <c r="P365" s="17">
        <v>2000</v>
      </c>
      <c r="Q365" s="17" t="s">
        <v>239</v>
      </c>
    </row>
    <row r="366" spans="1:17">
      <c r="A366" s="10" t="s">
        <v>68</v>
      </c>
      <c r="B366" s="17" t="s">
        <v>69</v>
      </c>
      <c r="C366" s="5">
        <v>211.16399999999999</v>
      </c>
      <c r="D366" s="17"/>
      <c r="E366" s="17"/>
      <c r="F366" s="17">
        <f>L366</f>
        <v>2082</v>
      </c>
      <c r="G366" s="6" t="s">
        <v>2</v>
      </c>
      <c r="H366" s="6">
        <f>F366*0.5</f>
        <v>1041</v>
      </c>
      <c r="I366" s="6">
        <f>F366*2</f>
        <v>4164</v>
      </c>
      <c r="J366" s="6" t="s">
        <v>193</v>
      </c>
      <c r="K366" s="6"/>
      <c r="L366" s="3">
        <v>2082</v>
      </c>
      <c r="M366" s="17"/>
      <c r="N366" s="17"/>
      <c r="O366" s="17">
        <v>2500</v>
      </c>
      <c r="P366" s="17">
        <v>2000</v>
      </c>
      <c r="Q366" s="17" t="s">
        <v>240</v>
      </c>
    </row>
    <row r="367" spans="1:17">
      <c r="A367" s="10" t="s">
        <v>68</v>
      </c>
      <c r="B367" s="17" t="s">
        <v>69</v>
      </c>
      <c r="C367" s="5">
        <v>211.21600000000001</v>
      </c>
      <c r="D367" s="17"/>
      <c r="E367" s="17"/>
      <c r="F367" s="17">
        <f>L367</f>
        <v>1705</v>
      </c>
      <c r="G367" s="6" t="s">
        <v>2</v>
      </c>
      <c r="H367" s="6">
        <f>F367*0.5</f>
        <v>852.5</v>
      </c>
      <c r="I367" s="6">
        <f>F367*2</f>
        <v>3410</v>
      </c>
      <c r="J367" s="6" t="s">
        <v>193</v>
      </c>
      <c r="K367" s="6"/>
      <c r="L367" s="3">
        <v>1705</v>
      </c>
      <c r="M367" s="17"/>
      <c r="N367" s="17"/>
      <c r="O367" s="17">
        <v>2500</v>
      </c>
      <c r="P367" s="17">
        <v>2000</v>
      </c>
      <c r="Q367" s="17" t="s">
        <v>241</v>
      </c>
    </row>
    <row r="368" spans="1:17">
      <c r="A368" s="10" t="s">
        <v>68</v>
      </c>
      <c r="B368" s="17" t="s">
        <v>69</v>
      </c>
      <c r="C368" s="5">
        <v>211.31899999999999</v>
      </c>
      <c r="D368" s="17"/>
      <c r="E368" s="17"/>
      <c r="F368" s="17">
        <f>L368</f>
        <v>920</v>
      </c>
      <c r="G368" s="6" t="s">
        <v>2</v>
      </c>
      <c r="H368" s="6">
        <f>F368*0.5</f>
        <v>460</v>
      </c>
      <c r="I368" s="6">
        <f>F368*2</f>
        <v>1840</v>
      </c>
      <c r="J368" s="6" t="s">
        <v>193</v>
      </c>
      <c r="K368" s="6"/>
      <c r="L368" s="3">
        <v>920</v>
      </c>
      <c r="M368" s="17"/>
      <c r="N368" s="17"/>
      <c r="O368" s="17">
        <v>2500</v>
      </c>
      <c r="P368" s="17">
        <v>2000</v>
      </c>
      <c r="Q368" s="17" t="s">
        <v>242</v>
      </c>
    </row>
    <row r="369" spans="1:17">
      <c r="A369" s="10" t="s">
        <v>68</v>
      </c>
      <c r="B369" s="17" t="s">
        <v>69</v>
      </c>
      <c r="C369" s="5">
        <v>211.422</v>
      </c>
      <c r="D369" s="17"/>
      <c r="E369" s="17"/>
      <c r="F369" s="17">
        <f>L369</f>
        <v>759</v>
      </c>
      <c r="G369" s="6" t="s">
        <v>2</v>
      </c>
      <c r="H369" s="6">
        <f>F369*0.5</f>
        <v>379.5</v>
      </c>
      <c r="I369" s="6">
        <f>F369*2</f>
        <v>1518</v>
      </c>
      <c r="J369" s="6" t="s">
        <v>193</v>
      </c>
      <c r="K369" s="6"/>
      <c r="L369" s="3">
        <v>759</v>
      </c>
      <c r="M369" s="17"/>
      <c r="N369" s="17"/>
      <c r="O369" s="17">
        <v>2500</v>
      </c>
      <c r="P369" s="17">
        <v>2000</v>
      </c>
      <c r="Q369" s="17" t="s">
        <v>243</v>
      </c>
    </row>
    <row r="370" spans="1:17">
      <c r="A370" s="10" t="s">
        <v>68</v>
      </c>
      <c r="B370" s="17" t="s">
        <v>69</v>
      </c>
      <c r="C370" s="5">
        <v>211.52500000000001</v>
      </c>
      <c r="D370" s="17"/>
      <c r="E370" s="17"/>
      <c r="F370" s="17">
        <f>L370</f>
        <v>1030</v>
      </c>
      <c r="G370" s="6" t="s">
        <v>2</v>
      </c>
      <c r="H370" s="6">
        <f>F370*0.5</f>
        <v>515</v>
      </c>
      <c r="I370" s="6">
        <f>F370*2</f>
        <v>2060</v>
      </c>
      <c r="J370" s="6" t="s">
        <v>193</v>
      </c>
      <c r="K370" s="6"/>
      <c r="L370" s="3">
        <v>1030</v>
      </c>
      <c r="M370" s="17"/>
      <c r="N370" s="17"/>
      <c r="O370" s="17">
        <v>2500</v>
      </c>
      <c r="P370" s="17">
        <v>2000</v>
      </c>
      <c r="Q370" s="17" t="s">
        <v>244</v>
      </c>
    </row>
    <row r="371" spans="1:17">
      <c r="A371" s="10" t="s">
        <v>62</v>
      </c>
      <c r="B371" s="17" t="s">
        <v>63</v>
      </c>
      <c r="C371" s="27">
        <v>211.56</v>
      </c>
      <c r="D371" s="17"/>
      <c r="E371" s="17"/>
      <c r="F371" s="17">
        <f>L371*$P371/$O371</f>
        <v>1017.6</v>
      </c>
      <c r="G371" s="6" t="s">
        <v>2</v>
      </c>
      <c r="H371" s="18">
        <f>M371*$P371/$O371</f>
        <v>0</v>
      </c>
      <c r="I371" s="18">
        <f>N371*$P371/$O371</f>
        <v>0</v>
      </c>
      <c r="J371" s="6" t="s">
        <v>254</v>
      </c>
      <c r="K371" s="6"/>
      <c r="L371" s="3">
        <v>1272</v>
      </c>
      <c r="M371" s="17"/>
      <c r="N371" s="17"/>
      <c r="O371" s="17">
        <v>2500</v>
      </c>
      <c r="P371" s="17">
        <v>2000</v>
      </c>
      <c r="Q371" s="17" t="s">
        <v>245</v>
      </c>
    </row>
    <row r="372" spans="1:17">
      <c r="A372" s="10" t="s">
        <v>62</v>
      </c>
      <c r="B372" s="17" t="s">
        <v>63</v>
      </c>
      <c r="C372" s="27">
        <v>211.57</v>
      </c>
      <c r="D372" s="17"/>
      <c r="E372" s="17"/>
      <c r="F372" s="17">
        <f>L372*$P372/$O372</f>
        <v>1064.8</v>
      </c>
      <c r="G372" s="6" t="s">
        <v>2</v>
      </c>
      <c r="H372" s="18">
        <f>M372*$P372/$O372</f>
        <v>0</v>
      </c>
      <c r="I372" s="18">
        <f>N372*$P372/$O372</f>
        <v>0</v>
      </c>
      <c r="J372" s="6" t="s">
        <v>254</v>
      </c>
      <c r="K372" s="6"/>
      <c r="L372" s="3">
        <v>1331</v>
      </c>
      <c r="M372" s="17"/>
      <c r="N372" s="17"/>
      <c r="O372" s="17">
        <v>2500</v>
      </c>
      <c r="P372" s="17">
        <v>2000</v>
      </c>
      <c r="Q372" s="17" t="s">
        <v>246</v>
      </c>
    </row>
    <row r="373" spans="1:17">
      <c r="A373" s="10" t="s">
        <v>68</v>
      </c>
      <c r="B373" s="17" t="s">
        <v>69</v>
      </c>
      <c r="C373" s="5">
        <v>211.68</v>
      </c>
      <c r="D373" s="17"/>
      <c r="E373" s="17"/>
      <c r="F373" s="17">
        <f>L373</f>
        <v>1887</v>
      </c>
      <c r="G373" s="6" t="s">
        <v>2</v>
      </c>
      <c r="H373" s="6">
        <f>F373*0.5</f>
        <v>943.5</v>
      </c>
      <c r="I373" s="6">
        <f>F373*2</f>
        <v>3774</v>
      </c>
      <c r="J373" s="6" t="s">
        <v>193</v>
      </c>
      <c r="K373" s="6"/>
      <c r="L373" s="3">
        <v>1887</v>
      </c>
      <c r="M373" s="17"/>
      <c r="N373" s="17"/>
      <c r="O373" s="17">
        <v>2500</v>
      </c>
      <c r="P373" s="17">
        <v>2000</v>
      </c>
      <c r="Q373" s="17" t="s">
        <v>247</v>
      </c>
    </row>
    <row r="374" spans="1:17">
      <c r="A374" s="11" t="s">
        <v>20</v>
      </c>
      <c r="B374" s="17" t="s">
        <v>21</v>
      </c>
      <c r="C374" s="28">
        <f>AVERAGE(D374:E374)</f>
        <v>211.75</v>
      </c>
      <c r="D374" s="5">
        <v>214</v>
      </c>
      <c r="E374" s="5">
        <v>209.5</v>
      </c>
      <c r="F374" s="6">
        <f>L374*$P374/$O374</f>
        <v>1704</v>
      </c>
      <c r="G374" s="6" t="s">
        <v>2</v>
      </c>
      <c r="H374" s="6">
        <f>F374*0.5</f>
        <v>852</v>
      </c>
      <c r="I374" s="6">
        <f>F374*2</f>
        <v>3408</v>
      </c>
      <c r="J374" s="6" t="s">
        <v>78</v>
      </c>
      <c r="K374" s="6"/>
      <c r="L374" s="3">
        <v>2130</v>
      </c>
      <c r="M374" s="17"/>
      <c r="N374" s="17"/>
      <c r="O374" s="17">
        <v>2500</v>
      </c>
      <c r="P374" s="17">
        <v>2000</v>
      </c>
      <c r="Q374" s="17" t="s">
        <v>248</v>
      </c>
    </row>
    <row r="375" spans="1:17">
      <c r="A375" s="11" t="s">
        <v>20</v>
      </c>
      <c r="B375" s="17" t="s">
        <v>21</v>
      </c>
      <c r="C375" s="28">
        <f>AVERAGE(D375:E375)</f>
        <v>211.75</v>
      </c>
      <c r="D375" s="5">
        <v>214</v>
      </c>
      <c r="E375" s="5">
        <v>209.5</v>
      </c>
      <c r="F375" s="6">
        <f>L375*$P375/$O375</f>
        <v>940</v>
      </c>
      <c r="G375" s="6" t="s">
        <v>2</v>
      </c>
      <c r="H375" s="6">
        <f>F375*0.5</f>
        <v>470</v>
      </c>
      <c r="I375" s="6">
        <f>F375*2</f>
        <v>1880</v>
      </c>
      <c r="J375" s="6" t="s">
        <v>78</v>
      </c>
      <c r="K375" s="6"/>
      <c r="L375" s="3">
        <v>1175</v>
      </c>
      <c r="M375" s="17"/>
      <c r="N375" s="17"/>
      <c r="O375" s="17">
        <v>2500</v>
      </c>
      <c r="P375" s="17">
        <v>2000</v>
      </c>
      <c r="Q375" s="17" t="s">
        <v>249</v>
      </c>
    </row>
    <row r="376" spans="1:17">
      <c r="A376" s="11" t="s">
        <v>20</v>
      </c>
      <c r="B376" s="17" t="s">
        <v>21</v>
      </c>
      <c r="C376" s="28">
        <f>AVERAGE(D376:E376)</f>
        <v>211.75</v>
      </c>
      <c r="D376" s="5">
        <v>214</v>
      </c>
      <c r="E376" s="5">
        <v>209.5</v>
      </c>
      <c r="F376" s="6">
        <f>L376*$P376/$O376</f>
        <v>1023.2</v>
      </c>
      <c r="G376" s="6" t="s">
        <v>2</v>
      </c>
      <c r="H376" s="6">
        <f>F376*0.5</f>
        <v>511.6</v>
      </c>
      <c r="I376" s="6">
        <f>F376*2</f>
        <v>2046.4</v>
      </c>
      <c r="J376" s="6" t="s">
        <v>78</v>
      </c>
      <c r="K376" s="6"/>
      <c r="L376" s="3">
        <v>1279</v>
      </c>
      <c r="M376" s="17"/>
      <c r="N376" s="17"/>
      <c r="O376" s="17">
        <v>2500</v>
      </c>
      <c r="P376" s="17">
        <v>2000</v>
      </c>
      <c r="Q376" s="17" t="s">
        <v>250</v>
      </c>
    </row>
    <row r="377" spans="1:17">
      <c r="A377" s="11" t="s">
        <v>20</v>
      </c>
      <c r="B377" s="17" t="s">
        <v>21</v>
      </c>
      <c r="C377" s="28">
        <f>AVERAGE(D377:E377)</f>
        <v>211.75</v>
      </c>
      <c r="D377" s="5">
        <v>214</v>
      </c>
      <c r="E377" s="5">
        <v>209.5</v>
      </c>
      <c r="F377" s="6">
        <f>L377*$P377/$O377</f>
        <v>842.4</v>
      </c>
      <c r="G377" s="6" t="s">
        <v>2</v>
      </c>
      <c r="H377" s="6">
        <f>F377*0.5</f>
        <v>421.2</v>
      </c>
      <c r="I377" s="6">
        <f>F377*2</f>
        <v>1684.8</v>
      </c>
      <c r="J377" s="6" t="s">
        <v>78</v>
      </c>
      <c r="K377" s="6"/>
      <c r="L377" s="3">
        <v>1053</v>
      </c>
      <c r="M377" s="17"/>
      <c r="N377" s="17"/>
      <c r="O377" s="17">
        <v>2500</v>
      </c>
      <c r="P377" s="17">
        <v>2000</v>
      </c>
      <c r="Q377" s="17" t="s">
        <v>251</v>
      </c>
    </row>
    <row r="378" spans="1:17">
      <c r="A378" s="11" t="s">
        <v>20</v>
      </c>
      <c r="B378" s="17" t="s">
        <v>21</v>
      </c>
      <c r="C378" s="28">
        <f>AVERAGE(D378:E378)</f>
        <v>211.75</v>
      </c>
      <c r="D378" s="5">
        <v>214</v>
      </c>
      <c r="E378" s="5">
        <v>209.5</v>
      </c>
      <c r="F378" s="6">
        <f>L378*$P378/$O378</f>
        <v>1909.6</v>
      </c>
      <c r="G378" s="6" t="s">
        <v>2</v>
      </c>
      <c r="H378" s="6">
        <f>F378*0.5</f>
        <v>954.8</v>
      </c>
      <c r="I378" s="6">
        <f>F378*2</f>
        <v>3819.2</v>
      </c>
      <c r="J378" s="6" t="s">
        <v>78</v>
      </c>
      <c r="K378" s="6"/>
      <c r="L378" s="3">
        <v>2387</v>
      </c>
      <c r="M378" s="17"/>
      <c r="N378" s="17"/>
      <c r="O378" s="17">
        <v>2500</v>
      </c>
      <c r="P378" s="17">
        <v>2000</v>
      </c>
      <c r="Q378" s="17" t="s">
        <v>252</v>
      </c>
    </row>
    <row r="379" spans="1:17">
      <c r="A379" s="11" t="s">
        <v>20</v>
      </c>
      <c r="B379" s="17" t="s">
        <v>21</v>
      </c>
      <c r="C379" s="28">
        <f>AVERAGE(D379:E379)</f>
        <v>211.75</v>
      </c>
      <c r="D379" s="5">
        <v>214</v>
      </c>
      <c r="E379" s="5">
        <v>209.5</v>
      </c>
      <c r="F379" s="6">
        <f>L379*$P379/$O379</f>
        <v>2561.6</v>
      </c>
      <c r="G379" s="6" t="s">
        <v>2</v>
      </c>
      <c r="H379" s="6">
        <f>F379*0.5</f>
        <v>1280.8</v>
      </c>
      <c r="I379" s="6">
        <f>F379*2</f>
        <v>5123.2</v>
      </c>
      <c r="J379" s="6" t="s">
        <v>78</v>
      </c>
      <c r="K379" s="6"/>
      <c r="L379" s="3">
        <v>3202</v>
      </c>
      <c r="M379" s="17"/>
      <c r="N379" s="17"/>
      <c r="O379" s="17">
        <v>2500</v>
      </c>
      <c r="P379" s="17">
        <v>2000</v>
      </c>
      <c r="Q379" s="17" t="s">
        <v>253</v>
      </c>
    </row>
    <row r="380" spans="1:17">
      <c r="A380" s="11" t="s">
        <v>20</v>
      </c>
      <c r="B380" s="17" t="s">
        <v>21</v>
      </c>
      <c r="C380" s="28">
        <f>AVERAGE(D380:E380)</f>
        <v>211.75</v>
      </c>
      <c r="D380" s="5">
        <v>214</v>
      </c>
      <c r="E380" s="5">
        <v>209.5</v>
      </c>
      <c r="F380" s="6">
        <f>L380*$P380/$O380</f>
        <v>710</v>
      </c>
      <c r="G380" s="6" t="s">
        <v>2</v>
      </c>
      <c r="H380" s="6">
        <f>F380*0.5</f>
        <v>355</v>
      </c>
      <c r="I380" s="6">
        <f>F380*2</f>
        <v>1420</v>
      </c>
      <c r="J380" s="6" t="s">
        <v>78</v>
      </c>
      <c r="K380" s="6"/>
      <c r="L380" s="18">
        <v>1065</v>
      </c>
      <c r="M380" s="18">
        <v>672.9</v>
      </c>
      <c r="N380" s="18">
        <v>1457.1</v>
      </c>
      <c r="O380" s="17">
        <v>3000</v>
      </c>
      <c r="P380" s="17">
        <v>2000</v>
      </c>
      <c r="Q380" s="18" t="s">
        <v>255</v>
      </c>
    </row>
    <row r="381" spans="1:17">
      <c r="A381" s="11" t="s">
        <v>20</v>
      </c>
      <c r="B381" s="17" t="s">
        <v>21</v>
      </c>
      <c r="C381" s="28">
        <f>AVERAGE(D381:E381)</f>
        <v>211.75</v>
      </c>
      <c r="D381" s="5">
        <v>214</v>
      </c>
      <c r="E381" s="5">
        <v>209.5</v>
      </c>
      <c r="F381" s="6">
        <f>L381*$P381/$O381</f>
        <v>1189.5999999999999</v>
      </c>
      <c r="G381" s="6" t="s">
        <v>2</v>
      </c>
      <c r="H381" s="6">
        <f>F381*0.5</f>
        <v>594.79999999999995</v>
      </c>
      <c r="I381" s="6">
        <f>F381*2</f>
        <v>2379.1999999999998</v>
      </c>
      <c r="J381" s="6" t="s">
        <v>78</v>
      </c>
      <c r="K381" s="6"/>
      <c r="L381" s="18">
        <v>1784.4</v>
      </c>
      <c r="M381" s="18">
        <v>1094.4000000000001</v>
      </c>
      <c r="N381" s="18">
        <v>2474.4</v>
      </c>
      <c r="O381" s="17">
        <v>3000</v>
      </c>
      <c r="P381" s="17">
        <v>2000</v>
      </c>
      <c r="Q381" s="18" t="s">
        <v>255</v>
      </c>
    </row>
    <row r="382" spans="1:17">
      <c r="A382" s="11" t="s">
        <v>20</v>
      </c>
      <c r="B382" s="17" t="s">
        <v>21</v>
      </c>
      <c r="C382" s="28">
        <f>AVERAGE(D382:E382)</f>
        <v>211.75</v>
      </c>
      <c r="D382" s="5">
        <v>214</v>
      </c>
      <c r="E382" s="5">
        <v>209.5</v>
      </c>
      <c r="F382" s="6">
        <f>L382*$P382/$O382</f>
        <v>1494.7333333333333</v>
      </c>
      <c r="G382" s="6" t="s">
        <v>2</v>
      </c>
      <c r="H382" s="6">
        <f>F382*0.5</f>
        <v>747.36666666666667</v>
      </c>
      <c r="I382" s="6">
        <f>F382*2</f>
        <v>2989.4666666666667</v>
      </c>
      <c r="J382" s="6" t="s">
        <v>78</v>
      </c>
      <c r="K382" s="6"/>
      <c r="L382" s="18">
        <v>2242.1</v>
      </c>
      <c r="M382" s="18">
        <v>1366.6999999999998</v>
      </c>
      <c r="N382" s="18">
        <v>3117.5</v>
      </c>
      <c r="O382" s="17">
        <v>3000</v>
      </c>
      <c r="P382" s="17">
        <v>2000</v>
      </c>
      <c r="Q382" s="18" t="s">
        <v>255</v>
      </c>
    </row>
    <row r="383" spans="1:17">
      <c r="A383" s="11" t="s">
        <v>20</v>
      </c>
      <c r="B383" s="17" t="s">
        <v>21</v>
      </c>
      <c r="C383" s="28">
        <f>AVERAGE(D383:E383)</f>
        <v>211.75</v>
      </c>
      <c r="D383" s="5">
        <v>214</v>
      </c>
      <c r="E383" s="5">
        <v>209.5</v>
      </c>
      <c r="F383" s="6">
        <f>L383*$P383/$O383</f>
        <v>1502</v>
      </c>
      <c r="G383" s="6" t="s">
        <v>2</v>
      </c>
      <c r="H383" s="6">
        <f>F383*0.5</f>
        <v>751</v>
      </c>
      <c r="I383" s="6">
        <f>F383*2</f>
        <v>3004</v>
      </c>
      <c r="J383" s="6" t="s">
        <v>78</v>
      </c>
      <c r="K383" s="6"/>
      <c r="L383" s="18">
        <v>2253</v>
      </c>
      <c r="M383" s="18">
        <v>1376</v>
      </c>
      <c r="N383" s="18">
        <v>3130</v>
      </c>
      <c r="O383" s="17">
        <v>3000</v>
      </c>
      <c r="P383" s="17">
        <v>2000</v>
      </c>
      <c r="Q383" s="18" t="s">
        <v>255</v>
      </c>
    </row>
    <row r="384" spans="1:17">
      <c r="A384" s="11" t="s">
        <v>20</v>
      </c>
      <c r="B384" s="17" t="s">
        <v>21</v>
      </c>
      <c r="C384" s="28">
        <f>AVERAGE(D384:E384)</f>
        <v>211.75</v>
      </c>
      <c r="D384" s="5">
        <v>214</v>
      </c>
      <c r="E384" s="5">
        <v>209.5</v>
      </c>
      <c r="F384" s="6">
        <f>L384*$P384/$O384</f>
        <v>1508.8666666666666</v>
      </c>
      <c r="G384" s="6" t="s">
        <v>2</v>
      </c>
      <c r="H384" s="6">
        <f>F384*0.5</f>
        <v>754.43333333333328</v>
      </c>
      <c r="I384" s="6">
        <f>F384*2</f>
        <v>3017.7333333333331</v>
      </c>
      <c r="J384" s="6" t="s">
        <v>78</v>
      </c>
      <c r="K384" s="6"/>
      <c r="L384" s="18">
        <v>2263.3000000000002</v>
      </c>
      <c r="M384" s="18">
        <v>1388.0000000000002</v>
      </c>
      <c r="N384" s="18">
        <v>3138.6000000000004</v>
      </c>
      <c r="O384" s="17">
        <v>3000</v>
      </c>
      <c r="P384" s="17">
        <v>2000</v>
      </c>
      <c r="Q384" s="18" t="s">
        <v>255</v>
      </c>
    </row>
    <row r="385" spans="1:17">
      <c r="A385" s="11" t="s">
        <v>20</v>
      </c>
      <c r="B385" s="17" t="s">
        <v>21</v>
      </c>
      <c r="C385" s="28">
        <f>AVERAGE(D385:E385)</f>
        <v>211.75</v>
      </c>
      <c r="D385" s="5">
        <v>214</v>
      </c>
      <c r="E385" s="5">
        <v>209.5</v>
      </c>
      <c r="F385" s="6">
        <f>L385*$P385/$O385</f>
        <v>1064.5333333333333</v>
      </c>
      <c r="G385" s="6" t="s">
        <v>2</v>
      </c>
      <c r="H385" s="6">
        <f>F385*0.5</f>
        <v>532.26666666666665</v>
      </c>
      <c r="I385" s="6">
        <f>F385*2</f>
        <v>2129.0666666666666</v>
      </c>
      <c r="J385" s="6" t="s">
        <v>78</v>
      </c>
      <c r="K385" s="6"/>
      <c r="L385" s="18">
        <v>1596.8</v>
      </c>
      <c r="M385" s="18">
        <v>992.4</v>
      </c>
      <c r="N385" s="18">
        <v>2201.1999999999998</v>
      </c>
      <c r="O385" s="17">
        <v>3000</v>
      </c>
      <c r="P385" s="17">
        <v>2000</v>
      </c>
      <c r="Q385" s="18" t="s">
        <v>255</v>
      </c>
    </row>
    <row r="386" spans="1:17">
      <c r="A386" s="10" t="s">
        <v>62</v>
      </c>
      <c r="B386" s="17" t="s">
        <v>63</v>
      </c>
      <c r="C386" s="27">
        <v>211.89</v>
      </c>
      <c r="D386" s="17"/>
      <c r="E386" s="17"/>
      <c r="F386" s="17">
        <f>L386*$P386/$O386</f>
        <v>1613.2666666666667</v>
      </c>
      <c r="G386" s="6" t="s">
        <v>2</v>
      </c>
      <c r="H386" s="18">
        <f>M386*$P386/$O386</f>
        <v>982.13333333333333</v>
      </c>
      <c r="I386" s="18">
        <f>N386*$P386/$O386</f>
        <v>2244.4</v>
      </c>
      <c r="J386" s="6" t="s">
        <v>254</v>
      </c>
      <c r="K386" s="6"/>
      <c r="L386" s="18">
        <v>2419.9</v>
      </c>
      <c r="M386" s="18">
        <v>1473.2</v>
      </c>
      <c r="N386" s="18">
        <v>3366.6000000000004</v>
      </c>
      <c r="O386" s="17">
        <v>3000</v>
      </c>
      <c r="P386" s="17">
        <v>2000</v>
      </c>
      <c r="Q386" s="18" t="s">
        <v>255</v>
      </c>
    </row>
    <row r="387" spans="1:17">
      <c r="A387" s="9" t="s">
        <v>76</v>
      </c>
      <c r="B387" s="23" t="s">
        <v>79</v>
      </c>
      <c r="C387" s="28">
        <v>211.9</v>
      </c>
      <c r="D387" s="28">
        <f>C387+2.1</f>
        <v>214</v>
      </c>
      <c r="E387" s="28">
        <f>C387-2.1</f>
        <v>209.8</v>
      </c>
      <c r="F387" s="6">
        <f>L387*$P387/$O387</f>
        <v>1486.8</v>
      </c>
      <c r="G387" s="6" t="s">
        <v>2</v>
      </c>
      <c r="H387" s="6">
        <f>F387*0.5</f>
        <v>743.4</v>
      </c>
      <c r="I387" s="6">
        <f>F387*2</f>
        <v>2973.6</v>
      </c>
      <c r="J387" s="6" t="s">
        <v>78</v>
      </c>
      <c r="K387" s="6"/>
      <c r="L387" s="18">
        <v>2230.1999999999998</v>
      </c>
      <c r="M387" s="18">
        <v>1360.8999999999999</v>
      </c>
      <c r="N387" s="18">
        <v>3099.5</v>
      </c>
      <c r="O387" s="17">
        <v>3000</v>
      </c>
      <c r="P387" s="17">
        <v>2000</v>
      </c>
      <c r="Q387" s="18" t="s">
        <v>255</v>
      </c>
    </row>
    <row r="388" spans="1:17">
      <c r="A388" s="9" t="s">
        <v>85</v>
      </c>
      <c r="B388" s="23" t="s">
        <v>79</v>
      </c>
      <c r="C388" s="28">
        <v>211.9</v>
      </c>
      <c r="D388" s="28">
        <f>C388+2.1</f>
        <v>214</v>
      </c>
      <c r="E388" s="28">
        <f>C388-2.1</f>
        <v>209.8</v>
      </c>
      <c r="F388" s="6">
        <f>L388*$P388/$O388</f>
        <v>1297.8666666666666</v>
      </c>
      <c r="G388" s="6" t="s">
        <v>2</v>
      </c>
      <c r="H388" s="6">
        <f>F388*0.5</f>
        <v>648.93333333333328</v>
      </c>
      <c r="I388" s="6">
        <f>F388*2</f>
        <v>2595.7333333333331</v>
      </c>
      <c r="J388" s="6" t="s">
        <v>78</v>
      </c>
      <c r="K388" s="6"/>
      <c r="L388" s="18">
        <v>1946.8</v>
      </c>
      <c r="M388" s="18">
        <v>1201.4000000000001</v>
      </c>
      <c r="N388" s="18">
        <v>2692.2</v>
      </c>
      <c r="O388" s="17">
        <v>3000</v>
      </c>
      <c r="P388" s="17">
        <v>2000</v>
      </c>
      <c r="Q388" s="18" t="s">
        <v>255</v>
      </c>
    </row>
    <row r="389" spans="1:17">
      <c r="A389" s="10" t="s">
        <v>30</v>
      </c>
      <c r="B389" s="18" t="s">
        <v>31</v>
      </c>
      <c r="C389" s="27">
        <v>211.9</v>
      </c>
      <c r="D389" s="17"/>
      <c r="E389" s="17"/>
      <c r="F389" s="6">
        <f>L389*$P389/$O389</f>
        <v>1942.5333333333333</v>
      </c>
      <c r="G389" s="6" t="s">
        <v>2</v>
      </c>
      <c r="H389" s="6">
        <f>F389*0.5</f>
        <v>971.26666666666665</v>
      </c>
      <c r="I389" s="6">
        <f>F389*2</f>
        <v>3885.0666666666666</v>
      </c>
      <c r="J389" s="6" t="s">
        <v>78</v>
      </c>
      <c r="K389" s="6"/>
      <c r="L389" s="18">
        <v>2913.8</v>
      </c>
      <c r="M389" s="18">
        <v>1731.9</v>
      </c>
      <c r="N389" s="18">
        <v>4095.7000000000003</v>
      </c>
      <c r="O389" s="17">
        <v>3000</v>
      </c>
      <c r="P389" s="17">
        <v>2000</v>
      </c>
      <c r="Q389" s="18" t="s">
        <v>255</v>
      </c>
    </row>
    <row r="390" spans="1:17">
      <c r="A390" s="10" t="s">
        <v>30</v>
      </c>
      <c r="B390" s="18" t="s">
        <v>31</v>
      </c>
      <c r="C390" s="27">
        <v>211.9</v>
      </c>
      <c r="D390" s="17"/>
      <c r="E390" s="17"/>
      <c r="F390" s="6">
        <f>L390*$P390/$O390</f>
        <v>1021.3333333333334</v>
      </c>
      <c r="G390" s="6" t="s">
        <v>2</v>
      </c>
      <c r="H390" s="6">
        <f>F390*0.5</f>
        <v>510.66666666666669</v>
      </c>
      <c r="I390" s="6">
        <f>F390*2</f>
        <v>2042.6666666666667</v>
      </c>
      <c r="J390" s="6" t="s">
        <v>78</v>
      </c>
      <c r="K390" s="6"/>
      <c r="L390" s="18">
        <v>1532</v>
      </c>
      <c r="M390" s="18">
        <v>947.8</v>
      </c>
      <c r="N390" s="18">
        <v>2116.1999999999998</v>
      </c>
      <c r="O390" s="17">
        <v>3000</v>
      </c>
      <c r="P390" s="17">
        <v>2000</v>
      </c>
      <c r="Q390" s="18" t="s">
        <v>255</v>
      </c>
    </row>
    <row r="391" spans="1:17">
      <c r="A391" s="10" t="s">
        <v>30</v>
      </c>
      <c r="B391" s="18" t="s">
        <v>31</v>
      </c>
      <c r="C391" s="27">
        <v>211.9</v>
      </c>
      <c r="D391" s="17"/>
      <c r="E391" s="17"/>
      <c r="F391" s="6">
        <f>L391*$P391/$O391</f>
        <v>1854.4666666666667</v>
      </c>
      <c r="G391" s="6" t="s">
        <v>2</v>
      </c>
      <c r="H391" s="6">
        <f>F391*0.5</f>
        <v>927.23333333333335</v>
      </c>
      <c r="I391" s="6">
        <f>F391*2</f>
        <v>3708.9333333333334</v>
      </c>
      <c r="J391" s="6" t="s">
        <v>78</v>
      </c>
      <c r="K391" s="6"/>
      <c r="L391" s="18">
        <v>2781.7</v>
      </c>
      <c r="M391" s="18">
        <v>1683.6999999999998</v>
      </c>
      <c r="N391" s="18">
        <v>3879.7</v>
      </c>
      <c r="O391" s="17">
        <v>3000</v>
      </c>
      <c r="P391" s="17">
        <v>2000</v>
      </c>
      <c r="Q391" s="18" t="s">
        <v>255</v>
      </c>
    </row>
    <row r="392" spans="1:17">
      <c r="A392" s="10" t="s">
        <v>30</v>
      </c>
      <c r="B392" s="18" t="s">
        <v>31</v>
      </c>
      <c r="C392" s="27">
        <v>211.9</v>
      </c>
      <c r="D392" s="17"/>
      <c r="E392" s="17"/>
      <c r="F392" s="6">
        <f>L392*$P392/$O392</f>
        <v>1427.1333333333334</v>
      </c>
      <c r="G392" s="6" t="s">
        <v>2</v>
      </c>
      <c r="H392" s="6">
        <f>F392*0.5</f>
        <v>713.56666666666672</v>
      </c>
      <c r="I392" s="6">
        <f>F392*2</f>
        <v>2854.2666666666669</v>
      </c>
      <c r="J392" s="6" t="s">
        <v>78</v>
      </c>
      <c r="K392" s="6"/>
      <c r="L392" s="18">
        <v>2140.6999999999998</v>
      </c>
      <c r="M392" s="18">
        <v>1307.4999999999998</v>
      </c>
      <c r="N392" s="18">
        <v>2973.8999999999996</v>
      </c>
      <c r="O392" s="17">
        <v>3000</v>
      </c>
      <c r="P392" s="17">
        <v>2000</v>
      </c>
      <c r="Q392" s="18" t="s">
        <v>255</v>
      </c>
    </row>
    <row r="393" spans="1:17">
      <c r="A393" s="10" t="s">
        <v>70</v>
      </c>
      <c r="B393" s="17" t="s">
        <v>53</v>
      </c>
      <c r="C393" s="17">
        <v>211.9</v>
      </c>
      <c r="D393" s="17">
        <f>C393+0.7</f>
        <v>212.6</v>
      </c>
      <c r="E393" s="17">
        <f>C393-0.7</f>
        <v>211.20000000000002</v>
      </c>
      <c r="F393" s="18">
        <f>L393*$P393/$O393</f>
        <v>1973.3333333333333</v>
      </c>
      <c r="G393" s="6" t="s">
        <v>2</v>
      </c>
      <c r="H393" s="18">
        <f>F393*0.5</f>
        <v>986.66666666666663</v>
      </c>
      <c r="I393" s="18">
        <f>F393*2</f>
        <v>3946.6666666666665</v>
      </c>
      <c r="J393" s="6" t="s">
        <v>292</v>
      </c>
      <c r="K393" s="6"/>
      <c r="L393" s="18">
        <v>2960</v>
      </c>
      <c r="M393" s="18">
        <v>1877.3</v>
      </c>
      <c r="N393" s="18">
        <v>4042.7</v>
      </c>
      <c r="O393" s="17">
        <v>3000</v>
      </c>
      <c r="P393" s="17">
        <v>2000</v>
      </c>
      <c r="Q393" s="18" t="s">
        <v>255</v>
      </c>
    </row>
    <row r="394" spans="1:17">
      <c r="A394" s="10" t="s">
        <v>70</v>
      </c>
      <c r="B394" s="17" t="s">
        <v>53</v>
      </c>
      <c r="C394" s="17">
        <v>211.9</v>
      </c>
      <c r="D394" s="17">
        <f>C394+0.7</f>
        <v>212.6</v>
      </c>
      <c r="E394" s="17">
        <f>C394-0.7</f>
        <v>211.20000000000002</v>
      </c>
      <c r="F394" s="18">
        <f>L394*$P394/$O394</f>
        <v>2023.8</v>
      </c>
      <c r="G394" s="6" t="s">
        <v>2</v>
      </c>
      <c r="H394" s="18">
        <f>F394*0.5</f>
        <v>1011.9</v>
      </c>
      <c r="I394" s="18">
        <f>F394*2</f>
        <v>4047.6</v>
      </c>
      <c r="J394" s="6" t="s">
        <v>292</v>
      </c>
      <c r="K394" s="6"/>
      <c r="L394" s="18">
        <v>3035.7</v>
      </c>
      <c r="M394" s="18">
        <v>1904.4999999999998</v>
      </c>
      <c r="N394" s="18">
        <v>4166.8999999999996</v>
      </c>
      <c r="O394" s="17">
        <v>3000</v>
      </c>
      <c r="P394" s="17">
        <v>2000</v>
      </c>
      <c r="Q394" s="18" t="s">
        <v>255</v>
      </c>
    </row>
    <row r="395" spans="1:17">
      <c r="A395" s="10" t="s">
        <v>68</v>
      </c>
      <c r="B395" s="17" t="s">
        <v>69</v>
      </c>
      <c r="C395" s="5">
        <v>211.989</v>
      </c>
      <c r="D395" s="17"/>
      <c r="E395" s="17"/>
      <c r="F395" s="17">
        <f>L395</f>
        <v>3236.8</v>
      </c>
      <c r="G395" s="6" t="s">
        <v>2</v>
      </c>
      <c r="H395" s="6">
        <f>F395*0.5</f>
        <v>1618.4</v>
      </c>
      <c r="I395" s="6">
        <f>F395*2</f>
        <v>6473.6</v>
      </c>
      <c r="J395" s="6" t="s">
        <v>193</v>
      </c>
      <c r="K395" s="6"/>
      <c r="L395" s="18">
        <v>3236.8</v>
      </c>
      <c r="M395" s="18">
        <v>2026.8000000000002</v>
      </c>
      <c r="N395" s="18">
        <v>4446.8</v>
      </c>
      <c r="O395" s="17">
        <v>3000</v>
      </c>
      <c r="P395" s="17">
        <v>2000</v>
      </c>
      <c r="Q395" s="18" t="s">
        <v>255</v>
      </c>
    </row>
    <row r="396" spans="1:17">
      <c r="A396" s="10" t="s">
        <v>68</v>
      </c>
      <c r="B396" s="17" t="s">
        <v>69</v>
      </c>
      <c r="C396" s="5">
        <v>212.14400000000001</v>
      </c>
      <c r="D396" s="17"/>
      <c r="E396" s="17"/>
      <c r="F396" s="17">
        <f>L396</f>
        <v>3155.8</v>
      </c>
      <c r="G396" s="6" t="s">
        <v>2</v>
      </c>
      <c r="H396" s="6">
        <f>F396*0.5</f>
        <v>1577.9</v>
      </c>
      <c r="I396" s="6">
        <f>F396*2</f>
        <v>6311.6</v>
      </c>
      <c r="J396" s="6" t="s">
        <v>193</v>
      </c>
      <c r="K396" s="6"/>
      <c r="L396" s="18">
        <v>3155.8</v>
      </c>
      <c r="M396" s="18">
        <v>1975.0000000000002</v>
      </c>
      <c r="N396" s="18">
        <v>4336.6000000000004</v>
      </c>
      <c r="O396" s="17">
        <v>3000</v>
      </c>
      <c r="P396" s="17">
        <v>2000</v>
      </c>
      <c r="Q396" s="18" t="s">
        <v>255</v>
      </c>
    </row>
    <row r="397" spans="1:17">
      <c r="A397" s="10" t="s">
        <v>68</v>
      </c>
      <c r="B397" s="17" t="s">
        <v>69</v>
      </c>
      <c r="C397" s="5">
        <v>212.24700000000001</v>
      </c>
      <c r="D397" s="17"/>
      <c r="E397" s="17"/>
      <c r="F397" s="17">
        <f>L397</f>
        <v>2944.2</v>
      </c>
      <c r="G397" s="6" t="s">
        <v>2</v>
      </c>
      <c r="H397" s="6">
        <f>F397*0.5</f>
        <v>1472.1</v>
      </c>
      <c r="I397" s="6">
        <f>F397*2</f>
        <v>5888.4</v>
      </c>
      <c r="J397" s="6" t="s">
        <v>193</v>
      </c>
      <c r="K397" s="6"/>
      <c r="L397" s="18">
        <v>2944.2</v>
      </c>
      <c r="M397" s="18">
        <v>1868.4999999999998</v>
      </c>
      <c r="N397" s="18">
        <v>4019.8999999999996</v>
      </c>
      <c r="O397" s="17">
        <v>3000</v>
      </c>
      <c r="P397" s="17">
        <v>2000</v>
      </c>
      <c r="Q397" s="18" t="s">
        <v>255</v>
      </c>
    </row>
    <row r="398" spans="1:17">
      <c r="A398" s="10" t="s">
        <v>68</v>
      </c>
      <c r="B398" s="17" t="s">
        <v>69</v>
      </c>
      <c r="C398" s="5">
        <v>212.35</v>
      </c>
      <c r="D398" s="17"/>
      <c r="E398" s="17"/>
      <c r="F398" s="17">
        <f>L398</f>
        <v>3413.4</v>
      </c>
      <c r="G398" s="6" t="s">
        <v>2</v>
      </c>
      <c r="H398" s="6">
        <f>F398*0.5</f>
        <v>1706.7</v>
      </c>
      <c r="I398" s="6">
        <f>F398*2</f>
        <v>6826.8</v>
      </c>
      <c r="J398" s="6" t="s">
        <v>193</v>
      </c>
      <c r="K398" s="6"/>
      <c r="L398" s="18">
        <v>3413.4</v>
      </c>
      <c r="M398" s="18">
        <v>2107.8000000000002</v>
      </c>
      <c r="N398" s="18">
        <v>4719</v>
      </c>
      <c r="O398" s="17">
        <v>3000</v>
      </c>
      <c r="P398" s="17">
        <v>2000</v>
      </c>
      <c r="Q398" s="18" t="s">
        <v>255</v>
      </c>
    </row>
    <row r="399" spans="1:17">
      <c r="A399" s="10" t="s">
        <v>68</v>
      </c>
      <c r="B399" s="17" t="s">
        <v>69</v>
      </c>
      <c r="C399" s="5">
        <v>212.505</v>
      </c>
      <c r="D399" s="17"/>
      <c r="E399" s="17"/>
      <c r="F399" s="17">
        <f>L399</f>
        <v>4085.6</v>
      </c>
      <c r="G399" s="6" t="s">
        <v>2</v>
      </c>
      <c r="H399" s="6">
        <f>F399*0.5</f>
        <v>2042.8</v>
      </c>
      <c r="I399" s="6">
        <f>F399*2</f>
        <v>8171.2</v>
      </c>
      <c r="J399" s="6" t="s">
        <v>193</v>
      </c>
      <c r="K399" s="6"/>
      <c r="L399" s="18">
        <v>4085.6</v>
      </c>
      <c r="M399" s="18">
        <v>2485.6</v>
      </c>
      <c r="N399" s="18">
        <v>5685.6</v>
      </c>
      <c r="O399" s="17">
        <v>3000</v>
      </c>
      <c r="P399" s="17">
        <v>2000</v>
      </c>
      <c r="Q399" s="18" t="s">
        <v>255</v>
      </c>
    </row>
    <row r="400" spans="1:17">
      <c r="A400" s="10" t="s">
        <v>68</v>
      </c>
      <c r="B400" s="17" t="s">
        <v>69</v>
      </c>
      <c r="C400" s="5">
        <v>212.55699999999999</v>
      </c>
      <c r="D400" s="17"/>
      <c r="E400" s="17"/>
      <c r="F400" s="17">
        <f>L400</f>
        <v>3758</v>
      </c>
      <c r="G400" s="6" t="s">
        <v>2</v>
      </c>
      <c r="H400" s="6">
        <f>F400*0.5</f>
        <v>1879</v>
      </c>
      <c r="I400" s="6">
        <f>F400*2</f>
        <v>7516</v>
      </c>
      <c r="J400" s="6" t="s">
        <v>193</v>
      </c>
      <c r="K400" s="6"/>
      <c r="L400" s="18">
        <v>3758</v>
      </c>
      <c r="M400" s="18">
        <v>2308.6999999999998</v>
      </c>
      <c r="N400" s="18">
        <v>5207.3</v>
      </c>
      <c r="O400" s="17">
        <v>3000</v>
      </c>
      <c r="P400" s="17">
        <v>2000</v>
      </c>
      <c r="Q400" s="18" t="s">
        <v>255</v>
      </c>
    </row>
    <row r="401" spans="1:17">
      <c r="A401" s="10" t="s">
        <v>68</v>
      </c>
      <c r="B401" s="17" t="s">
        <v>69</v>
      </c>
      <c r="C401" s="5">
        <v>212.71100000000001</v>
      </c>
      <c r="D401" s="17"/>
      <c r="E401" s="17"/>
      <c r="F401" s="17">
        <f>L401</f>
        <v>3762.6</v>
      </c>
      <c r="G401" s="6" t="s">
        <v>2</v>
      </c>
      <c r="H401" s="6">
        <f>F401*0.5</f>
        <v>1881.3</v>
      </c>
      <c r="I401" s="6">
        <f>F401*2</f>
        <v>7525.2</v>
      </c>
      <c r="J401" s="6" t="s">
        <v>193</v>
      </c>
      <c r="K401" s="6"/>
      <c r="L401" s="18">
        <v>3762.6</v>
      </c>
      <c r="M401" s="18">
        <v>2279.1</v>
      </c>
      <c r="N401" s="18">
        <v>5246.1</v>
      </c>
      <c r="O401" s="17">
        <v>3000</v>
      </c>
      <c r="P401" s="17">
        <v>2000</v>
      </c>
      <c r="Q401" s="18" t="s">
        <v>255</v>
      </c>
    </row>
    <row r="402" spans="1:17">
      <c r="A402" s="10" t="s">
        <v>68</v>
      </c>
      <c r="B402" s="17" t="s">
        <v>69</v>
      </c>
      <c r="C402" s="5">
        <v>212.96899999999999</v>
      </c>
      <c r="D402" s="17"/>
      <c r="E402" s="17"/>
      <c r="F402" s="17">
        <f>L402</f>
        <v>4429.7</v>
      </c>
      <c r="G402" s="6" t="s">
        <v>2</v>
      </c>
      <c r="H402" s="6">
        <f>F402*0.5</f>
        <v>2214.85</v>
      </c>
      <c r="I402" s="6">
        <f>F402*2</f>
        <v>8859.4</v>
      </c>
      <c r="J402" s="6" t="s">
        <v>193</v>
      </c>
      <c r="K402" s="6"/>
      <c r="L402" s="18">
        <v>4429.7</v>
      </c>
      <c r="M402" s="18">
        <v>2362.3999999999996</v>
      </c>
      <c r="N402" s="18">
        <v>6497</v>
      </c>
      <c r="O402" s="17">
        <v>3000</v>
      </c>
      <c r="P402" s="17">
        <v>2000</v>
      </c>
      <c r="Q402" s="18" t="s">
        <v>255</v>
      </c>
    </row>
    <row r="403" spans="1:17">
      <c r="A403" s="10" t="s">
        <v>62</v>
      </c>
      <c r="B403" s="17" t="s">
        <v>63</v>
      </c>
      <c r="C403" s="27">
        <v>213.08</v>
      </c>
      <c r="D403" s="27"/>
      <c r="E403" s="27"/>
      <c r="F403" s="17">
        <f>L403*$P403/$O403</f>
        <v>2953.1333333333332</v>
      </c>
      <c r="G403" s="6" t="s">
        <v>2</v>
      </c>
      <c r="H403" s="18">
        <f>M403*$P403/$O403</f>
        <v>1764</v>
      </c>
      <c r="I403" s="18">
        <f>N403*$P403/$O403</f>
        <v>4142.2666666666664</v>
      </c>
      <c r="J403" s="6" t="s">
        <v>254</v>
      </c>
      <c r="K403" s="6"/>
      <c r="L403" s="18">
        <v>4429.7</v>
      </c>
      <c r="M403" s="18">
        <v>2646</v>
      </c>
      <c r="N403" s="18">
        <v>6213.4</v>
      </c>
      <c r="O403" s="17">
        <v>3000</v>
      </c>
      <c r="P403" s="17">
        <v>2000</v>
      </c>
      <c r="Q403" s="18" t="s">
        <v>255</v>
      </c>
    </row>
    <row r="404" spans="1:17">
      <c r="A404" s="10" t="s">
        <v>68</v>
      </c>
      <c r="B404" s="17" t="s">
        <v>69</v>
      </c>
      <c r="C404" s="5">
        <v>213.124</v>
      </c>
      <c r="D404" s="17"/>
      <c r="E404" s="17"/>
      <c r="F404" s="17">
        <f>L404</f>
        <v>4247.6000000000004</v>
      </c>
      <c r="G404" s="6" t="s">
        <v>2</v>
      </c>
      <c r="H404" s="6">
        <f>F404*0.5</f>
        <v>2123.8000000000002</v>
      </c>
      <c r="I404" s="6">
        <f>F404*2</f>
        <v>8495.2000000000007</v>
      </c>
      <c r="J404" s="6" t="s">
        <v>193</v>
      </c>
      <c r="K404" s="6"/>
      <c r="L404" s="18">
        <v>4247.6000000000004</v>
      </c>
      <c r="M404" s="18">
        <v>2569.8000000000002</v>
      </c>
      <c r="N404" s="18">
        <v>5925.4000000000005</v>
      </c>
      <c r="O404" s="17">
        <v>3000</v>
      </c>
      <c r="P404" s="17">
        <v>2000</v>
      </c>
      <c r="Q404" s="18" t="s">
        <v>255</v>
      </c>
    </row>
    <row r="405" spans="1:17">
      <c r="A405" s="10" t="s">
        <v>68</v>
      </c>
      <c r="B405" s="17" t="s">
        <v>69</v>
      </c>
      <c r="C405" s="5">
        <v>213.17500000000001</v>
      </c>
      <c r="D405" s="17"/>
      <c r="E405" s="17"/>
      <c r="F405" s="17">
        <f>L405</f>
        <v>4786.6000000000004</v>
      </c>
      <c r="G405" s="6" t="s">
        <v>2</v>
      </c>
      <c r="H405" s="6">
        <f>F405*0.5</f>
        <v>2393.3000000000002</v>
      </c>
      <c r="I405" s="6">
        <f>F405*2</f>
        <v>9573.2000000000007</v>
      </c>
      <c r="J405" s="6" t="s">
        <v>193</v>
      </c>
      <c r="K405" s="6"/>
      <c r="L405" s="18">
        <v>4786.6000000000004</v>
      </c>
      <c r="M405" s="18">
        <v>2816.6000000000004</v>
      </c>
      <c r="N405" s="18">
        <v>6756.6</v>
      </c>
      <c r="O405" s="17">
        <v>3000</v>
      </c>
      <c r="P405" s="17">
        <v>2000</v>
      </c>
      <c r="Q405" s="18" t="s">
        <v>255</v>
      </c>
    </row>
    <row r="406" spans="1:17">
      <c r="A406" s="10" t="s">
        <v>68</v>
      </c>
      <c r="B406" s="17" t="s">
        <v>69</v>
      </c>
      <c r="C406" s="5">
        <v>213.32599999999999</v>
      </c>
      <c r="D406" s="17"/>
      <c r="E406" s="17"/>
      <c r="F406" s="17">
        <f>L406</f>
        <v>4134</v>
      </c>
      <c r="G406" s="6" t="s">
        <v>2</v>
      </c>
      <c r="H406" s="6">
        <f>F406*0.5</f>
        <v>2067</v>
      </c>
      <c r="I406" s="6">
        <f>F406*2</f>
        <v>8268</v>
      </c>
      <c r="J406" s="6" t="s">
        <v>193</v>
      </c>
      <c r="K406" s="6"/>
      <c r="L406" s="18">
        <v>4134</v>
      </c>
      <c r="M406" s="18">
        <v>2495.9</v>
      </c>
      <c r="N406" s="18">
        <v>5772.1</v>
      </c>
      <c r="O406" s="17">
        <v>3000</v>
      </c>
      <c r="P406" s="17">
        <v>2000</v>
      </c>
      <c r="Q406" s="18" t="s">
        <v>255</v>
      </c>
    </row>
    <row r="407" spans="1:17">
      <c r="A407" s="10" t="s">
        <v>68</v>
      </c>
      <c r="B407" s="17" t="s">
        <v>69</v>
      </c>
      <c r="C407" s="5">
        <v>213.47800000000001</v>
      </c>
      <c r="D407" s="17"/>
      <c r="E407" s="17"/>
      <c r="F407" s="17">
        <f>L407</f>
        <v>3443.3</v>
      </c>
      <c r="G407" s="6" t="s">
        <v>2</v>
      </c>
      <c r="H407" s="6">
        <f>F407*0.5</f>
        <v>1721.65</v>
      </c>
      <c r="I407" s="6">
        <f>F407*2</f>
        <v>6886.6</v>
      </c>
      <c r="J407" s="6" t="s">
        <v>193</v>
      </c>
      <c r="K407" s="6"/>
      <c r="L407" s="18">
        <v>3443.3</v>
      </c>
      <c r="M407" s="18">
        <v>2155.5</v>
      </c>
      <c r="N407" s="18">
        <v>4731.1000000000004</v>
      </c>
      <c r="O407" s="17">
        <v>3000</v>
      </c>
      <c r="P407" s="17">
        <v>2000</v>
      </c>
      <c r="Q407" s="18" t="s">
        <v>255</v>
      </c>
    </row>
    <row r="408" spans="1:17">
      <c r="A408" s="10" t="s">
        <v>68</v>
      </c>
      <c r="B408" s="17" t="s">
        <v>69</v>
      </c>
      <c r="C408" s="5">
        <v>214.727</v>
      </c>
      <c r="D408" s="17"/>
      <c r="E408" s="17"/>
      <c r="F408" s="17">
        <f>L408</f>
        <v>3908.4</v>
      </c>
      <c r="G408" s="6" t="s">
        <v>2</v>
      </c>
      <c r="H408" s="6">
        <f>F408*0.5</f>
        <v>1954.2</v>
      </c>
      <c r="I408" s="6">
        <f>F408*2</f>
        <v>7816.8</v>
      </c>
      <c r="J408" s="6" t="s">
        <v>193</v>
      </c>
      <c r="K408" s="6"/>
      <c r="L408" s="18">
        <v>3908.4</v>
      </c>
      <c r="M408" s="18">
        <v>2368.8000000000002</v>
      </c>
      <c r="N408" s="18">
        <v>5448</v>
      </c>
      <c r="O408" s="17">
        <v>3000</v>
      </c>
      <c r="P408" s="17">
        <v>2000</v>
      </c>
      <c r="Q408" s="18" t="s">
        <v>255</v>
      </c>
    </row>
    <row r="409" spans="1:17">
      <c r="A409" s="10" t="s">
        <v>62</v>
      </c>
      <c r="B409" s="17" t="s">
        <v>63</v>
      </c>
      <c r="C409" s="27">
        <v>214.95</v>
      </c>
      <c r="D409" s="27"/>
      <c r="E409" s="27"/>
      <c r="F409" s="17">
        <f>L409*$P409/$O409</f>
        <v>1623.4</v>
      </c>
      <c r="G409" s="6" t="s">
        <v>2</v>
      </c>
      <c r="H409" s="18">
        <f>M409*$P409/$O409</f>
        <v>1046.9333333333332</v>
      </c>
      <c r="I409" s="18">
        <f>N409*$P409/$O409</f>
        <v>2199.8666666666668</v>
      </c>
      <c r="J409" s="6" t="s">
        <v>254</v>
      </c>
      <c r="K409" s="6"/>
      <c r="L409" s="18">
        <v>2435.1</v>
      </c>
      <c r="M409" s="18">
        <v>1570.3999999999999</v>
      </c>
      <c r="N409" s="18">
        <v>3299.8</v>
      </c>
      <c r="O409" s="17">
        <v>3000</v>
      </c>
      <c r="P409" s="17">
        <v>2000</v>
      </c>
      <c r="Q409" s="18" t="s">
        <v>255</v>
      </c>
    </row>
    <row r="410" spans="1:17">
      <c r="A410" s="10" t="s">
        <v>62</v>
      </c>
      <c r="B410" s="17" t="s">
        <v>63</v>
      </c>
      <c r="C410" s="27">
        <v>215</v>
      </c>
      <c r="D410" s="27"/>
      <c r="E410" s="27"/>
      <c r="F410" s="17">
        <f>L410*$P410/$O410</f>
        <v>2236.6</v>
      </c>
      <c r="G410" s="6" t="s">
        <v>2</v>
      </c>
      <c r="H410" s="18">
        <f>M410*$P410/$O410</f>
        <v>1366.7333333333336</v>
      </c>
      <c r="I410" s="18">
        <f>N410*$P410/$O410</f>
        <v>3106.4666666666667</v>
      </c>
      <c r="J410" s="6" t="s">
        <v>254</v>
      </c>
      <c r="K410" s="6"/>
      <c r="L410" s="18">
        <v>3354.9</v>
      </c>
      <c r="M410" s="18">
        <v>2050.1000000000004</v>
      </c>
      <c r="N410" s="18">
        <v>4659.7</v>
      </c>
      <c r="O410" s="17">
        <v>3000</v>
      </c>
      <c r="P410" s="17">
        <v>2000</v>
      </c>
      <c r="Q410" s="18" t="s">
        <v>255</v>
      </c>
    </row>
    <row r="411" spans="1:17">
      <c r="A411" s="10" t="s">
        <v>62</v>
      </c>
      <c r="B411" s="17" t="s">
        <v>63</v>
      </c>
      <c r="C411" s="27">
        <v>215.06</v>
      </c>
      <c r="D411" s="27"/>
      <c r="E411" s="27"/>
      <c r="F411" s="17">
        <f>L411*$P411/$O411</f>
        <v>1942.2666666666667</v>
      </c>
      <c r="G411" s="6" t="s">
        <v>2</v>
      </c>
      <c r="H411" s="18">
        <f>M411*$P411/$O411</f>
        <v>1220.2666666666667</v>
      </c>
      <c r="I411" s="18">
        <f>N411*$P411/$O411</f>
        <v>2664.2666666666669</v>
      </c>
      <c r="J411" s="6" t="s">
        <v>254</v>
      </c>
      <c r="K411" s="6"/>
      <c r="L411" s="18">
        <v>2913.4</v>
      </c>
      <c r="M411" s="18">
        <v>1830.4</v>
      </c>
      <c r="N411" s="18">
        <v>3996.4</v>
      </c>
      <c r="O411" s="17">
        <v>3000</v>
      </c>
      <c r="P411" s="17">
        <v>2000</v>
      </c>
      <c r="Q411" s="18" t="s">
        <v>255</v>
      </c>
    </row>
    <row r="412" spans="1:17">
      <c r="A412" s="10" t="s">
        <v>62</v>
      </c>
      <c r="B412" s="17" t="s">
        <v>63</v>
      </c>
      <c r="C412" s="27">
        <v>215.19</v>
      </c>
      <c r="D412" s="27"/>
      <c r="E412" s="27"/>
      <c r="F412" s="17">
        <f>L412*$P412/$O412</f>
        <v>2635.6</v>
      </c>
      <c r="G412" s="6" t="s">
        <v>2</v>
      </c>
      <c r="H412" s="18">
        <f>M412*$P412/$O412</f>
        <v>1574.4000000000003</v>
      </c>
      <c r="I412" s="18">
        <f>N412*$P412/$O412</f>
        <v>3696.8</v>
      </c>
      <c r="J412" s="6" t="s">
        <v>254</v>
      </c>
      <c r="K412" s="6"/>
      <c r="L412" s="18">
        <v>3953.4</v>
      </c>
      <c r="M412" s="18">
        <v>2361.6000000000004</v>
      </c>
      <c r="N412" s="18">
        <v>5545.2</v>
      </c>
      <c r="O412" s="17">
        <v>3000</v>
      </c>
      <c r="P412" s="17">
        <v>2000</v>
      </c>
      <c r="Q412" s="18" t="s">
        <v>255</v>
      </c>
    </row>
    <row r="413" spans="1:17">
      <c r="A413" s="10" t="s">
        <v>62</v>
      </c>
      <c r="B413" s="17" t="s">
        <v>63</v>
      </c>
      <c r="C413" s="27">
        <v>215.26</v>
      </c>
      <c r="D413" s="27"/>
      <c r="E413" s="27"/>
      <c r="F413" s="17">
        <f>L413*$P413/$O413</f>
        <v>3194.3333333333335</v>
      </c>
      <c r="G413" s="6" t="s">
        <v>2</v>
      </c>
      <c r="H413" s="18">
        <f>M413*$P413/$O413</f>
        <v>1872.6666666666667</v>
      </c>
      <c r="I413" s="18">
        <f>N413*$P413/$O413</f>
        <v>4516</v>
      </c>
      <c r="J413" s="6" t="s">
        <v>254</v>
      </c>
      <c r="K413" s="6"/>
      <c r="L413" s="18">
        <v>4791.5</v>
      </c>
      <c r="M413" s="18">
        <v>2809</v>
      </c>
      <c r="N413" s="18">
        <v>6774</v>
      </c>
      <c r="O413" s="17">
        <v>3000</v>
      </c>
      <c r="P413" s="17">
        <v>2000</v>
      </c>
      <c r="Q413" s="18" t="s">
        <v>255</v>
      </c>
    </row>
    <row r="414" spans="1:17">
      <c r="A414" s="10" t="s">
        <v>62</v>
      </c>
      <c r="B414" s="17" t="s">
        <v>63</v>
      </c>
      <c r="C414" s="27">
        <v>215.44</v>
      </c>
      <c r="D414" s="27"/>
      <c r="E414" s="27"/>
      <c r="F414" s="17">
        <f>L414*$P414/$O414</f>
        <v>3087.8</v>
      </c>
      <c r="G414" s="6" t="s">
        <v>2</v>
      </c>
      <c r="H414" s="18">
        <f>M414*$P414/$O414</f>
        <v>1802.5333333333331</v>
      </c>
      <c r="I414" s="18">
        <f>N414*$P414/$O414</f>
        <v>4373.0666666666666</v>
      </c>
      <c r="J414" s="6" t="s">
        <v>254</v>
      </c>
      <c r="K414" s="6"/>
      <c r="L414" s="18">
        <v>4631.7</v>
      </c>
      <c r="M414" s="18">
        <v>2703.7999999999997</v>
      </c>
      <c r="N414" s="18">
        <v>6559.6</v>
      </c>
      <c r="O414" s="17">
        <v>3000</v>
      </c>
      <c r="P414" s="17">
        <v>2000</v>
      </c>
      <c r="Q414" s="18" t="s">
        <v>255</v>
      </c>
    </row>
    <row r="415" spans="1:17">
      <c r="A415" s="10" t="s">
        <v>62</v>
      </c>
      <c r="B415" s="17" t="s">
        <v>63</v>
      </c>
      <c r="C415" s="27">
        <v>215.58</v>
      </c>
      <c r="D415" s="27"/>
      <c r="E415" s="27"/>
      <c r="F415" s="17">
        <f>L415*$P415/$O415</f>
        <v>3123.2</v>
      </c>
      <c r="G415" s="6" t="s">
        <v>2</v>
      </c>
      <c r="H415" s="18">
        <f>M415*$P415/$O415</f>
        <v>1826.4666666666669</v>
      </c>
      <c r="I415" s="18">
        <f>N415*$P415/$O415</f>
        <v>4419.9333333333334</v>
      </c>
      <c r="J415" s="6" t="s">
        <v>254</v>
      </c>
      <c r="K415" s="6"/>
      <c r="L415" s="18">
        <v>4684.8</v>
      </c>
      <c r="M415" s="18">
        <v>2739.7000000000003</v>
      </c>
      <c r="N415" s="18">
        <v>6629.9</v>
      </c>
      <c r="O415" s="17">
        <v>3000</v>
      </c>
      <c r="P415" s="17">
        <v>2000</v>
      </c>
      <c r="Q415" s="18" t="s">
        <v>255</v>
      </c>
    </row>
    <row r="416" spans="1:17">
      <c r="A416" s="10" t="s">
        <v>62</v>
      </c>
      <c r="B416" s="17" t="s">
        <v>63</v>
      </c>
      <c r="C416" s="27">
        <v>215.6</v>
      </c>
      <c r="D416" s="27"/>
      <c r="E416" s="27"/>
      <c r="F416" s="17">
        <f>L416*$P416/$O416</f>
        <v>3722.4</v>
      </c>
      <c r="G416" s="6" t="s">
        <v>2</v>
      </c>
      <c r="H416" s="18">
        <f>M416*$P416/$O416</f>
        <v>2095.0666666666671</v>
      </c>
      <c r="I416" s="18">
        <f>N416*$P416/$O416</f>
        <v>5349.7333333333336</v>
      </c>
      <c r="J416" s="6" t="s">
        <v>254</v>
      </c>
      <c r="K416" s="6"/>
      <c r="L416" s="18">
        <v>5583.6</v>
      </c>
      <c r="M416" s="18">
        <v>3142.6000000000004</v>
      </c>
      <c r="N416" s="18">
        <v>8024.6</v>
      </c>
      <c r="O416" s="17">
        <v>3000</v>
      </c>
      <c r="P416" s="17">
        <v>2000</v>
      </c>
      <c r="Q416" s="18" t="s">
        <v>255</v>
      </c>
    </row>
    <row r="417" spans="1:17">
      <c r="A417" s="10" t="s">
        <v>62</v>
      </c>
      <c r="B417" s="17" t="s">
        <v>63</v>
      </c>
      <c r="C417" s="27">
        <v>215.7</v>
      </c>
      <c r="D417" s="27"/>
      <c r="E417" s="27"/>
      <c r="F417" s="17">
        <f>L417*$P417/$O417</f>
        <v>3395.7333333333331</v>
      </c>
      <c r="G417" s="6" t="s">
        <v>2</v>
      </c>
      <c r="H417" s="18">
        <f>M417*$P417/$O417</f>
        <v>1938.8666666666666</v>
      </c>
      <c r="I417" s="18">
        <f>N417*$P417/$O417</f>
        <v>4852.6000000000004</v>
      </c>
      <c r="J417" s="6" t="s">
        <v>254</v>
      </c>
      <c r="K417" s="6"/>
      <c r="L417" s="18">
        <v>5093.6000000000004</v>
      </c>
      <c r="M417" s="18">
        <v>2908.3</v>
      </c>
      <c r="N417" s="18">
        <v>7278.9000000000005</v>
      </c>
      <c r="O417" s="17">
        <v>3000</v>
      </c>
      <c r="P417" s="17">
        <v>2000</v>
      </c>
      <c r="Q417" s="18" t="s">
        <v>255</v>
      </c>
    </row>
    <row r="418" spans="1:17">
      <c r="A418" s="10" t="s">
        <v>62</v>
      </c>
      <c r="B418" s="17" t="s">
        <v>63</v>
      </c>
      <c r="C418" s="27">
        <v>215.98</v>
      </c>
      <c r="D418" s="27"/>
      <c r="E418" s="27"/>
      <c r="F418" s="17">
        <f>L418*$P418/$O418</f>
        <v>3218.0666666666666</v>
      </c>
      <c r="G418" s="6" t="s">
        <v>2</v>
      </c>
      <c r="H418" s="18">
        <f>M418*$P418/$O418</f>
        <v>1867.2666666666669</v>
      </c>
      <c r="I418" s="18">
        <f>N418*$P418/$O418</f>
        <v>4568.8666666666668</v>
      </c>
      <c r="J418" s="6" t="s">
        <v>254</v>
      </c>
      <c r="K418" s="6"/>
      <c r="L418" s="18">
        <v>4827.1000000000004</v>
      </c>
      <c r="M418" s="18">
        <v>2800.9000000000005</v>
      </c>
      <c r="N418" s="18">
        <v>6853.3</v>
      </c>
      <c r="O418" s="17">
        <v>3000</v>
      </c>
      <c r="P418" s="17">
        <v>2000</v>
      </c>
      <c r="Q418" s="18" t="s">
        <v>255</v>
      </c>
    </row>
    <row r="419" spans="1:17">
      <c r="A419" s="10" t="s">
        <v>62</v>
      </c>
      <c r="B419" s="17" t="s">
        <v>63</v>
      </c>
      <c r="C419" s="27">
        <v>216.19</v>
      </c>
      <c r="D419" s="27"/>
      <c r="E419" s="27"/>
      <c r="F419" s="17">
        <f>L419*$P419/$O419</f>
        <v>3113.6</v>
      </c>
      <c r="G419" s="6" t="s">
        <v>2</v>
      </c>
      <c r="H419" s="18">
        <f>M419*$P419/$O419</f>
        <v>1808.1333333333334</v>
      </c>
      <c r="I419" s="18">
        <f>N419*$P419/$O419</f>
        <v>4419.0666666666657</v>
      </c>
      <c r="J419" s="6" t="s">
        <v>254</v>
      </c>
      <c r="K419" s="6"/>
      <c r="L419" s="18">
        <v>4670.3999999999996</v>
      </c>
      <c r="M419" s="18">
        <v>2712.2</v>
      </c>
      <c r="N419" s="18">
        <v>6628.5999999999995</v>
      </c>
      <c r="O419" s="17">
        <v>3000</v>
      </c>
      <c r="P419" s="17">
        <v>2000</v>
      </c>
      <c r="Q419" s="18" t="s">
        <v>255</v>
      </c>
    </row>
    <row r="420" spans="1:17">
      <c r="A420" s="10" t="s">
        <v>62</v>
      </c>
      <c r="B420" s="17" t="s">
        <v>63</v>
      </c>
      <c r="C420" s="27">
        <v>218.17</v>
      </c>
      <c r="D420" s="27"/>
      <c r="E420" s="27"/>
      <c r="F420" s="17">
        <f>L420*$P420/$O420</f>
        <v>3132.3333333333335</v>
      </c>
      <c r="G420" s="6" t="s">
        <v>2</v>
      </c>
      <c r="H420" s="18">
        <f>M420*$P420/$O420</f>
        <v>1844.4</v>
      </c>
      <c r="I420" s="18">
        <f>N420*$P420/$O420</f>
        <v>4420.2666666666664</v>
      </c>
      <c r="J420" s="6" t="s">
        <v>254</v>
      </c>
      <c r="K420" s="6"/>
      <c r="L420" s="18">
        <v>4698.5</v>
      </c>
      <c r="M420" s="18">
        <v>2766.6</v>
      </c>
      <c r="N420" s="18">
        <v>6630.4</v>
      </c>
      <c r="O420" s="17">
        <v>3000</v>
      </c>
      <c r="P420" s="17">
        <v>2000</v>
      </c>
      <c r="Q420" s="18" t="s">
        <v>255</v>
      </c>
    </row>
    <row r="421" spans="1:17">
      <c r="A421" s="10" t="s">
        <v>62</v>
      </c>
      <c r="B421" s="17" t="s">
        <v>63</v>
      </c>
      <c r="C421" s="27">
        <v>218.76</v>
      </c>
      <c r="D421" s="27"/>
      <c r="E421" s="27"/>
      <c r="F421" s="17">
        <f>L421*$P421/$O421</f>
        <v>3240.6</v>
      </c>
      <c r="G421" s="6" t="s">
        <v>2</v>
      </c>
      <c r="H421" s="18">
        <f>M421*$P421/$O421</f>
        <v>1883.7333333333331</v>
      </c>
      <c r="I421" s="18">
        <f>N421*$P421/$O421</f>
        <v>4597.4666666666662</v>
      </c>
      <c r="J421" s="6" t="s">
        <v>254</v>
      </c>
      <c r="K421" s="6"/>
      <c r="L421" s="18">
        <v>4860.8999999999996</v>
      </c>
      <c r="M421" s="18">
        <v>2825.5999999999995</v>
      </c>
      <c r="N421" s="18">
        <v>6896.2</v>
      </c>
      <c r="O421" s="17">
        <v>3000</v>
      </c>
      <c r="P421" s="17">
        <v>2000</v>
      </c>
      <c r="Q421" s="18" t="s">
        <v>255</v>
      </c>
    </row>
    <row r="422" spans="1:17">
      <c r="A422" s="11" t="s">
        <v>12</v>
      </c>
      <c r="B422" s="17" t="s">
        <v>13</v>
      </c>
      <c r="C422" s="28">
        <f>AVERAGE(D422:E422)</f>
        <v>218.95</v>
      </c>
      <c r="D422" s="28">
        <v>228.4</v>
      </c>
      <c r="E422" s="28">
        <v>209.5</v>
      </c>
      <c r="F422" s="6">
        <f>L422*$P422/$O422</f>
        <v>2470.1999999999998</v>
      </c>
      <c r="G422" s="6" t="s">
        <v>2</v>
      </c>
      <c r="H422" s="6">
        <f>F422*0.5</f>
        <v>1235.0999999999999</v>
      </c>
      <c r="I422" s="6">
        <f>F422*2</f>
        <v>4940.3999999999996</v>
      </c>
      <c r="J422" s="6" t="s">
        <v>78</v>
      </c>
      <c r="K422" s="6"/>
      <c r="L422" s="18">
        <v>3705.3</v>
      </c>
      <c r="M422" s="18">
        <v>2257</v>
      </c>
      <c r="N422" s="18">
        <v>5153.6000000000004</v>
      </c>
      <c r="O422" s="17">
        <v>3000</v>
      </c>
      <c r="P422" s="17">
        <v>2000</v>
      </c>
      <c r="Q422" s="18" t="s">
        <v>255</v>
      </c>
    </row>
    <row r="423" spans="1:17">
      <c r="A423" s="11" t="s">
        <v>12</v>
      </c>
      <c r="B423" s="17" t="s">
        <v>13</v>
      </c>
      <c r="C423" s="28">
        <f>AVERAGE(D423:E423)</f>
        <v>218.95</v>
      </c>
      <c r="D423" s="28">
        <v>228.4</v>
      </c>
      <c r="E423" s="28">
        <v>209.5</v>
      </c>
      <c r="F423" s="6">
        <f>L423*$P423/$O423</f>
        <v>2767</v>
      </c>
      <c r="G423" s="6" t="s">
        <v>2</v>
      </c>
      <c r="H423" s="6">
        <f>F423*0.5</f>
        <v>1383.5</v>
      </c>
      <c r="I423" s="6">
        <f>F423*2</f>
        <v>5534</v>
      </c>
      <c r="J423" s="6" t="s">
        <v>78</v>
      </c>
      <c r="K423" s="6"/>
      <c r="L423" s="18">
        <v>4150.5</v>
      </c>
      <c r="M423" s="18">
        <v>2373.6</v>
      </c>
      <c r="N423" s="18">
        <v>5927.4</v>
      </c>
      <c r="O423" s="17">
        <v>3000</v>
      </c>
      <c r="P423" s="17">
        <v>2000</v>
      </c>
      <c r="Q423" s="18" t="s">
        <v>255</v>
      </c>
    </row>
    <row r="424" spans="1:17">
      <c r="A424" s="10" t="s">
        <v>68</v>
      </c>
      <c r="B424" s="17" t="s">
        <v>69</v>
      </c>
      <c r="C424" s="5">
        <v>220.12299999999999</v>
      </c>
      <c r="D424" s="17"/>
      <c r="E424" s="17"/>
      <c r="F424" s="17">
        <f>L424</f>
        <v>4774.8999999999996</v>
      </c>
      <c r="G424" s="6" t="s">
        <v>2</v>
      </c>
      <c r="H424" s="6">
        <f>F424*0.5</f>
        <v>2387.4499999999998</v>
      </c>
      <c r="I424" s="6">
        <f>F424*2</f>
        <v>9549.7999999999993</v>
      </c>
      <c r="J424" s="6" t="s">
        <v>193</v>
      </c>
      <c r="K424" s="6"/>
      <c r="L424" s="18">
        <v>4774.8999999999996</v>
      </c>
      <c r="M424" s="18">
        <v>2708.3999999999996</v>
      </c>
      <c r="N424" s="18">
        <v>6841.4</v>
      </c>
      <c r="O424" s="17">
        <v>3000</v>
      </c>
      <c r="P424" s="17">
        <v>2000</v>
      </c>
      <c r="Q424" s="18" t="s">
        <v>255</v>
      </c>
    </row>
    <row r="425" spans="1:17">
      <c r="A425" s="10" t="s">
        <v>68</v>
      </c>
      <c r="B425" s="17" t="s">
        <v>69</v>
      </c>
      <c r="C425" s="5">
        <v>221.94300000000001</v>
      </c>
      <c r="D425" s="17"/>
      <c r="E425" s="17"/>
      <c r="F425" s="17">
        <f>L425</f>
        <v>4198</v>
      </c>
      <c r="G425" s="6" t="s">
        <v>2</v>
      </c>
      <c r="H425" s="6">
        <f>F425*0.5</f>
        <v>2099</v>
      </c>
      <c r="I425" s="6">
        <f>F425*2</f>
        <v>8396</v>
      </c>
      <c r="J425" s="6" t="s">
        <v>193</v>
      </c>
      <c r="K425" s="6"/>
      <c r="L425" s="18">
        <v>4198</v>
      </c>
      <c r="M425" s="18">
        <v>2470.9</v>
      </c>
      <c r="N425" s="18">
        <v>5925.1</v>
      </c>
      <c r="O425" s="17">
        <v>3000</v>
      </c>
      <c r="P425" s="17">
        <v>2000</v>
      </c>
      <c r="Q425" s="18" t="s">
        <v>255</v>
      </c>
    </row>
    <row r="426" spans="1:17">
      <c r="A426" s="10" t="s">
        <v>62</v>
      </c>
      <c r="B426" s="17" t="s">
        <v>63</v>
      </c>
      <c r="C426" s="27">
        <v>221.97</v>
      </c>
      <c r="D426" s="27"/>
      <c r="E426" s="27"/>
      <c r="F426" s="17">
        <f>L426*$P426/$O426</f>
        <v>2732.0666666666671</v>
      </c>
      <c r="G426" s="6" t="s">
        <v>2</v>
      </c>
      <c r="H426" s="18">
        <f>M426*$P426/$O426</f>
        <v>1636.0000000000002</v>
      </c>
      <c r="I426" s="18">
        <f>N426*$P426/$O426</f>
        <v>3828.1333333333341</v>
      </c>
      <c r="J426" s="6" t="s">
        <v>254</v>
      </c>
      <c r="K426" s="6"/>
      <c r="L426" s="18">
        <v>4098.1000000000004</v>
      </c>
      <c r="M426" s="18">
        <v>2454.0000000000005</v>
      </c>
      <c r="N426" s="18">
        <v>5742.2000000000007</v>
      </c>
      <c r="O426" s="17">
        <v>3000</v>
      </c>
      <c r="P426" s="17">
        <v>2000</v>
      </c>
      <c r="Q426" s="18" t="s">
        <v>255</v>
      </c>
    </row>
    <row r="427" spans="1:17">
      <c r="A427" s="10" t="s">
        <v>62</v>
      </c>
      <c r="B427" s="17" t="s">
        <v>63</v>
      </c>
      <c r="C427" s="27">
        <v>222.27</v>
      </c>
      <c r="D427" s="27"/>
      <c r="E427" s="27"/>
      <c r="F427" s="17">
        <f>L427*$P427/$O427</f>
        <v>2324.9333333333334</v>
      </c>
      <c r="G427" s="6" t="s">
        <v>2</v>
      </c>
      <c r="H427" s="18">
        <f>M427*$P427/$O427</f>
        <v>1412.8666666666666</v>
      </c>
      <c r="I427" s="18">
        <f>N427*$P427/$O427</f>
        <v>3237</v>
      </c>
      <c r="J427" s="6" t="s">
        <v>254</v>
      </c>
      <c r="K427" s="6"/>
      <c r="L427" s="18">
        <v>3487.4</v>
      </c>
      <c r="M427" s="18">
        <v>2119.3000000000002</v>
      </c>
      <c r="N427" s="18">
        <v>4855.5</v>
      </c>
      <c r="O427" s="17">
        <v>3000</v>
      </c>
      <c r="P427" s="17">
        <v>2000</v>
      </c>
      <c r="Q427" s="18" t="s">
        <v>255</v>
      </c>
    </row>
    <row r="428" spans="1:17">
      <c r="A428" s="10" t="s">
        <v>62</v>
      </c>
      <c r="B428" s="17" t="s">
        <v>63</v>
      </c>
      <c r="C428" s="27">
        <v>222.35</v>
      </c>
      <c r="D428" s="27"/>
      <c r="E428" s="27"/>
      <c r="F428" s="17">
        <f>L428*$P428/$O428</f>
        <v>3022.6666666666665</v>
      </c>
      <c r="G428" s="6" t="s">
        <v>2</v>
      </c>
      <c r="H428" s="18">
        <f>M428*$P428/$O428</f>
        <v>1755.6666666666667</v>
      </c>
      <c r="I428" s="18">
        <f>N428*$P428/$O428</f>
        <v>4289.666666666667</v>
      </c>
      <c r="J428" s="6" t="s">
        <v>254</v>
      </c>
      <c r="K428" s="6"/>
      <c r="L428" s="18">
        <v>4534</v>
      </c>
      <c r="M428" s="18">
        <v>2633.5</v>
      </c>
      <c r="N428" s="18">
        <v>6434.5</v>
      </c>
      <c r="O428" s="17">
        <v>3000</v>
      </c>
      <c r="P428" s="17">
        <v>2000</v>
      </c>
      <c r="Q428" s="18" t="s">
        <v>255</v>
      </c>
    </row>
    <row r="429" spans="1:17">
      <c r="A429" s="10" t="s">
        <v>62</v>
      </c>
      <c r="B429" s="17" t="s">
        <v>63</v>
      </c>
      <c r="C429" s="27">
        <v>223.17</v>
      </c>
      <c r="D429" s="27"/>
      <c r="E429" s="27"/>
      <c r="F429" s="17">
        <f>L429*$P429/$O429</f>
        <v>2627.3333333333335</v>
      </c>
      <c r="G429" s="6" t="s">
        <v>2</v>
      </c>
      <c r="H429" s="18">
        <f>M429*$P429/$O429</f>
        <v>1596.2666666666667</v>
      </c>
      <c r="I429" s="18">
        <f>N429*$P429/$O429</f>
        <v>3658.4</v>
      </c>
      <c r="J429" s="6" t="s">
        <v>254</v>
      </c>
      <c r="K429" s="6"/>
      <c r="L429" s="18">
        <v>3941</v>
      </c>
      <c r="M429" s="18">
        <v>2394.4</v>
      </c>
      <c r="N429" s="18">
        <v>5487.6</v>
      </c>
      <c r="O429" s="17">
        <v>3000</v>
      </c>
      <c r="P429" s="17">
        <v>2000</v>
      </c>
      <c r="Q429" s="18" t="s">
        <v>255</v>
      </c>
    </row>
    <row r="430" spans="1:17">
      <c r="A430" s="9" t="s">
        <v>76</v>
      </c>
      <c r="B430" s="23" t="s">
        <v>80</v>
      </c>
      <c r="C430" s="27">
        <f>AVERAGE(D430:E430)</f>
        <v>223.25</v>
      </c>
      <c r="D430" s="28">
        <v>237</v>
      </c>
      <c r="E430" s="28">
        <v>209.5</v>
      </c>
      <c r="F430" s="6">
        <f>L430*$P430/$O430</f>
        <v>3042.0666666666666</v>
      </c>
      <c r="G430" s="6" t="s">
        <v>2</v>
      </c>
      <c r="H430" s="6">
        <f>F430*0.5</f>
        <v>1521.0333333333333</v>
      </c>
      <c r="I430" s="6">
        <f>F430*2</f>
        <v>6084.1333333333332</v>
      </c>
      <c r="J430" s="6" t="s">
        <v>78</v>
      </c>
      <c r="K430" s="6"/>
      <c r="L430" s="18">
        <v>4563.1000000000004</v>
      </c>
      <c r="M430" s="18">
        <v>2707.7000000000003</v>
      </c>
      <c r="N430" s="18">
        <v>6418.5</v>
      </c>
      <c r="O430" s="17">
        <v>3000</v>
      </c>
      <c r="P430" s="17">
        <v>2000</v>
      </c>
      <c r="Q430" s="18" t="s">
        <v>255</v>
      </c>
    </row>
    <row r="431" spans="1:17">
      <c r="A431" s="13" t="s">
        <v>120</v>
      </c>
      <c r="B431" s="24" t="s">
        <v>132</v>
      </c>
      <c r="C431" s="28">
        <f>AVERAGE(D431:E431)</f>
        <v>223.25</v>
      </c>
      <c r="D431" s="28">
        <v>237</v>
      </c>
      <c r="E431" s="28">
        <v>209.5</v>
      </c>
      <c r="F431" s="6">
        <f>L431*$P431/$O431</f>
        <v>2547.4666666666667</v>
      </c>
      <c r="G431" s="6" t="s">
        <v>2</v>
      </c>
      <c r="H431" s="6">
        <f>F431*0.5</f>
        <v>1273.7333333333333</v>
      </c>
      <c r="I431" s="6">
        <f>F431*2</f>
        <v>5094.9333333333334</v>
      </c>
      <c r="J431" s="6" t="s">
        <v>78</v>
      </c>
      <c r="K431" s="6"/>
      <c r="L431" s="18">
        <v>3821.2</v>
      </c>
      <c r="M431" s="18">
        <v>2306</v>
      </c>
      <c r="N431" s="18">
        <v>5336.4</v>
      </c>
      <c r="O431" s="17">
        <v>3000</v>
      </c>
      <c r="P431" s="17">
        <v>2000</v>
      </c>
      <c r="Q431" s="18" t="s">
        <v>255</v>
      </c>
    </row>
    <row r="432" spans="1:17">
      <c r="A432" s="13" t="s">
        <v>120</v>
      </c>
      <c r="B432" s="24" t="s">
        <v>132</v>
      </c>
      <c r="C432" s="28">
        <f>AVERAGE(D432:E432)</f>
        <v>223.25</v>
      </c>
      <c r="D432" s="28">
        <v>237</v>
      </c>
      <c r="E432" s="28">
        <v>209.5</v>
      </c>
      <c r="F432" s="6">
        <f>L432*$P432/$O432</f>
        <v>3302.4</v>
      </c>
      <c r="G432" s="6" t="s">
        <v>2</v>
      </c>
      <c r="H432" s="6">
        <f>F432*0.5</f>
        <v>1651.2</v>
      </c>
      <c r="I432" s="6">
        <f>F432*2</f>
        <v>6604.8</v>
      </c>
      <c r="J432" s="6" t="s">
        <v>78</v>
      </c>
      <c r="K432" s="6"/>
      <c r="L432" s="18">
        <v>4953.6000000000004</v>
      </c>
      <c r="M432" s="18">
        <v>2858.5000000000005</v>
      </c>
      <c r="N432" s="18">
        <v>7048.7000000000007</v>
      </c>
      <c r="O432" s="17">
        <v>3000</v>
      </c>
      <c r="P432" s="17">
        <v>2000</v>
      </c>
      <c r="Q432" s="18" t="s">
        <v>255</v>
      </c>
    </row>
    <row r="433" spans="1:17">
      <c r="A433" s="13" t="s">
        <v>120</v>
      </c>
      <c r="B433" s="24" t="s">
        <v>132</v>
      </c>
      <c r="C433" s="28">
        <f>AVERAGE(D433:E433)</f>
        <v>223.25</v>
      </c>
      <c r="D433" s="28">
        <v>237</v>
      </c>
      <c r="E433" s="28">
        <v>209.5</v>
      </c>
      <c r="F433" s="6">
        <f>L433*$P433/$O433</f>
        <v>3182.6</v>
      </c>
      <c r="G433" s="6" t="s">
        <v>2</v>
      </c>
      <c r="H433" s="6">
        <f>F433*0.5</f>
        <v>1591.3</v>
      </c>
      <c r="I433" s="6">
        <f>F433*2</f>
        <v>6365.2</v>
      </c>
      <c r="J433" s="6" t="s">
        <v>78</v>
      </c>
      <c r="K433" s="6"/>
      <c r="L433" s="18">
        <v>4773.8999999999996</v>
      </c>
      <c r="M433" s="18">
        <v>2811.9999999999995</v>
      </c>
      <c r="N433" s="18">
        <v>6735.7999999999993</v>
      </c>
      <c r="O433" s="17">
        <v>3000</v>
      </c>
      <c r="P433" s="17">
        <v>2000</v>
      </c>
      <c r="Q433" s="18" t="s">
        <v>255</v>
      </c>
    </row>
    <row r="434" spans="1:17">
      <c r="A434" s="11" t="s">
        <v>151</v>
      </c>
      <c r="B434" s="17" t="s">
        <v>132</v>
      </c>
      <c r="C434" s="28">
        <f>AVERAGE(D434:E434)</f>
        <v>223.25</v>
      </c>
      <c r="D434" s="28">
        <v>237</v>
      </c>
      <c r="E434" s="28">
        <v>209.5</v>
      </c>
      <c r="F434" s="6">
        <f>L434*$P434/$O434</f>
        <v>3568.1333333333332</v>
      </c>
      <c r="G434" s="6" t="s">
        <v>2</v>
      </c>
      <c r="H434" s="6">
        <f>F434*0.5</f>
        <v>1784.0666666666666</v>
      </c>
      <c r="I434" s="6">
        <f>F434*2</f>
        <v>7136.2666666666664</v>
      </c>
      <c r="J434" s="6" t="s">
        <v>78</v>
      </c>
      <c r="K434" s="6"/>
      <c r="L434" s="18">
        <v>5352.2</v>
      </c>
      <c r="M434" s="18">
        <v>3082.2</v>
      </c>
      <c r="N434" s="18">
        <v>7622.2</v>
      </c>
      <c r="O434" s="17">
        <v>3000</v>
      </c>
      <c r="P434" s="17">
        <v>2000</v>
      </c>
      <c r="Q434" s="18" t="s">
        <v>255</v>
      </c>
    </row>
    <row r="435" spans="1:17">
      <c r="A435" s="10" t="s">
        <v>62</v>
      </c>
      <c r="B435" s="17" t="s">
        <v>63</v>
      </c>
      <c r="C435" s="27">
        <v>224.33</v>
      </c>
      <c r="D435" s="27"/>
      <c r="E435" s="27"/>
      <c r="F435" s="17">
        <f>L435*$P435/$O435</f>
        <v>3319.7333333333331</v>
      </c>
      <c r="G435" s="6" t="s">
        <v>2</v>
      </c>
      <c r="H435" s="18">
        <f>M435*$P435/$O435</f>
        <v>1935.666666666667</v>
      </c>
      <c r="I435" s="18">
        <f>N435*$P435/$O435</f>
        <v>4703.8</v>
      </c>
      <c r="J435" s="6" t="s">
        <v>254</v>
      </c>
      <c r="K435" s="6"/>
      <c r="L435" s="18">
        <v>4979.6000000000004</v>
      </c>
      <c r="M435" s="18">
        <v>2903.5000000000005</v>
      </c>
      <c r="N435" s="18">
        <v>7055.7000000000007</v>
      </c>
      <c r="O435" s="17">
        <v>3000</v>
      </c>
      <c r="P435" s="17">
        <v>2000</v>
      </c>
      <c r="Q435" s="18" t="s">
        <v>255</v>
      </c>
    </row>
    <row r="436" spans="1:17">
      <c r="A436" s="10" t="s">
        <v>62</v>
      </c>
      <c r="B436" s="17" t="s">
        <v>63</v>
      </c>
      <c r="C436" s="27">
        <v>225.79</v>
      </c>
      <c r="D436" s="27"/>
      <c r="E436" s="27"/>
      <c r="F436" s="17">
        <f>L436*$P436/$O436</f>
        <v>2445.6</v>
      </c>
      <c r="G436" s="6" t="s">
        <v>2</v>
      </c>
      <c r="H436" s="18">
        <f>M436*$P436/$O436</f>
        <v>1504.5333333333333</v>
      </c>
      <c r="I436" s="18">
        <f>N436*$P436/$O436</f>
        <v>3386.6666666666665</v>
      </c>
      <c r="J436" s="6" t="s">
        <v>254</v>
      </c>
      <c r="K436" s="6"/>
      <c r="L436" s="18">
        <v>3668.4</v>
      </c>
      <c r="M436" s="18">
        <v>2256.8000000000002</v>
      </c>
      <c r="N436" s="18">
        <v>5080</v>
      </c>
      <c r="O436" s="17">
        <v>3000</v>
      </c>
      <c r="P436" s="17">
        <v>2000</v>
      </c>
      <c r="Q436" s="18" t="s">
        <v>255</v>
      </c>
    </row>
    <row r="437" spans="1:17">
      <c r="A437" s="10" t="s">
        <v>62</v>
      </c>
      <c r="B437" s="17" t="s">
        <v>63</v>
      </c>
      <c r="C437" s="27">
        <v>226.17</v>
      </c>
      <c r="D437" s="27"/>
      <c r="E437" s="27"/>
      <c r="F437" s="17">
        <f>L437*$P437/$O437</f>
        <v>2516.4</v>
      </c>
      <c r="G437" s="6" t="s">
        <v>2</v>
      </c>
      <c r="H437" s="18">
        <f>M437*$P437/$O437</f>
        <v>1541</v>
      </c>
      <c r="I437" s="18">
        <f>N437*$P437/$O437</f>
        <v>3491.8</v>
      </c>
      <c r="J437" s="6" t="s">
        <v>254</v>
      </c>
      <c r="K437" s="6"/>
      <c r="L437" s="18">
        <v>3774.6</v>
      </c>
      <c r="M437" s="18">
        <v>2311.5</v>
      </c>
      <c r="N437" s="18">
        <v>5237.7</v>
      </c>
      <c r="O437" s="17">
        <v>3000</v>
      </c>
      <c r="P437" s="17">
        <v>2000</v>
      </c>
      <c r="Q437" s="18" t="s">
        <v>255</v>
      </c>
    </row>
    <row r="438" spans="1:17">
      <c r="A438" s="10" t="s">
        <v>62</v>
      </c>
      <c r="B438" s="17" t="s">
        <v>63</v>
      </c>
      <c r="C438" s="27">
        <v>226.58</v>
      </c>
      <c r="D438" s="27"/>
      <c r="E438" s="27"/>
      <c r="F438" s="17">
        <f>L438*$P438/$O438</f>
        <v>3230.8666666666668</v>
      </c>
      <c r="G438" s="6" t="s">
        <v>2</v>
      </c>
      <c r="H438" s="18">
        <f>M438*$P438/$O438</f>
        <v>1899.7333333333336</v>
      </c>
      <c r="I438" s="18">
        <f>N438*$P438/$O438</f>
        <v>4562</v>
      </c>
      <c r="J438" s="6" t="s">
        <v>254</v>
      </c>
      <c r="K438" s="6"/>
      <c r="L438" s="18">
        <v>4846.3</v>
      </c>
      <c r="M438" s="18">
        <v>2849.6000000000004</v>
      </c>
      <c r="N438" s="18">
        <v>6843</v>
      </c>
      <c r="O438" s="17">
        <v>3000</v>
      </c>
      <c r="P438" s="17">
        <v>2000</v>
      </c>
      <c r="Q438" s="18" t="s">
        <v>255</v>
      </c>
    </row>
    <row r="439" spans="1:17">
      <c r="A439" s="10" t="s">
        <v>62</v>
      </c>
      <c r="B439" s="17" t="s">
        <v>63</v>
      </c>
      <c r="C439" s="27">
        <v>227.09</v>
      </c>
      <c r="D439" s="27"/>
      <c r="E439" s="27"/>
      <c r="F439" s="17">
        <f>L439*$P439/$O439</f>
        <v>2142.8000000000002</v>
      </c>
      <c r="G439" s="6" t="s">
        <v>2</v>
      </c>
      <c r="H439" s="18">
        <f>M439*$P439/$O439</f>
        <v>1335.4666666666665</v>
      </c>
      <c r="I439" s="18">
        <f>N439*$P439/$O439</f>
        <v>2950.1333333333332</v>
      </c>
      <c r="J439" s="6" t="s">
        <v>254</v>
      </c>
      <c r="K439" s="6"/>
      <c r="L439" s="18">
        <v>3214.2</v>
      </c>
      <c r="M439" s="18">
        <v>2003.1999999999998</v>
      </c>
      <c r="N439" s="18">
        <v>4425.2</v>
      </c>
      <c r="O439" s="17">
        <v>3000</v>
      </c>
      <c r="P439" s="17">
        <v>2000</v>
      </c>
      <c r="Q439" s="18" t="s">
        <v>255</v>
      </c>
    </row>
    <row r="440" spans="1:17">
      <c r="A440" s="10" t="s">
        <v>62</v>
      </c>
      <c r="B440" s="17" t="s">
        <v>63</v>
      </c>
      <c r="C440" s="27">
        <v>229.25</v>
      </c>
      <c r="D440" s="27"/>
      <c r="E440" s="27"/>
      <c r="F440" s="17">
        <f>L440*$P440/$O440</f>
        <v>2884.2</v>
      </c>
      <c r="G440" s="6" t="s">
        <v>2</v>
      </c>
      <c r="H440" s="18">
        <f>M440*$P440/$O440</f>
        <v>1723.8000000000004</v>
      </c>
      <c r="I440" s="18">
        <f>N440*$P440/$O440</f>
        <v>4044.6</v>
      </c>
      <c r="J440" s="6" t="s">
        <v>254</v>
      </c>
      <c r="K440" s="6"/>
      <c r="L440" s="18">
        <v>4326.3</v>
      </c>
      <c r="M440" s="18">
        <v>2585.7000000000003</v>
      </c>
      <c r="N440" s="18">
        <v>6066.9</v>
      </c>
      <c r="O440" s="17">
        <v>3000</v>
      </c>
      <c r="P440" s="17">
        <v>2000</v>
      </c>
      <c r="Q440" s="18" t="s">
        <v>255</v>
      </c>
    </row>
    <row r="441" spans="1:17" ht="16">
      <c r="A441" s="10" t="s">
        <v>62</v>
      </c>
      <c r="B441" s="17" t="s">
        <v>63</v>
      </c>
      <c r="C441" s="27">
        <v>229.72</v>
      </c>
      <c r="D441" s="27"/>
      <c r="E441" s="27"/>
      <c r="F441" s="17">
        <f>L441*$P441/$O441</f>
        <v>746</v>
      </c>
      <c r="G441" s="6" t="s">
        <v>2</v>
      </c>
      <c r="H441" s="18">
        <f>M441*$P441/$O441</f>
        <v>560</v>
      </c>
      <c r="I441" s="18">
        <f>N441*$P441/$O441</f>
        <v>1119</v>
      </c>
      <c r="J441" s="6" t="s">
        <v>254</v>
      </c>
      <c r="K441" s="6"/>
      <c r="L441" s="17">
        <v>746</v>
      </c>
      <c r="M441" s="17">
        <v>560</v>
      </c>
      <c r="N441" s="17">
        <v>1119</v>
      </c>
      <c r="O441" s="17">
        <v>2000</v>
      </c>
      <c r="P441" s="17">
        <v>2000</v>
      </c>
      <c r="Q441" s="17" t="s">
        <v>257</v>
      </c>
    </row>
    <row r="442" spans="1:17" ht="16">
      <c r="A442" s="10" t="s">
        <v>62</v>
      </c>
      <c r="B442" s="17" t="s">
        <v>63</v>
      </c>
      <c r="C442" s="27">
        <v>231.02</v>
      </c>
      <c r="D442" s="27"/>
      <c r="E442" s="27"/>
      <c r="F442" s="17">
        <f>L442*$P442/$O442</f>
        <v>886</v>
      </c>
      <c r="G442" s="6" t="s">
        <v>2</v>
      </c>
      <c r="H442" s="18">
        <f>M442*$P442/$O442</f>
        <v>664</v>
      </c>
      <c r="I442" s="18">
        <f>N442*$P442/$O442</f>
        <v>1328</v>
      </c>
      <c r="J442" s="6" t="s">
        <v>254</v>
      </c>
      <c r="K442" s="6"/>
      <c r="L442" s="17">
        <v>886</v>
      </c>
      <c r="M442" s="17">
        <v>664</v>
      </c>
      <c r="N442" s="17">
        <v>1328</v>
      </c>
      <c r="O442" s="17">
        <v>2000</v>
      </c>
      <c r="P442" s="17">
        <v>2000</v>
      </c>
      <c r="Q442" s="17" t="s">
        <v>257</v>
      </c>
    </row>
    <row r="443" spans="1:17" ht="16">
      <c r="A443" s="10" t="s">
        <v>62</v>
      </c>
      <c r="B443" s="17" t="s">
        <v>63</v>
      </c>
      <c r="C443" s="27">
        <v>231.42</v>
      </c>
      <c r="D443" s="27"/>
      <c r="E443" s="27"/>
      <c r="F443" s="17">
        <f>L443*$P443/$O443</f>
        <v>996</v>
      </c>
      <c r="G443" s="6" t="s">
        <v>2</v>
      </c>
      <c r="H443" s="18">
        <f>M443*$P443/$O443</f>
        <v>747</v>
      </c>
      <c r="I443" s="18">
        <f>N443*$P443/$O443</f>
        <v>1494</v>
      </c>
      <c r="J443" s="6" t="s">
        <v>254</v>
      </c>
      <c r="K443" s="6"/>
      <c r="L443" s="17">
        <v>996</v>
      </c>
      <c r="M443" s="17">
        <v>747</v>
      </c>
      <c r="N443" s="17">
        <v>1494</v>
      </c>
      <c r="O443" s="17">
        <v>2000</v>
      </c>
      <c r="P443" s="17">
        <v>2000</v>
      </c>
      <c r="Q443" s="17" t="s">
        <v>257</v>
      </c>
    </row>
    <row r="444" spans="1:17" ht="16">
      <c r="A444" s="10" t="s">
        <v>62</v>
      </c>
      <c r="B444" s="17" t="s">
        <v>63</v>
      </c>
      <c r="C444" s="27">
        <v>232.03</v>
      </c>
      <c r="D444" s="27"/>
      <c r="E444" s="27"/>
      <c r="F444" s="17">
        <f>L444*$P444/$O444</f>
        <v>1335</v>
      </c>
      <c r="G444" s="6" t="s">
        <v>2</v>
      </c>
      <c r="H444" s="18">
        <f>M444*$P444/$O444</f>
        <v>1001</v>
      </c>
      <c r="I444" s="18">
        <f>N444*$P444/$O444</f>
        <v>2002</v>
      </c>
      <c r="J444" s="6" t="s">
        <v>254</v>
      </c>
      <c r="K444" s="6"/>
      <c r="L444" s="17">
        <v>1335</v>
      </c>
      <c r="M444" s="17">
        <v>1001</v>
      </c>
      <c r="N444" s="17">
        <v>2002</v>
      </c>
      <c r="O444" s="17">
        <v>2000</v>
      </c>
      <c r="P444" s="17">
        <v>2000</v>
      </c>
      <c r="Q444" s="17" t="s">
        <v>257</v>
      </c>
    </row>
    <row r="445" spans="1:17" ht="16">
      <c r="A445" s="10" t="s">
        <v>62</v>
      </c>
      <c r="B445" s="17" t="s">
        <v>63</v>
      </c>
      <c r="C445" s="27">
        <v>232.19</v>
      </c>
      <c r="D445" s="27"/>
      <c r="E445" s="27"/>
      <c r="F445" s="17">
        <f>L445*$P445/$O445</f>
        <v>986</v>
      </c>
      <c r="G445" s="6" t="s">
        <v>2</v>
      </c>
      <c r="H445" s="18">
        <f>M445*$P445/$O445</f>
        <v>739</v>
      </c>
      <c r="I445" s="18">
        <f>N445*$P445/$O445</f>
        <v>1479</v>
      </c>
      <c r="J445" s="6" t="s">
        <v>254</v>
      </c>
      <c r="K445" s="6"/>
      <c r="L445" s="17">
        <v>986</v>
      </c>
      <c r="M445" s="17">
        <v>739</v>
      </c>
      <c r="N445" s="17">
        <v>1479</v>
      </c>
      <c r="O445" s="17">
        <v>2000</v>
      </c>
      <c r="P445" s="17">
        <v>2000</v>
      </c>
      <c r="Q445" s="17" t="s">
        <v>257</v>
      </c>
    </row>
    <row r="446" spans="1:17" ht="16">
      <c r="A446" s="11" t="s">
        <v>6</v>
      </c>
      <c r="B446" s="17" t="s">
        <v>9</v>
      </c>
      <c r="C446" s="28">
        <f>AVERAGE(D446:E446)</f>
        <v>232.7</v>
      </c>
      <c r="D446" s="28">
        <v>237</v>
      </c>
      <c r="E446" s="28">
        <v>228.4</v>
      </c>
      <c r="F446" s="6">
        <f>L446*$P446/$O446</f>
        <v>1071</v>
      </c>
      <c r="G446" s="6" t="s">
        <v>2</v>
      </c>
      <c r="H446" s="6">
        <f>F446*0.5</f>
        <v>535.5</v>
      </c>
      <c r="I446" s="6">
        <f>F446*2</f>
        <v>2142</v>
      </c>
      <c r="J446" s="6" t="s">
        <v>78</v>
      </c>
      <c r="K446" s="6"/>
      <c r="L446" s="17">
        <v>1071</v>
      </c>
      <c r="M446" s="17">
        <v>803</v>
      </c>
      <c r="N446" s="17">
        <v>1606</v>
      </c>
      <c r="O446" s="17">
        <v>2000</v>
      </c>
      <c r="P446" s="17">
        <v>2000</v>
      </c>
      <c r="Q446" s="17" t="s">
        <v>257</v>
      </c>
    </row>
    <row r="447" spans="1:17" ht="16">
      <c r="A447" s="11" t="s">
        <v>12</v>
      </c>
      <c r="B447" s="17" t="s">
        <v>14</v>
      </c>
      <c r="C447" s="28">
        <f>AVERAGE(D447:E447)</f>
        <v>232.7</v>
      </c>
      <c r="D447" s="28">
        <v>237</v>
      </c>
      <c r="E447" s="28">
        <v>228.4</v>
      </c>
      <c r="F447" s="6">
        <f>L447*$P447/$O447</f>
        <v>1190</v>
      </c>
      <c r="G447" s="6" t="s">
        <v>2</v>
      </c>
      <c r="H447" s="6">
        <f>F447*0.5</f>
        <v>595</v>
      </c>
      <c r="I447" s="6">
        <f>F447*2</f>
        <v>2380</v>
      </c>
      <c r="J447" s="6" t="s">
        <v>78</v>
      </c>
      <c r="K447" s="6"/>
      <c r="L447" s="17">
        <v>1190</v>
      </c>
      <c r="M447" s="17">
        <v>892</v>
      </c>
      <c r="N447" s="17">
        <v>1785</v>
      </c>
      <c r="O447" s="17">
        <v>2000</v>
      </c>
      <c r="P447" s="17">
        <v>2000</v>
      </c>
      <c r="Q447" s="17" t="s">
        <v>257</v>
      </c>
    </row>
    <row r="448" spans="1:17" ht="16">
      <c r="A448" s="13" t="s">
        <v>83</v>
      </c>
      <c r="B448" s="24" t="s">
        <v>84</v>
      </c>
      <c r="C448" s="27">
        <f>AVERAGE(D448:E448)</f>
        <v>242.05</v>
      </c>
      <c r="D448" s="28">
        <v>247.1</v>
      </c>
      <c r="E448" s="28">
        <v>237</v>
      </c>
      <c r="F448" s="6">
        <f>L448*$P448/$O448</f>
        <v>1179</v>
      </c>
      <c r="G448" s="6" t="s">
        <v>2</v>
      </c>
      <c r="H448" s="6">
        <f>F448*0.5</f>
        <v>589.5</v>
      </c>
      <c r="I448" s="6">
        <f>F448*2</f>
        <v>2358</v>
      </c>
      <c r="J448" s="6" t="s">
        <v>78</v>
      </c>
      <c r="K448" s="6"/>
      <c r="L448" s="17">
        <v>1179</v>
      </c>
      <c r="M448" s="17">
        <v>884</v>
      </c>
      <c r="N448" s="17">
        <v>1768</v>
      </c>
      <c r="O448" s="17">
        <v>2000</v>
      </c>
      <c r="P448" s="17">
        <v>2000</v>
      </c>
      <c r="Q448" s="17" t="s">
        <v>257</v>
      </c>
    </row>
    <row r="449" spans="1:17">
      <c r="A449" s="13" t="s">
        <v>120</v>
      </c>
      <c r="B449" s="24" t="s">
        <v>84</v>
      </c>
      <c r="C449" s="28">
        <f>AVERAGE(D449:E449)</f>
        <v>242.05</v>
      </c>
      <c r="D449" s="28">
        <v>247.1</v>
      </c>
      <c r="E449" s="28">
        <v>237</v>
      </c>
      <c r="F449" s="6">
        <f>L449*$P449/$O449</f>
        <v>244.16674592693226</v>
      </c>
      <c r="G449" s="6" t="s">
        <v>2</v>
      </c>
      <c r="H449" s="6">
        <f>F449*0.5</f>
        <v>122.08337296346613</v>
      </c>
      <c r="I449" s="6">
        <f>F449*2</f>
        <v>488.33349185386453</v>
      </c>
      <c r="J449" s="6" t="s">
        <v>78</v>
      </c>
      <c r="K449" s="6"/>
      <c r="L449" s="18">
        <v>244.16674592693224</v>
      </c>
      <c r="M449" s="18">
        <v>153.01627154479019</v>
      </c>
      <c r="N449" s="18">
        <v>403.085949790835</v>
      </c>
      <c r="O449" s="17">
        <v>1274</v>
      </c>
      <c r="P449" s="17">
        <f>O449</f>
        <v>1274</v>
      </c>
      <c r="Q449" s="4" t="s">
        <v>259</v>
      </c>
    </row>
    <row r="450" spans="1:17">
      <c r="A450" s="11" t="s">
        <v>6</v>
      </c>
      <c r="B450" s="17" t="s">
        <v>10</v>
      </c>
      <c r="C450" s="28">
        <f>AVERAGE(D450:E450)</f>
        <v>242.05</v>
      </c>
      <c r="D450" s="28">
        <v>247.1</v>
      </c>
      <c r="E450" s="28">
        <v>237</v>
      </c>
      <c r="F450" s="6">
        <f>L450*$P450/$O450</f>
        <v>213.8477804052792</v>
      </c>
      <c r="G450" s="6" t="s">
        <v>2</v>
      </c>
      <c r="H450" s="6">
        <f>F450*0.5</f>
        <v>106.9238902026396</v>
      </c>
      <c r="I450" s="6">
        <f>F450*2</f>
        <v>427.69556081055839</v>
      </c>
      <c r="J450" s="6" t="s">
        <v>78</v>
      </c>
      <c r="K450" s="6"/>
      <c r="L450" s="18">
        <v>213.84778040527922</v>
      </c>
      <c r="M450" s="18">
        <v>134.01575186465848</v>
      </c>
      <c r="N450" s="18">
        <v>353.03347860940596</v>
      </c>
      <c r="O450" s="17">
        <v>1274</v>
      </c>
      <c r="P450" s="17">
        <f>O450</f>
        <v>1274</v>
      </c>
      <c r="Q450" s="4" t="s">
        <v>260</v>
      </c>
    </row>
    <row r="451" spans="1:17">
      <c r="A451" s="11" t="s">
        <v>12</v>
      </c>
      <c r="B451" s="17" t="s">
        <v>15</v>
      </c>
      <c r="C451" s="28">
        <f>AVERAGE(D451:E451)</f>
        <v>246.05</v>
      </c>
      <c r="D451" s="28">
        <v>247.1</v>
      </c>
      <c r="E451" s="28">
        <v>245</v>
      </c>
      <c r="F451" s="6">
        <f>L451*$P451/$O451</f>
        <v>334.66648312201056</v>
      </c>
      <c r="G451" s="6" t="s">
        <v>2</v>
      </c>
      <c r="H451" s="6">
        <f>F451*0.5</f>
        <v>167.33324156100528</v>
      </c>
      <c r="I451" s="6">
        <f>F451*2</f>
        <v>669.33296624402112</v>
      </c>
      <c r="J451" s="6" t="s">
        <v>78</v>
      </c>
      <c r="K451" s="6"/>
      <c r="L451" s="18">
        <v>334.66648312201056</v>
      </c>
      <c r="M451" s="18">
        <v>209.73133447771841</v>
      </c>
      <c r="N451" s="18">
        <v>552.48865565322808</v>
      </c>
      <c r="O451" s="17">
        <v>1274</v>
      </c>
      <c r="P451" s="17">
        <f t="shared" ref="P451:P512" si="6">O451</f>
        <v>1274</v>
      </c>
      <c r="Q451" s="4" t="s">
        <v>261</v>
      </c>
    </row>
    <row r="452" spans="1:17">
      <c r="A452" s="11" t="s">
        <v>12</v>
      </c>
      <c r="B452" s="17" t="s">
        <v>15</v>
      </c>
      <c r="C452" s="28">
        <f>AVERAGE(D452:E452)</f>
        <v>246.05</v>
      </c>
      <c r="D452" s="28">
        <v>247.1</v>
      </c>
      <c r="E452" s="28">
        <v>245</v>
      </c>
      <c r="F452" s="6">
        <f>L452*$P452/$O452</f>
        <v>216.52804913287139</v>
      </c>
      <c r="G452" s="6" t="s">
        <v>2</v>
      </c>
      <c r="H452" s="6">
        <f>F452*0.5</f>
        <v>108.26402456643569</v>
      </c>
      <c r="I452" s="6">
        <f>F452*2</f>
        <v>433.05609826574278</v>
      </c>
      <c r="J452" s="6" t="s">
        <v>78</v>
      </c>
      <c r="K452" s="6"/>
      <c r="L452" s="18">
        <v>216.52804913287139</v>
      </c>
      <c r="M452" s="18">
        <v>135.69544303585911</v>
      </c>
      <c r="N452" s="18">
        <v>357.45823621370101</v>
      </c>
      <c r="O452" s="17">
        <v>1274</v>
      </c>
      <c r="P452" s="17">
        <f t="shared" si="6"/>
        <v>1274</v>
      </c>
      <c r="Q452" s="4" t="s">
        <v>262</v>
      </c>
    </row>
    <row r="453" spans="1:17">
      <c r="A453" s="10" t="s">
        <v>54</v>
      </c>
      <c r="B453" s="17" t="s">
        <v>55</v>
      </c>
      <c r="C453" s="27">
        <f>AVERAGE(D453:E453)</f>
        <v>253.2</v>
      </c>
      <c r="D453" s="27">
        <v>254.2</v>
      </c>
      <c r="E453" s="27">
        <v>252.2</v>
      </c>
      <c r="F453" s="18">
        <f>L453*$P453/$O453</f>
        <v>193.48789252215906</v>
      </c>
      <c r="G453" s="6" t="s">
        <v>2</v>
      </c>
      <c r="H453" s="6">
        <f>F453*0.5</f>
        <v>96.743946261079529</v>
      </c>
      <c r="I453" s="6">
        <f>F453*2</f>
        <v>386.97578504431812</v>
      </c>
      <c r="J453" s="6" t="s">
        <v>194</v>
      </c>
      <c r="K453" s="6"/>
      <c r="L453" s="18">
        <v>193.48789252215906</v>
      </c>
      <c r="M453" s="18">
        <v>121.25646262927144</v>
      </c>
      <c r="N453" s="18">
        <v>319.42208442119693</v>
      </c>
      <c r="O453" s="17">
        <v>1274</v>
      </c>
      <c r="P453" s="17">
        <f t="shared" si="6"/>
        <v>1274</v>
      </c>
      <c r="Q453" s="4" t="s">
        <v>263</v>
      </c>
    </row>
    <row r="454" spans="1:17">
      <c r="A454" s="10" t="s">
        <v>54</v>
      </c>
      <c r="B454" s="17" t="s">
        <v>56</v>
      </c>
      <c r="C454" s="27">
        <f>AVERAGE(D454:E454)</f>
        <v>253.2</v>
      </c>
      <c r="D454" s="27">
        <v>254.2</v>
      </c>
      <c r="E454" s="27">
        <v>252.2</v>
      </c>
      <c r="F454" s="18">
        <f>L454*$P454/$O454</f>
        <v>140.87468108539386</v>
      </c>
      <c r="G454" s="6" t="s">
        <v>2</v>
      </c>
      <c r="H454" s="6">
        <f>F454*0.5</f>
        <v>70.43734054269693</v>
      </c>
      <c r="I454" s="6">
        <f>F454*2</f>
        <v>281.74936217078772</v>
      </c>
      <c r="J454" s="6" t="s">
        <v>194</v>
      </c>
      <c r="K454" s="6"/>
      <c r="L454" s="18">
        <v>140.87468108539386</v>
      </c>
      <c r="M454" s="18">
        <v>88.284415524786851</v>
      </c>
      <c r="N454" s="18">
        <v>232.5648581309265</v>
      </c>
      <c r="O454" s="17">
        <v>1274</v>
      </c>
      <c r="P454" s="17">
        <f t="shared" si="6"/>
        <v>1274</v>
      </c>
      <c r="Q454" s="4" t="s">
        <v>264</v>
      </c>
    </row>
    <row r="455" spans="1:17">
      <c r="A455" s="10" t="s">
        <v>54</v>
      </c>
      <c r="B455" s="17" t="s">
        <v>57</v>
      </c>
      <c r="C455" s="27">
        <f>AVERAGE(D455:E455)</f>
        <v>253.2</v>
      </c>
      <c r="D455" s="27">
        <v>254.2</v>
      </c>
      <c r="E455" s="27">
        <v>252.2</v>
      </c>
      <c r="F455" s="18">
        <f>L455*$P455/$O455</f>
        <v>156.51279938937066</v>
      </c>
      <c r="G455" s="6" t="s">
        <v>2</v>
      </c>
      <c r="H455" s="6">
        <f>F455*0.5</f>
        <v>78.256399694685328</v>
      </c>
      <c r="I455" s="6">
        <f>F455*2</f>
        <v>313.02559877874131</v>
      </c>
      <c r="J455" s="6" t="s">
        <v>194</v>
      </c>
      <c r="K455" s="6"/>
      <c r="L455" s="18">
        <v>156.51279938937066</v>
      </c>
      <c r="M455" s="18">
        <v>98.084630323762582</v>
      </c>
      <c r="N455" s="18">
        <v>258.38125563243671</v>
      </c>
      <c r="O455" s="17">
        <v>1274</v>
      </c>
      <c r="P455" s="17">
        <f t="shared" si="6"/>
        <v>1274</v>
      </c>
      <c r="Q455" s="4" t="s">
        <v>265</v>
      </c>
    </row>
    <row r="456" spans="1:17">
      <c r="A456" s="13" t="s">
        <v>120</v>
      </c>
      <c r="B456" s="24" t="s">
        <v>133</v>
      </c>
      <c r="C456" s="28">
        <f>AVERAGE(D456:E456)</f>
        <v>259.39999999999998</v>
      </c>
      <c r="D456" s="28">
        <v>259.8</v>
      </c>
      <c r="E456" s="28">
        <v>259</v>
      </c>
      <c r="F456" s="6">
        <f>L456*$P456/$O456</f>
        <v>196.35058035174205</v>
      </c>
      <c r="G456" s="6" t="s">
        <v>2</v>
      </c>
      <c r="H456" s="6">
        <f>F456*0.5</f>
        <v>98.175290175871027</v>
      </c>
      <c r="I456" s="6">
        <f>F456*2</f>
        <v>392.70116070348411</v>
      </c>
      <c r="J456" s="6" t="s">
        <v>78</v>
      </c>
      <c r="K456" s="6"/>
      <c r="L456" s="18">
        <v>196.35058035174205</v>
      </c>
      <c r="M456" s="18">
        <v>123.0504735893492</v>
      </c>
      <c r="N456" s="18">
        <v>324.14799104849601</v>
      </c>
      <c r="O456" s="17">
        <v>1274</v>
      </c>
      <c r="P456" s="17">
        <f t="shared" si="6"/>
        <v>1274</v>
      </c>
      <c r="Q456" s="4" t="s">
        <v>266</v>
      </c>
    </row>
    <row r="457" spans="1:17">
      <c r="A457" s="11" t="s">
        <v>3</v>
      </c>
      <c r="B457" s="17" t="s">
        <v>5</v>
      </c>
      <c r="C457" s="28">
        <f>AVERAGE(D457:E457)</f>
        <v>273.64999999999998</v>
      </c>
      <c r="D457" s="16">
        <v>275</v>
      </c>
      <c r="E457" s="16">
        <v>272.3</v>
      </c>
      <c r="F457" s="6">
        <f>L457*$P457/$O457</f>
        <v>194.38768809249743</v>
      </c>
      <c r="G457" s="6" t="s">
        <v>2</v>
      </c>
      <c r="H457" s="6">
        <f>F457*0.5</f>
        <v>97.193844046248714</v>
      </c>
      <c r="I457" s="6">
        <f>F457*2</f>
        <v>388.77537618499485</v>
      </c>
      <c r="J457" s="6" t="s">
        <v>78</v>
      </c>
      <c r="K457" s="6"/>
      <c r="L457" s="18">
        <v>194.38768809249743</v>
      </c>
      <c r="M457" s="18">
        <v>121.82035335404234</v>
      </c>
      <c r="N457" s="18">
        <v>320.90752401580892</v>
      </c>
      <c r="O457" s="17">
        <v>1274</v>
      </c>
      <c r="P457" s="17">
        <f t="shared" si="6"/>
        <v>1274</v>
      </c>
      <c r="Q457" s="4" t="s">
        <v>267</v>
      </c>
    </row>
    <row r="458" spans="1:17">
      <c r="A458" s="11" t="s">
        <v>18</v>
      </c>
      <c r="B458" s="17" t="s">
        <v>19</v>
      </c>
      <c r="C458" s="5">
        <v>277.61999999999995</v>
      </c>
      <c r="D458" s="5"/>
      <c r="E458" s="5"/>
      <c r="F458" s="6">
        <f>L458*$P458/$O458</f>
        <v>191.73135626440992</v>
      </c>
      <c r="G458" s="6" t="s">
        <v>2</v>
      </c>
      <c r="H458" s="6">
        <f>M458*$P458/$O458</f>
        <v>120.15566314089867</v>
      </c>
      <c r="I458" s="6">
        <f>N458*$P458/$O458</f>
        <v>316.5222829633492</v>
      </c>
      <c r="J458" s="6" t="s">
        <v>166</v>
      </c>
      <c r="K458" s="6"/>
      <c r="L458" s="18">
        <v>191.73135626440992</v>
      </c>
      <c r="M458" s="18">
        <v>120.15566314089867</v>
      </c>
      <c r="N458" s="18">
        <v>316.5222829633492</v>
      </c>
      <c r="O458" s="17">
        <v>1274</v>
      </c>
      <c r="P458" s="17">
        <f t="shared" si="6"/>
        <v>1274</v>
      </c>
      <c r="Q458" s="4" t="s">
        <v>268</v>
      </c>
    </row>
    <row r="459" spans="1:17">
      <c r="A459" s="11" t="s">
        <v>6</v>
      </c>
      <c r="B459" s="17" t="s">
        <v>11</v>
      </c>
      <c r="C459" s="28">
        <f>AVERAGE(D459:E459)</f>
        <v>279.35000000000002</v>
      </c>
      <c r="D459" s="28">
        <v>298.89999999999998</v>
      </c>
      <c r="E459" s="28">
        <v>259.8</v>
      </c>
      <c r="F459" s="6">
        <f>L459*$P459/$O459</f>
        <v>191.66018607436405</v>
      </c>
      <c r="G459" s="6" t="s">
        <v>2</v>
      </c>
      <c r="H459" s="6">
        <f>F459*0.5</f>
        <v>95.830093037182024</v>
      </c>
      <c r="I459" s="6">
        <f>F459*2</f>
        <v>383.3203721487281</v>
      </c>
      <c r="J459" s="6" t="s">
        <v>78</v>
      </c>
      <c r="K459" s="6"/>
      <c r="L459" s="18">
        <v>191.66018607436405</v>
      </c>
      <c r="M459" s="18">
        <v>120.11106166544133</v>
      </c>
      <c r="N459" s="18">
        <v>316.40479069984491</v>
      </c>
      <c r="O459" s="17">
        <v>1274</v>
      </c>
      <c r="P459" s="17">
        <f t="shared" si="6"/>
        <v>1274</v>
      </c>
      <c r="Q459" s="4" t="s">
        <v>269</v>
      </c>
    </row>
    <row r="460" spans="1:17">
      <c r="A460" s="11" t="s">
        <v>3</v>
      </c>
      <c r="B460" s="17" t="s">
        <v>4</v>
      </c>
      <c r="C460" s="28">
        <f>AVERAGE(D460:E460)</f>
        <v>280.64999999999998</v>
      </c>
      <c r="D460" s="16">
        <v>282</v>
      </c>
      <c r="E460" s="16">
        <v>279.3</v>
      </c>
      <c r="F460" s="6">
        <f>L460*$P460/$O460</f>
        <v>193.67777448355315</v>
      </c>
      <c r="G460" s="6" t="s">
        <v>2</v>
      </c>
      <c r="H460" s="6">
        <f>F460*0.5</f>
        <v>96.838887241776575</v>
      </c>
      <c r="I460" s="6">
        <f>F460*2</f>
        <v>387.3555489671063</v>
      </c>
      <c r="J460" s="6" t="s">
        <v>78</v>
      </c>
      <c r="K460" s="6"/>
      <c r="L460" s="18">
        <v>193.67777448355315</v>
      </c>
      <c r="M460" s="18">
        <v>121.37545929958307</v>
      </c>
      <c r="N460" s="18">
        <v>319.73555360581548</v>
      </c>
      <c r="O460" s="17">
        <v>1274</v>
      </c>
      <c r="P460" s="17">
        <f t="shared" si="6"/>
        <v>1274</v>
      </c>
      <c r="Q460" s="4" t="s">
        <v>270</v>
      </c>
    </row>
    <row r="461" spans="1:17">
      <c r="A461" s="11" t="s">
        <v>18</v>
      </c>
      <c r="B461" s="17" t="s">
        <v>19</v>
      </c>
      <c r="C461" s="5">
        <v>281.14883000000009</v>
      </c>
      <c r="D461" s="5"/>
      <c r="E461" s="5"/>
      <c r="F461" s="6">
        <f>L461*$P461/$O461</f>
        <v>238.94508865300099</v>
      </c>
      <c r="G461" s="6" t="s">
        <v>2</v>
      </c>
      <c r="H461" s="6">
        <f>M461*$P461/$O461</f>
        <v>149.74392368960437</v>
      </c>
      <c r="I461" s="6">
        <f>N461*$P461/$O461</f>
        <v>394.46570679355699</v>
      </c>
      <c r="J461" s="6" t="s">
        <v>166</v>
      </c>
      <c r="K461" s="6"/>
      <c r="L461" s="18">
        <v>238.94508865300099</v>
      </c>
      <c r="M461" s="18">
        <v>149.74392368960437</v>
      </c>
      <c r="N461" s="18">
        <v>394.46570679355699</v>
      </c>
      <c r="O461" s="17">
        <v>1274</v>
      </c>
      <c r="P461" s="17">
        <f t="shared" si="6"/>
        <v>1274</v>
      </c>
      <c r="Q461" s="4" t="s">
        <v>271</v>
      </c>
    </row>
    <row r="462" spans="1:17">
      <c r="A462" s="11" t="s">
        <v>18</v>
      </c>
      <c r="B462" s="17" t="s">
        <v>19</v>
      </c>
      <c r="C462" s="5">
        <v>282.37613000000005</v>
      </c>
      <c r="D462" s="5"/>
      <c r="E462" s="5"/>
      <c r="F462" s="6">
        <f>L462*$P462/$O462</f>
        <v>210.08658554476784</v>
      </c>
      <c r="G462" s="6" t="s">
        <v>2</v>
      </c>
      <c r="H462" s="6">
        <f>M462*$P462/$O462</f>
        <v>131.65865769147774</v>
      </c>
      <c r="I462" s="6">
        <f>N462*$P462/$O462</f>
        <v>346.82425959007514</v>
      </c>
      <c r="J462" s="6" t="s">
        <v>166</v>
      </c>
      <c r="K462" s="6"/>
      <c r="L462" s="18">
        <v>210.08658554476784</v>
      </c>
      <c r="M462" s="18">
        <v>131.65865769147774</v>
      </c>
      <c r="N462" s="18">
        <v>346.82425959007514</v>
      </c>
      <c r="O462" s="17">
        <v>1274</v>
      </c>
      <c r="P462" s="17">
        <f t="shared" si="6"/>
        <v>1274</v>
      </c>
      <c r="Q462" s="4" t="s">
        <v>272</v>
      </c>
    </row>
    <row r="463" spans="1:17">
      <c r="A463" s="11" t="s">
        <v>18</v>
      </c>
      <c r="B463" s="17" t="s">
        <v>19</v>
      </c>
      <c r="C463" s="27">
        <v>283.35797000000002</v>
      </c>
      <c r="D463" s="27"/>
      <c r="E463" s="27"/>
      <c r="F463" s="6">
        <f>L463*$P463/$O463</f>
        <v>302.60872418759823</v>
      </c>
      <c r="G463" s="6" t="s">
        <v>2</v>
      </c>
      <c r="H463" s="6">
        <f>M463*$P463/$O463</f>
        <v>189.64113453012436</v>
      </c>
      <c r="I463" s="6">
        <f>N463*$P463/$O463</f>
        <v>499.56567402775244</v>
      </c>
      <c r="J463" s="6" t="s">
        <v>166</v>
      </c>
      <c r="K463" s="6"/>
      <c r="L463" s="18">
        <v>302.60872418759823</v>
      </c>
      <c r="M463" s="18">
        <v>189.64113453012436</v>
      </c>
      <c r="N463" s="18">
        <v>499.56567402775238</v>
      </c>
      <c r="O463" s="17">
        <v>1274</v>
      </c>
      <c r="P463" s="17">
        <f t="shared" si="6"/>
        <v>1274</v>
      </c>
      <c r="Q463" s="4" t="s">
        <v>273</v>
      </c>
    </row>
    <row r="464" spans="1:17">
      <c r="A464" s="11" t="s">
        <v>18</v>
      </c>
      <c r="B464" s="17" t="s">
        <v>19</v>
      </c>
      <c r="C464" s="5">
        <v>283.84889000000004</v>
      </c>
      <c r="D464" s="27"/>
      <c r="E464" s="27"/>
      <c r="F464" s="6">
        <f>L464*$P464/$O464</f>
        <v>281.72801888559843</v>
      </c>
      <c r="G464" s="6" t="s">
        <v>2</v>
      </c>
      <c r="H464" s="6">
        <f>M464*$P464/$O464</f>
        <v>176.55545547744256</v>
      </c>
      <c r="I464" s="6">
        <f>N464*$P464/$O464</f>
        <v>465.09448141302249</v>
      </c>
      <c r="J464" s="6" t="s">
        <v>166</v>
      </c>
      <c r="K464" s="6"/>
      <c r="L464" s="18">
        <v>281.72801888559843</v>
      </c>
      <c r="M464" s="18">
        <v>176.55545547744256</v>
      </c>
      <c r="N464" s="18">
        <v>465.09448141302244</v>
      </c>
      <c r="O464" s="17">
        <v>1274</v>
      </c>
      <c r="P464" s="17">
        <f t="shared" si="6"/>
        <v>1274</v>
      </c>
      <c r="Q464" s="4" t="s">
        <v>274</v>
      </c>
    </row>
    <row r="465" spans="1:17">
      <c r="A465" s="11" t="s">
        <v>18</v>
      </c>
      <c r="B465" s="17" t="s">
        <v>19</v>
      </c>
      <c r="C465" s="5">
        <v>284.46254000000005</v>
      </c>
      <c r="D465" s="27"/>
      <c r="E465" s="27"/>
      <c r="F465" s="6">
        <f>L465*$P465/$O465</f>
        <v>229.97563276510155</v>
      </c>
      <c r="G465" s="6" t="s">
        <v>2</v>
      </c>
      <c r="H465" s="6">
        <f>M465*$P465/$O465</f>
        <v>144.12287692280776</v>
      </c>
      <c r="I465" s="6">
        <f>N465*$P465/$O465</f>
        <v>379.65836015036228</v>
      </c>
      <c r="J465" s="6" t="s">
        <v>166</v>
      </c>
      <c r="K465" s="6"/>
      <c r="L465" s="18">
        <v>229.97563276510155</v>
      </c>
      <c r="M465" s="18">
        <v>144.12287692280776</v>
      </c>
      <c r="N465" s="18">
        <v>379.65836015036228</v>
      </c>
      <c r="O465" s="17">
        <v>1274</v>
      </c>
      <c r="P465" s="17">
        <f t="shared" si="6"/>
        <v>1274</v>
      </c>
      <c r="Q465" s="4" t="s">
        <v>275</v>
      </c>
    </row>
    <row r="466" spans="1:17">
      <c r="A466" s="11" t="s">
        <v>18</v>
      </c>
      <c r="B466" s="17" t="s">
        <v>19</v>
      </c>
      <c r="C466" s="5">
        <v>284.83073000000007</v>
      </c>
      <c r="D466" s="27"/>
      <c r="E466" s="27"/>
      <c r="F466" s="6">
        <f>L466*$P466/$O466</f>
        <v>246.50040696621366</v>
      </c>
      <c r="G466" s="6" t="s">
        <v>2</v>
      </c>
      <c r="H466" s="6">
        <f>M466*$P466/$O466</f>
        <v>154.47874797631476</v>
      </c>
      <c r="I466" s="6">
        <f>N466*$P466/$O466</f>
        <v>406.93850544061274</v>
      </c>
      <c r="J466" s="6" t="s">
        <v>166</v>
      </c>
      <c r="K466" s="6"/>
      <c r="L466" s="18">
        <v>246.50040696621369</v>
      </c>
      <c r="M466" s="18">
        <v>154.47874797631476</v>
      </c>
      <c r="N466" s="18">
        <v>406.93850544061274</v>
      </c>
      <c r="O466" s="17">
        <v>1274</v>
      </c>
      <c r="P466" s="17">
        <f t="shared" si="6"/>
        <v>1274</v>
      </c>
      <c r="Q466" s="4" t="s">
        <v>276</v>
      </c>
    </row>
    <row r="467" spans="1:17">
      <c r="A467" s="11" t="s">
        <v>18</v>
      </c>
      <c r="B467" s="17" t="s">
        <v>19</v>
      </c>
      <c r="C467" s="5">
        <v>284.95346000000001</v>
      </c>
      <c r="D467" s="27"/>
      <c r="E467" s="27"/>
      <c r="F467" s="6">
        <f>L467*$P467/$O467</f>
        <v>207.44552882038693</v>
      </c>
      <c r="G467" s="6" t="s">
        <v>2</v>
      </c>
      <c r="H467" s="6">
        <f>M467*$P467/$O467</f>
        <v>130.00354019638689</v>
      </c>
      <c r="I467" s="6">
        <f>N467*$P467/$O467</f>
        <v>342.4642356475963</v>
      </c>
      <c r="J467" s="6" t="s">
        <v>166</v>
      </c>
      <c r="K467" s="6"/>
      <c r="L467" s="18">
        <v>207.4455288203869</v>
      </c>
      <c r="M467" s="18">
        <v>130.00354019638689</v>
      </c>
      <c r="N467" s="18">
        <v>342.4642356475963</v>
      </c>
      <c r="O467" s="17">
        <v>1274</v>
      </c>
      <c r="P467" s="17">
        <f t="shared" si="6"/>
        <v>1274</v>
      </c>
      <c r="Q467" s="4" t="s">
        <v>277</v>
      </c>
    </row>
    <row r="468" spans="1:17">
      <c r="A468" s="9" t="s">
        <v>111</v>
      </c>
      <c r="B468" s="23" t="s">
        <v>112</v>
      </c>
      <c r="C468" s="28">
        <f>AVERAGE(D468:E468)</f>
        <v>285.60000000000002</v>
      </c>
      <c r="D468" s="28">
        <v>298.89999999999998</v>
      </c>
      <c r="E468" s="28">
        <v>272.3</v>
      </c>
      <c r="F468" s="6">
        <f>L468*$P468/$O468</f>
        <v>238.70267738481732</v>
      </c>
      <c r="G468" s="6" t="s">
        <v>2</v>
      </c>
      <c r="H468" s="6">
        <f>F468*0.5</f>
        <v>119.35133869240866</v>
      </c>
      <c r="I468" s="6">
        <f>F468*2</f>
        <v>477.40535476963464</v>
      </c>
      <c r="J468" s="6" t="s">
        <v>78</v>
      </c>
      <c r="K468" s="6"/>
      <c r="L468" s="18">
        <v>238.70267738481732</v>
      </c>
      <c r="M468" s="18">
        <v>149.59200755419008</v>
      </c>
      <c r="N468" s="18">
        <v>394.06551889776119</v>
      </c>
      <c r="O468" s="17">
        <v>1274</v>
      </c>
      <c r="P468" s="17">
        <f t="shared" si="6"/>
        <v>1274</v>
      </c>
      <c r="Q468" s="4" t="s">
        <v>278</v>
      </c>
    </row>
    <row r="469" spans="1:17">
      <c r="A469" s="11" t="s">
        <v>18</v>
      </c>
      <c r="B469" s="17" t="s">
        <v>19</v>
      </c>
      <c r="C469" s="5">
        <v>285.81256999999999</v>
      </c>
      <c r="D469" s="27"/>
      <c r="E469" s="27"/>
      <c r="F469" s="6">
        <f>L469*$P469/$O469</f>
        <v>229.82611133573423</v>
      </c>
      <c r="G469" s="6" t="s">
        <v>2</v>
      </c>
      <c r="H469" s="6">
        <f>M469*$P469/$O469</f>
        <v>144.02917369737065</v>
      </c>
      <c r="I469" s="6">
        <f>N469*$P469/$O469</f>
        <v>379.41152069177099</v>
      </c>
      <c r="J469" s="6" t="s">
        <v>166</v>
      </c>
      <c r="K469" s="6"/>
      <c r="L469" s="18">
        <v>229.82611133573423</v>
      </c>
      <c r="M469" s="18">
        <v>144.02917369737065</v>
      </c>
      <c r="N469" s="18">
        <v>379.41152069177099</v>
      </c>
      <c r="O469" s="17">
        <v>1274</v>
      </c>
      <c r="P469" s="17">
        <f t="shared" si="6"/>
        <v>1274</v>
      </c>
      <c r="Q469" s="4" t="s">
        <v>279</v>
      </c>
    </row>
    <row r="470" spans="1:17">
      <c r="A470" s="11" t="s">
        <v>18</v>
      </c>
      <c r="B470" s="17" t="s">
        <v>19</v>
      </c>
      <c r="C470" s="5">
        <v>286.91714000000007</v>
      </c>
      <c r="D470" s="27"/>
      <c r="E470" s="27"/>
      <c r="F470" s="6">
        <f>L470*$P470/$O470</f>
        <v>307.05113901345283</v>
      </c>
      <c r="G470" s="6" t="s">
        <v>2</v>
      </c>
      <c r="H470" s="6">
        <f>M470*$P470/$O470</f>
        <v>192.42514080717484</v>
      </c>
      <c r="I470" s="6">
        <f>N470*$P470/$O470</f>
        <v>506.89949417040344</v>
      </c>
      <c r="J470" s="6" t="s">
        <v>166</v>
      </c>
      <c r="K470" s="6"/>
      <c r="L470" s="18">
        <v>307.05113901345283</v>
      </c>
      <c r="M470" s="18">
        <v>192.42514080717484</v>
      </c>
      <c r="N470" s="18">
        <v>506.89949417040339</v>
      </c>
      <c r="O470" s="17">
        <v>1274</v>
      </c>
      <c r="P470" s="17">
        <f t="shared" si="6"/>
        <v>1274</v>
      </c>
      <c r="Q470" s="4" t="s">
        <v>280</v>
      </c>
    </row>
    <row r="471" spans="1:17">
      <c r="A471" s="11" t="s">
        <v>18</v>
      </c>
      <c r="B471" s="17" t="s">
        <v>19</v>
      </c>
      <c r="C471" s="5">
        <v>287.03987000000001</v>
      </c>
      <c r="D471" s="27"/>
      <c r="E471" s="27"/>
      <c r="F471" s="6">
        <f>L471*$P471/$O471</f>
        <v>251.65169788063997</v>
      </c>
      <c r="G471" s="6" t="s">
        <v>2</v>
      </c>
      <c r="H471" s="6">
        <f>M471*$P471/$O471</f>
        <v>157.70699810667423</v>
      </c>
      <c r="I471" s="6">
        <f>N471*$P471/$O471</f>
        <v>415.44258318882413</v>
      </c>
      <c r="J471" s="6" t="s">
        <v>166</v>
      </c>
      <c r="K471" s="6"/>
      <c r="L471" s="18">
        <v>251.65169788063997</v>
      </c>
      <c r="M471" s="18">
        <v>157.70699810667423</v>
      </c>
      <c r="N471" s="18">
        <v>415.44258318882413</v>
      </c>
      <c r="O471" s="17">
        <v>1274</v>
      </c>
      <c r="P471" s="17">
        <f t="shared" si="6"/>
        <v>1274</v>
      </c>
      <c r="Q471" s="4" t="s">
        <v>281</v>
      </c>
    </row>
    <row r="472" spans="1:17">
      <c r="A472" s="11" t="s">
        <v>18</v>
      </c>
      <c r="B472" s="17" t="s">
        <v>19</v>
      </c>
      <c r="C472" s="5">
        <v>287.40806000000003</v>
      </c>
      <c r="D472" s="27"/>
      <c r="E472" s="27"/>
      <c r="F472" s="6">
        <f>L472*$P472/$O472</f>
        <v>299.13998783737588</v>
      </c>
      <c r="G472" s="6" t="s">
        <v>2</v>
      </c>
      <c r="H472" s="6">
        <f>M472*$P472/$O472</f>
        <v>187.46732047830525</v>
      </c>
      <c r="I472" s="6">
        <f>N472*$P472/$O472</f>
        <v>493.83926406559567</v>
      </c>
      <c r="J472" s="6" t="s">
        <v>166</v>
      </c>
      <c r="K472" s="6"/>
      <c r="L472" s="18">
        <v>299.13998783737588</v>
      </c>
      <c r="M472" s="18">
        <v>187.46732047830525</v>
      </c>
      <c r="N472" s="18">
        <v>493.83926406559573</v>
      </c>
      <c r="O472" s="17">
        <v>1274</v>
      </c>
      <c r="P472" s="17">
        <f t="shared" si="6"/>
        <v>1274</v>
      </c>
      <c r="Q472" s="4" t="s">
        <v>282</v>
      </c>
    </row>
    <row r="473" spans="1:17">
      <c r="A473" s="11" t="s">
        <v>18</v>
      </c>
      <c r="B473" s="17" t="s">
        <v>19</v>
      </c>
      <c r="C473" s="5">
        <v>288.88082000000003</v>
      </c>
      <c r="D473" s="27"/>
      <c r="E473" s="27"/>
      <c r="F473" s="6">
        <f>L473*$P473/$O473</f>
        <v>299.76184167835663</v>
      </c>
      <c r="G473" s="6" t="s">
        <v>2</v>
      </c>
      <c r="H473" s="6">
        <f>M473*$P473/$O473</f>
        <v>187.8570285682888</v>
      </c>
      <c r="I473" s="6">
        <f>N473*$P473/$O473</f>
        <v>494.86585982568266</v>
      </c>
      <c r="J473" s="6" t="s">
        <v>166</v>
      </c>
      <c r="K473" s="6"/>
      <c r="L473" s="18">
        <v>299.76184167835663</v>
      </c>
      <c r="M473" s="18">
        <v>187.8570285682888</v>
      </c>
      <c r="N473" s="18">
        <v>494.86585982568261</v>
      </c>
      <c r="O473" s="17">
        <v>1274</v>
      </c>
      <c r="P473" s="17">
        <f t="shared" si="6"/>
        <v>1274</v>
      </c>
      <c r="Q473" s="4" t="s">
        <v>283</v>
      </c>
    </row>
    <row r="474" spans="1:17">
      <c r="A474" s="11" t="s">
        <v>18</v>
      </c>
      <c r="B474" s="17" t="s">
        <v>19</v>
      </c>
      <c r="C474" s="29">
        <v>289.37174000000005</v>
      </c>
      <c r="D474" s="29"/>
      <c r="E474" s="27"/>
      <c r="F474" s="6">
        <f>L474*$P474/$O474</f>
        <v>277.53849876681358</v>
      </c>
      <c r="G474" s="6" t="s">
        <v>2</v>
      </c>
      <c r="H474" s="6">
        <f>M474*$P474/$O474</f>
        <v>173.92993517694188</v>
      </c>
      <c r="I474" s="6">
        <f>N474*$P474/$O474</f>
        <v>458.17815589196408</v>
      </c>
      <c r="J474" s="6" t="s">
        <v>166</v>
      </c>
      <c r="K474" s="6"/>
      <c r="L474" s="18">
        <v>277.53849876681358</v>
      </c>
      <c r="M474" s="18">
        <v>173.92993517694188</v>
      </c>
      <c r="N474" s="18">
        <v>458.17815589196408</v>
      </c>
      <c r="O474" s="17">
        <v>1274</v>
      </c>
      <c r="P474" s="17">
        <f t="shared" si="6"/>
        <v>1274</v>
      </c>
      <c r="Q474" s="4" t="s">
        <v>284</v>
      </c>
    </row>
    <row r="475" spans="1:17">
      <c r="A475" s="11" t="s">
        <v>18</v>
      </c>
      <c r="B475" s="17" t="s">
        <v>19</v>
      </c>
      <c r="C475" s="5">
        <v>289.86266000000001</v>
      </c>
      <c r="D475" s="27"/>
      <c r="E475" s="27"/>
      <c r="F475" s="6">
        <f>L475*$P475/$O475</f>
        <v>337.62212167038444</v>
      </c>
      <c r="G475" s="6" t="s">
        <v>2</v>
      </c>
      <c r="H475" s="6">
        <f>M475*$P475/$O475</f>
        <v>211.58359650049832</v>
      </c>
      <c r="I475" s="6">
        <f>N475*$P475/$O475</f>
        <v>557.36801122225461</v>
      </c>
      <c r="J475" s="6" t="s">
        <v>166</v>
      </c>
      <c r="K475" s="6"/>
      <c r="L475" s="18">
        <v>337.62212167038444</v>
      </c>
      <c r="M475" s="18">
        <v>211.58359650049834</v>
      </c>
      <c r="N475" s="18">
        <v>557.36801122225461</v>
      </c>
      <c r="O475" s="17">
        <v>1274</v>
      </c>
      <c r="P475" s="17">
        <f t="shared" si="6"/>
        <v>1274</v>
      </c>
      <c r="Q475" s="4" t="s">
        <v>285</v>
      </c>
    </row>
    <row r="476" spans="1:17">
      <c r="A476" s="11" t="s">
        <v>18</v>
      </c>
      <c r="B476" s="17" t="s">
        <v>19</v>
      </c>
      <c r="C476" s="5">
        <v>290.20724000000001</v>
      </c>
      <c r="D476" s="27"/>
      <c r="E476" s="27"/>
      <c r="F476" s="6">
        <f>L476*$P476/$O476</f>
        <v>386.98122006974296</v>
      </c>
      <c r="G476" s="6" t="s">
        <v>2</v>
      </c>
      <c r="H476" s="6">
        <f>M476*$P476/$O476</f>
        <v>242.51633132157204</v>
      </c>
      <c r="I476" s="6">
        <f>N476*$P476/$O476</f>
        <v>638.85314132706708</v>
      </c>
      <c r="J476" s="6" t="s">
        <v>166</v>
      </c>
      <c r="K476" s="6"/>
      <c r="L476" s="18">
        <v>386.98122006974296</v>
      </c>
      <c r="M476" s="18">
        <v>242.51633132157204</v>
      </c>
      <c r="N476" s="18">
        <v>638.85314132706708</v>
      </c>
      <c r="O476" s="17">
        <v>1274</v>
      </c>
      <c r="P476" s="17">
        <f t="shared" si="6"/>
        <v>1274</v>
      </c>
      <c r="Q476" s="4" t="s">
        <v>286</v>
      </c>
    </row>
    <row r="477" spans="1:17">
      <c r="A477" s="11" t="s">
        <v>18</v>
      </c>
      <c r="B477" s="17" t="s">
        <v>19</v>
      </c>
      <c r="C477" s="5">
        <v>290.41899999999998</v>
      </c>
      <c r="D477" s="27"/>
      <c r="E477" s="27"/>
      <c r="F477" s="6">
        <f>L477*$P477/$O477</f>
        <v>341.80051881188069</v>
      </c>
      <c r="G477" s="6" t="s">
        <v>2</v>
      </c>
      <c r="H477" s="6">
        <f>M477*$P477/$O477</f>
        <v>214.20214616907813</v>
      </c>
      <c r="I477" s="6">
        <f>N477*$P477/$O477</f>
        <v>564.26597422696034</v>
      </c>
      <c r="J477" s="6" t="s">
        <v>166</v>
      </c>
      <c r="K477" s="6"/>
      <c r="L477" s="18">
        <v>341.80051881188069</v>
      </c>
      <c r="M477" s="18">
        <v>214.20214616907813</v>
      </c>
      <c r="N477" s="18">
        <v>564.26597422696034</v>
      </c>
      <c r="O477" s="17">
        <v>1274</v>
      </c>
      <c r="P477" s="17">
        <f t="shared" si="6"/>
        <v>1274</v>
      </c>
      <c r="Q477" s="4" t="s">
        <v>286</v>
      </c>
    </row>
    <row r="478" spans="1:17">
      <c r="A478" s="11" t="s">
        <v>18</v>
      </c>
      <c r="B478" s="17" t="s">
        <v>19</v>
      </c>
      <c r="C478" s="29">
        <v>290.41899999999998</v>
      </c>
      <c r="D478" s="29"/>
      <c r="E478" s="27"/>
      <c r="F478" s="6">
        <f>L478*$P478/$O478</f>
        <v>405.30604265261877</v>
      </c>
      <c r="G478" s="6" t="s">
        <v>2</v>
      </c>
      <c r="H478" s="6">
        <f>M478*$P478/$O478</f>
        <v>254.00027037193942</v>
      </c>
      <c r="I478" s="6">
        <f>N478*$P478/$O478</f>
        <v>669.10492064912705</v>
      </c>
      <c r="J478" s="6" t="s">
        <v>166</v>
      </c>
      <c r="K478" s="6"/>
      <c r="L478" s="18">
        <v>405.30604265261877</v>
      </c>
      <c r="M478" s="18">
        <v>254.00027037193942</v>
      </c>
      <c r="N478" s="18">
        <v>669.10492064912705</v>
      </c>
      <c r="O478" s="17">
        <v>1274</v>
      </c>
      <c r="P478" s="17">
        <f t="shared" si="6"/>
        <v>1274</v>
      </c>
      <c r="Q478" s="4" t="s">
        <v>287</v>
      </c>
    </row>
    <row r="479" spans="1:17">
      <c r="A479" s="13" t="s">
        <v>120</v>
      </c>
      <c r="B479" s="24" t="s">
        <v>134</v>
      </c>
      <c r="C479" s="28">
        <f>AVERAGE(D479:E479)</f>
        <v>290.45</v>
      </c>
      <c r="D479" s="25">
        <v>298.89999999999998</v>
      </c>
      <c r="E479" s="25">
        <v>282</v>
      </c>
      <c r="F479" s="6">
        <f>L479*$P479/$O479</f>
        <v>399.76274982743018</v>
      </c>
      <c r="G479" s="6" t="s">
        <v>2</v>
      </c>
      <c r="H479" s="6">
        <f>F479*0.5</f>
        <v>199.88137491371509</v>
      </c>
      <c r="I479" s="6">
        <f>F479*2</f>
        <v>799.52549965486037</v>
      </c>
      <c r="J479" s="6" t="s">
        <v>78</v>
      </c>
      <c r="K479" s="6"/>
      <c r="L479" s="18">
        <v>399.76274982743018</v>
      </c>
      <c r="M479" s="18">
        <v>250.52635750566739</v>
      </c>
      <c r="N479" s="18">
        <v>659.9537012849695</v>
      </c>
      <c r="O479" s="17">
        <v>1274</v>
      </c>
      <c r="P479" s="17">
        <f t="shared" si="6"/>
        <v>1274</v>
      </c>
      <c r="Q479" s="4" t="s">
        <v>288</v>
      </c>
    </row>
    <row r="480" spans="1:17">
      <c r="A480" s="11" t="s">
        <v>18</v>
      </c>
      <c r="B480" s="17" t="s">
        <v>19</v>
      </c>
      <c r="C480" s="5">
        <v>290.47194000000002</v>
      </c>
      <c r="D480" s="27"/>
      <c r="E480" s="27"/>
      <c r="F480" s="6">
        <f>L480*$P480/$O480</f>
        <v>385.0266367304273</v>
      </c>
      <c r="G480" s="6" t="s">
        <v>2</v>
      </c>
      <c r="H480" s="6">
        <f>M480*$P480/$O480</f>
        <v>241.29141818333844</v>
      </c>
      <c r="I480" s="6">
        <f>N480*$P480/$O480</f>
        <v>635.62639118636946</v>
      </c>
      <c r="J480" s="6" t="s">
        <v>166</v>
      </c>
      <c r="K480" s="6"/>
      <c r="L480" s="18">
        <v>385.0266367304273</v>
      </c>
      <c r="M480" s="18">
        <v>241.29141818333846</v>
      </c>
      <c r="N480" s="18">
        <v>635.62639118636946</v>
      </c>
      <c r="O480" s="17">
        <v>1274</v>
      </c>
      <c r="P480" s="17">
        <f t="shared" si="6"/>
        <v>1274</v>
      </c>
      <c r="Q480" s="4" t="s">
        <v>289</v>
      </c>
    </row>
    <row r="481" spans="1:17">
      <c r="A481" s="11" t="s">
        <v>18</v>
      </c>
      <c r="B481" s="17" t="s">
        <v>19</v>
      </c>
      <c r="C481" s="5">
        <v>290.52487999999994</v>
      </c>
      <c r="D481" s="27"/>
      <c r="E481" s="27"/>
      <c r="F481" s="6">
        <f>L481*$P481/$O481</f>
        <v>6</v>
      </c>
      <c r="G481" s="6" t="s">
        <v>2</v>
      </c>
      <c r="H481" s="6">
        <f>M481*$P481/$O481</f>
        <v>0</v>
      </c>
      <c r="I481" s="6">
        <f>N481*$P481/$O481</f>
        <v>0</v>
      </c>
      <c r="J481" s="6" t="s">
        <v>166</v>
      </c>
      <c r="K481" s="6"/>
      <c r="L481" s="3">
        <v>6</v>
      </c>
      <c r="M481" s="17"/>
      <c r="N481" s="17"/>
      <c r="O481" s="3">
        <v>2800</v>
      </c>
      <c r="P481" s="17">
        <f t="shared" si="6"/>
        <v>2800</v>
      </c>
      <c r="Q481" s="17" t="s">
        <v>290</v>
      </c>
    </row>
    <row r="482" spans="1:17">
      <c r="A482" s="11" t="s">
        <v>18</v>
      </c>
      <c r="B482" s="17" t="s">
        <v>19</v>
      </c>
      <c r="C482" s="5">
        <v>293.06599999999997</v>
      </c>
      <c r="D482" s="27"/>
      <c r="E482" s="27"/>
      <c r="F482" s="6">
        <f>L482*$P482/$O482</f>
        <v>215</v>
      </c>
      <c r="G482" s="6" t="s">
        <v>2</v>
      </c>
      <c r="H482" s="6">
        <f>M482*$P482/$O482</f>
        <v>0</v>
      </c>
      <c r="I482" s="6">
        <f>N482*$P482/$O482</f>
        <v>0</v>
      </c>
      <c r="J482" s="6" t="s">
        <v>166</v>
      </c>
      <c r="K482" s="6"/>
      <c r="L482" s="3">
        <v>215</v>
      </c>
      <c r="M482" s="17"/>
      <c r="N482" s="17"/>
      <c r="O482" s="3">
        <v>2800</v>
      </c>
      <c r="P482" s="17">
        <f t="shared" si="6"/>
        <v>2800</v>
      </c>
      <c r="Q482" s="17" t="s">
        <v>290</v>
      </c>
    </row>
    <row r="483" spans="1:17">
      <c r="A483" s="11" t="s">
        <v>18</v>
      </c>
      <c r="B483" s="17" t="s">
        <v>19</v>
      </c>
      <c r="C483" s="5">
        <v>294.33655999999996</v>
      </c>
      <c r="D483" s="27"/>
      <c r="E483" s="27"/>
      <c r="F483" s="6">
        <f>L483*$P483/$O483</f>
        <v>355</v>
      </c>
      <c r="G483" s="6" t="s">
        <v>2</v>
      </c>
      <c r="H483" s="6">
        <f>M483*$P483/$O483</f>
        <v>0</v>
      </c>
      <c r="I483" s="6">
        <f>N483*$P483/$O483</f>
        <v>0</v>
      </c>
      <c r="J483" s="6" t="s">
        <v>166</v>
      </c>
      <c r="K483" s="6"/>
      <c r="L483" s="3">
        <v>355</v>
      </c>
      <c r="M483" s="17"/>
      <c r="N483" s="17"/>
      <c r="O483" s="3">
        <v>2800</v>
      </c>
      <c r="P483" s="17">
        <f t="shared" si="6"/>
        <v>2800</v>
      </c>
      <c r="Q483" s="17" t="s">
        <v>290</v>
      </c>
    </row>
    <row r="484" spans="1:17">
      <c r="A484" s="11" t="s">
        <v>18</v>
      </c>
      <c r="B484" s="17" t="s">
        <v>19</v>
      </c>
      <c r="C484" s="5">
        <v>295.87877000000003</v>
      </c>
      <c r="D484" s="27"/>
      <c r="E484" s="27"/>
      <c r="F484" s="6">
        <f>L484*$P484/$O484</f>
        <v>443</v>
      </c>
      <c r="G484" s="6" t="s">
        <v>2</v>
      </c>
      <c r="H484" s="6">
        <f>M484*$P484/$O484</f>
        <v>0</v>
      </c>
      <c r="I484" s="6">
        <f>N484*$P484/$O484</f>
        <v>0</v>
      </c>
      <c r="J484" s="6" t="s">
        <v>166</v>
      </c>
      <c r="K484" s="6"/>
      <c r="L484" s="3">
        <v>443</v>
      </c>
      <c r="M484" s="17"/>
      <c r="N484" s="17"/>
      <c r="O484" s="3">
        <v>2800</v>
      </c>
      <c r="P484" s="17">
        <f t="shared" si="6"/>
        <v>2800</v>
      </c>
      <c r="Q484" s="17" t="s">
        <v>290</v>
      </c>
    </row>
    <row r="485" spans="1:17">
      <c r="A485" s="11" t="s">
        <v>18</v>
      </c>
      <c r="B485" s="17" t="s">
        <v>19</v>
      </c>
      <c r="C485" s="5">
        <v>296.57420000000002</v>
      </c>
      <c r="D485" s="27"/>
      <c r="E485" s="27"/>
      <c r="F485" s="6">
        <f>L485*$P485/$O485</f>
        <v>500</v>
      </c>
      <c r="G485" s="6" t="s">
        <v>2</v>
      </c>
      <c r="H485" s="6">
        <f>M485*$P485/$O485</f>
        <v>0</v>
      </c>
      <c r="I485" s="6">
        <f>N485*$P485/$O485</f>
        <v>0</v>
      </c>
      <c r="J485" s="6" t="s">
        <v>166</v>
      </c>
      <c r="K485" s="6"/>
      <c r="L485" s="3">
        <v>500</v>
      </c>
      <c r="M485" s="17"/>
      <c r="N485" s="17"/>
      <c r="O485" s="3">
        <v>2800</v>
      </c>
      <c r="P485" s="17">
        <f t="shared" si="6"/>
        <v>2800</v>
      </c>
      <c r="Q485" s="17" t="s">
        <v>290</v>
      </c>
    </row>
    <row r="486" spans="1:17">
      <c r="A486" s="11" t="s">
        <v>18</v>
      </c>
      <c r="B486" s="17" t="s">
        <v>19</v>
      </c>
      <c r="C486" s="5">
        <v>297.88779</v>
      </c>
      <c r="D486" s="27"/>
      <c r="E486" s="27"/>
      <c r="F486" s="6">
        <f>L486*$P486/$O486</f>
        <v>546</v>
      </c>
      <c r="G486" s="6" t="s">
        <v>2</v>
      </c>
      <c r="H486" s="6">
        <f>M486*$P486/$O486</f>
        <v>0</v>
      </c>
      <c r="I486" s="6">
        <f>N486*$P486/$O486</f>
        <v>0</v>
      </c>
      <c r="J486" s="6" t="s">
        <v>166</v>
      </c>
      <c r="K486" s="6"/>
      <c r="L486" s="3">
        <v>546</v>
      </c>
      <c r="M486" s="17"/>
      <c r="N486" s="17"/>
      <c r="O486" s="3">
        <v>2800</v>
      </c>
      <c r="P486" s="17">
        <f t="shared" si="6"/>
        <v>2800</v>
      </c>
      <c r="Q486" s="17" t="s">
        <v>290</v>
      </c>
    </row>
    <row r="487" spans="1:17">
      <c r="A487" s="11" t="s">
        <v>18</v>
      </c>
      <c r="B487" s="17" t="s">
        <v>19</v>
      </c>
      <c r="C487" s="5">
        <v>298.58322000000004</v>
      </c>
      <c r="D487" s="27"/>
      <c r="E487" s="27"/>
      <c r="F487" s="6">
        <f>L487*$P487/$O487</f>
        <v>501</v>
      </c>
      <c r="G487" s="6" t="s">
        <v>2</v>
      </c>
      <c r="H487" s="6">
        <f>M487*$P487/$O487</f>
        <v>0</v>
      </c>
      <c r="I487" s="6">
        <f>N487*$P487/$O487</f>
        <v>0</v>
      </c>
      <c r="J487" s="6" t="s">
        <v>166</v>
      </c>
      <c r="K487" s="6"/>
      <c r="L487" s="3">
        <v>501</v>
      </c>
      <c r="M487" s="17"/>
      <c r="N487" s="17"/>
      <c r="O487" s="3">
        <v>2800</v>
      </c>
      <c r="P487" s="17">
        <f t="shared" si="6"/>
        <v>2800</v>
      </c>
      <c r="Q487" s="17" t="s">
        <v>290</v>
      </c>
    </row>
    <row r="488" spans="1:17">
      <c r="A488" s="11" t="s">
        <v>18</v>
      </c>
      <c r="B488" s="17" t="s">
        <v>19</v>
      </c>
      <c r="C488" s="5">
        <v>299.68608</v>
      </c>
      <c r="D488" s="27"/>
      <c r="E488" s="27"/>
      <c r="F488" s="6">
        <f>L488*$P488/$O488</f>
        <v>523</v>
      </c>
      <c r="G488" s="6" t="s">
        <v>2</v>
      </c>
      <c r="H488" s="6">
        <f>M488*$P488/$O488</f>
        <v>0</v>
      </c>
      <c r="I488" s="6">
        <f>N488*$P488/$O488</f>
        <v>0</v>
      </c>
      <c r="J488" s="6" t="s">
        <v>166</v>
      </c>
      <c r="K488" s="6"/>
      <c r="L488" s="3">
        <v>523</v>
      </c>
      <c r="M488" s="17"/>
      <c r="N488" s="17"/>
      <c r="O488" s="3">
        <v>2800</v>
      </c>
      <c r="P488" s="17">
        <f t="shared" si="6"/>
        <v>2800</v>
      </c>
      <c r="Q488" s="17" t="s">
        <v>290</v>
      </c>
    </row>
    <row r="489" spans="1:17">
      <c r="A489" s="11" t="s">
        <v>18</v>
      </c>
      <c r="B489" s="17" t="s">
        <v>19</v>
      </c>
      <c r="C489" s="5">
        <v>299.88200000000001</v>
      </c>
      <c r="D489" s="27"/>
      <c r="E489" s="27"/>
      <c r="F489" s="6">
        <f>L489*$P489/$O489</f>
        <v>170</v>
      </c>
      <c r="G489" s="6" t="s">
        <v>2</v>
      </c>
      <c r="H489" s="6">
        <f>M489*$P489/$O489</f>
        <v>0</v>
      </c>
      <c r="I489" s="6">
        <f>N489*$P489/$O489</f>
        <v>0</v>
      </c>
      <c r="J489" s="6" t="s">
        <v>166</v>
      </c>
      <c r="K489" s="6"/>
      <c r="L489" s="3">
        <v>170</v>
      </c>
      <c r="M489" s="17"/>
      <c r="N489" s="17"/>
      <c r="O489" s="3">
        <v>2800</v>
      </c>
      <c r="P489" s="17">
        <f t="shared" si="6"/>
        <v>2800</v>
      </c>
      <c r="Q489" s="17" t="s">
        <v>290</v>
      </c>
    </row>
    <row r="490" spans="1:17">
      <c r="A490" s="11" t="s">
        <v>18</v>
      </c>
      <c r="B490" s="17" t="s">
        <v>19</v>
      </c>
      <c r="C490" s="5">
        <v>300.17588000000001</v>
      </c>
      <c r="D490" s="27"/>
      <c r="E490" s="27"/>
      <c r="F490" s="6">
        <f>L490*$P490/$O490</f>
        <v>738</v>
      </c>
      <c r="G490" s="6" t="s">
        <v>2</v>
      </c>
      <c r="H490" s="6">
        <f>M490*$P490/$O490</f>
        <v>0</v>
      </c>
      <c r="I490" s="6">
        <f>N490*$P490/$O490</f>
        <v>0</v>
      </c>
      <c r="J490" s="6" t="s">
        <v>166</v>
      </c>
      <c r="K490" s="6"/>
      <c r="L490" s="3">
        <v>738</v>
      </c>
      <c r="M490" s="17"/>
      <c r="N490" s="17"/>
      <c r="O490" s="3">
        <v>2800</v>
      </c>
      <c r="P490" s="17">
        <f t="shared" si="6"/>
        <v>2800</v>
      </c>
      <c r="Q490" s="17" t="s">
        <v>290</v>
      </c>
    </row>
    <row r="491" spans="1:17">
      <c r="A491" s="13" t="s">
        <v>95</v>
      </c>
      <c r="B491" s="24" t="s">
        <v>96</v>
      </c>
      <c r="C491" s="27">
        <f>AVERAGE(D491:E491)</f>
        <v>302.95</v>
      </c>
      <c r="D491" s="25">
        <v>307</v>
      </c>
      <c r="E491" s="25">
        <v>298.89999999999998</v>
      </c>
      <c r="F491" s="6">
        <f>L491*$P491/$O491</f>
        <v>1463</v>
      </c>
      <c r="G491" s="6" t="s">
        <v>2</v>
      </c>
      <c r="H491" s="6">
        <f>F491*0.5</f>
        <v>731.5</v>
      </c>
      <c r="I491" s="6">
        <f>F491*2</f>
        <v>2926</v>
      </c>
      <c r="J491" s="6" t="s">
        <v>78</v>
      </c>
      <c r="K491" s="6"/>
      <c r="L491" s="3">
        <v>1463</v>
      </c>
      <c r="M491" s="17"/>
      <c r="N491" s="17"/>
      <c r="O491" s="3">
        <v>2800</v>
      </c>
      <c r="P491" s="17">
        <f t="shared" si="6"/>
        <v>2800</v>
      </c>
      <c r="Q491" s="17" t="s">
        <v>290</v>
      </c>
    </row>
    <row r="492" spans="1:17">
      <c r="A492" s="9" t="s">
        <v>111</v>
      </c>
      <c r="B492" s="23" t="s">
        <v>96</v>
      </c>
      <c r="C492" s="28">
        <f>AVERAGE(D492:E492)</f>
        <v>302.95</v>
      </c>
      <c r="D492" s="28">
        <v>307</v>
      </c>
      <c r="E492" s="28">
        <v>298.89999999999998</v>
      </c>
      <c r="F492" s="6">
        <f>L492*$P492/$O492</f>
        <v>522</v>
      </c>
      <c r="G492" s="6" t="s">
        <v>2</v>
      </c>
      <c r="H492" s="6">
        <f>F492*0.5</f>
        <v>261</v>
      </c>
      <c r="I492" s="6">
        <f>F492*2</f>
        <v>1044</v>
      </c>
      <c r="J492" s="6" t="s">
        <v>78</v>
      </c>
      <c r="K492" s="6"/>
      <c r="L492" s="3">
        <v>522</v>
      </c>
      <c r="M492" s="17"/>
      <c r="N492" s="17"/>
      <c r="O492" s="3">
        <v>2800</v>
      </c>
      <c r="P492" s="17">
        <f t="shared" si="6"/>
        <v>2800</v>
      </c>
      <c r="Q492" s="17" t="s">
        <v>290</v>
      </c>
    </row>
    <row r="493" spans="1:17">
      <c r="A493" s="13" t="s">
        <v>120</v>
      </c>
      <c r="B493" s="23" t="s">
        <v>96</v>
      </c>
      <c r="C493" s="28">
        <f>AVERAGE(D493:E493)</f>
        <v>302.95</v>
      </c>
      <c r="D493" s="28">
        <v>307</v>
      </c>
      <c r="E493" s="28">
        <v>298.89999999999998</v>
      </c>
      <c r="F493" s="6">
        <f>L493*$P493/$O493</f>
        <v>713</v>
      </c>
      <c r="G493" s="6" t="s">
        <v>2</v>
      </c>
      <c r="H493" s="6">
        <f>F493*0.5</f>
        <v>356.5</v>
      </c>
      <c r="I493" s="6">
        <f>F493*2</f>
        <v>1426</v>
      </c>
      <c r="J493" s="6" t="s">
        <v>78</v>
      </c>
      <c r="K493" s="6"/>
      <c r="L493" s="3">
        <v>713</v>
      </c>
      <c r="M493" s="17"/>
      <c r="N493" s="17"/>
      <c r="O493" s="3">
        <v>2800</v>
      </c>
      <c r="P493" s="17">
        <f t="shared" si="6"/>
        <v>2800</v>
      </c>
      <c r="Q493" s="17" t="s">
        <v>290</v>
      </c>
    </row>
    <row r="494" spans="1:17">
      <c r="A494" s="9" t="s">
        <v>111</v>
      </c>
      <c r="B494" s="23" t="s">
        <v>114</v>
      </c>
      <c r="C494" s="28">
        <f>AVERAGE(D494:E494)</f>
        <v>327.04999999999995</v>
      </c>
      <c r="D494" s="28">
        <v>330.9</v>
      </c>
      <c r="E494" s="28">
        <v>323.2</v>
      </c>
      <c r="F494" s="6">
        <f>L494*$P494/$O494</f>
        <v>708</v>
      </c>
      <c r="G494" s="6" t="s">
        <v>2</v>
      </c>
      <c r="H494" s="6">
        <f>F494*0.5</f>
        <v>354</v>
      </c>
      <c r="I494" s="6">
        <f>F494*2</f>
        <v>1416</v>
      </c>
      <c r="J494" s="6" t="s">
        <v>78</v>
      </c>
      <c r="K494" s="6"/>
      <c r="L494" s="3">
        <v>708</v>
      </c>
      <c r="M494" s="17"/>
      <c r="N494" s="17"/>
      <c r="O494" s="3">
        <v>2800</v>
      </c>
      <c r="P494" s="17">
        <f t="shared" si="6"/>
        <v>2800</v>
      </c>
      <c r="Q494" s="17" t="s">
        <v>290</v>
      </c>
    </row>
    <row r="495" spans="1:17">
      <c r="A495" s="9" t="s">
        <v>111</v>
      </c>
      <c r="B495" s="23" t="s">
        <v>114</v>
      </c>
      <c r="C495" s="28">
        <f>AVERAGE(D495:E495)</f>
        <v>327.04999999999995</v>
      </c>
      <c r="D495" s="28">
        <v>330.9</v>
      </c>
      <c r="E495" s="28">
        <v>323.2</v>
      </c>
      <c r="F495" s="6">
        <f>L495*$P495/$O495</f>
        <v>10</v>
      </c>
      <c r="G495" s="6" t="s">
        <v>2</v>
      </c>
      <c r="H495" s="6">
        <f>F495*0.5</f>
        <v>5</v>
      </c>
      <c r="I495" s="6">
        <f>F495*2</f>
        <v>20</v>
      </c>
      <c r="J495" s="6" t="s">
        <v>78</v>
      </c>
      <c r="K495" s="6"/>
      <c r="L495" s="3">
        <v>10</v>
      </c>
      <c r="M495" s="17"/>
      <c r="N495" s="17"/>
      <c r="O495" s="3">
        <v>2800</v>
      </c>
      <c r="P495" s="17">
        <f t="shared" si="6"/>
        <v>2800</v>
      </c>
      <c r="Q495" s="17" t="s">
        <v>290</v>
      </c>
    </row>
    <row r="496" spans="1:17">
      <c r="A496" s="9" t="s">
        <v>111</v>
      </c>
      <c r="B496" s="23" t="s">
        <v>115</v>
      </c>
      <c r="C496" s="28">
        <f>AVERAGE(D496:E496)</f>
        <v>332.6</v>
      </c>
      <c r="D496" s="28">
        <v>346.7</v>
      </c>
      <c r="E496" s="28">
        <v>318.5</v>
      </c>
      <c r="F496" s="6">
        <f>L496*$P496/$O496</f>
        <v>683</v>
      </c>
      <c r="G496" s="6" t="s">
        <v>2</v>
      </c>
      <c r="H496" s="6">
        <f>F496*0.5</f>
        <v>341.5</v>
      </c>
      <c r="I496" s="6">
        <f>F496*2</f>
        <v>1366</v>
      </c>
      <c r="J496" s="6" t="s">
        <v>78</v>
      </c>
      <c r="K496" s="6"/>
      <c r="L496" s="3">
        <v>683</v>
      </c>
      <c r="M496" s="17"/>
      <c r="N496" s="17"/>
      <c r="O496" s="3">
        <v>2800</v>
      </c>
      <c r="P496" s="17">
        <f t="shared" si="6"/>
        <v>2800</v>
      </c>
      <c r="Q496" s="17" t="s">
        <v>290</v>
      </c>
    </row>
    <row r="497" spans="1:17">
      <c r="A497" s="9" t="s">
        <v>111</v>
      </c>
      <c r="B497" s="23" t="s">
        <v>116</v>
      </c>
      <c r="C497" s="28">
        <f>AVERAGE(D497:E497)</f>
        <v>338.79999999999995</v>
      </c>
      <c r="D497" s="28">
        <v>346.7</v>
      </c>
      <c r="E497" s="28">
        <v>330.9</v>
      </c>
      <c r="F497" s="6">
        <f>L497*$P497/$O497</f>
        <v>643</v>
      </c>
      <c r="G497" s="6" t="s">
        <v>2</v>
      </c>
      <c r="H497" s="6">
        <f>F497*0.5</f>
        <v>321.5</v>
      </c>
      <c r="I497" s="6">
        <f>F497*2</f>
        <v>1286</v>
      </c>
      <c r="J497" s="6" t="s">
        <v>78</v>
      </c>
      <c r="K497" s="6"/>
      <c r="L497" s="3">
        <v>643</v>
      </c>
      <c r="M497" s="17"/>
      <c r="N497" s="17"/>
      <c r="O497" s="3">
        <v>2800</v>
      </c>
      <c r="P497" s="17">
        <f t="shared" si="6"/>
        <v>2800</v>
      </c>
      <c r="Q497" s="17" t="s">
        <v>290</v>
      </c>
    </row>
    <row r="498" spans="1:17">
      <c r="A498" s="13" t="s">
        <v>120</v>
      </c>
      <c r="B498" s="24" t="s">
        <v>135</v>
      </c>
      <c r="C498" s="28">
        <f>AVERAGE(D498:E498)</f>
        <v>344.75</v>
      </c>
      <c r="D498" s="28">
        <v>347</v>
      </c>
      <c r="E498" s="28">
        <v>342.5</v>
      </c>
      <c r="F498" s="6">
        <f>L498*$P498/$O498</f>
        <v>749</v>
      </c>
      <c r="G498" s="6" t="s">
        <v>2</v>
      </c>
      <c r="H498" s="6">
        <f>F498*0.5</f>
        <v>374.5</v>
      </c>
      <c r="I498" s="6">
        <f>F498*2</f>
        <v>1498</v>
      </c>
      <c r="J498" s="6" t="s">
        <v>78</v>
      </c>
      <c r="K498" s="6"/>
      <c r="L498" s="3">
        <v>749</v>
      </c>
      <c r="M498" s="17"/>
      <c r="N498" s="17"/>
      <c r="O498" s="3">
        <v>2800</v>
      </c>
      <c r="P498" s="17">
        <f t="shared" si="6"/>
        <v>2800</v>
      </c>
      <c r="Q498" s="17" t="s">
        <v>290</v>
      </c>
    </row>
    <row r="499" spans="1:17">
      <c r="A499" s="9" t="s">
        <v>97</v>
      </c>
      <c r="B499" s="23" t="s">
        <v>98</v>
      </c>
      <c r="C499" s="27">
        <f>AVERAGE(D499:E499)</f>
        <v>344.85</v>
      </c>
      <c r="D499" s="28">
        <v>346.7</v>
      </c>
      <c r="E499" s="28">
        <v>343</v>
      </c>
      <c r="F499" s="6">
        <f>L499*$P499/$O499</f>
        <v>128</v>
      </c>
      <c r="G499" s="6" t="s">
        <v>2</v>
      </c>
      <c r="H499" s="6">
        <f>F499*0.5</f>
        <v>64</v>
      </c>
      <c r="I499" s="6">
        <f>F499*2</f>
        <v>256</v>
      </c>
      <c r="J499" s="6" t="s">
        <v>78</v>
      </c>
      <c r="K499" s="6"/>
      <c r="L499" s="3">
        <v>128</v>
      </c>
      <c r="M499" s="17"/>
      <c r="N499" s="17"/>
      <c r="O499" s="3">
        <v>2800</v>
      </c>
      <c r="P499" s="17">
        <f t="shared" si="6"/>
        <v>2800</v>
      </c>
      <c r="Q499" s="17" t="s">
        <v>290</v>
      </c>
    </row>
    <row r="500" spans="1:17">
      <c r="A500" s="9" t="s">
        <v>111</v>
      </c>
      <c r="B500" s="23" t="s">
        <v>117</v>
      </c>
      <c r="C500" s="28">
        <f>AVERAGE(D500:E500)</f>
        <v>365.54999999999995</v>
      </c>
      <c r="D500" s="28">
        <v>372.2</v>
      </c>
      <c r="E500" s="28">
        <v>358.9</v>
      </c>
      <c r="F500" s="6">
        <f>L500*$P500/$O500</f>
        <v>182</v>
      </c>
      <c r="G500" s="6" t="s">
        <v>2</v>
      </c>
      <c r="H500" s="6">
        <f>F500*0.5</f>
        <v>91</v>
      </c>
      <c r="I500" s="6">
        <f>F500*2</f>
        <v>364</v>
      </c>
      <c r="J500" s="6" t="s">
        <v>78</v>
      </c>
      <c r="K500" s="6"/>
      <c r="L500" s="3">
        <v>182</v>
      </c>
      <c r="M500" s="17"/>
      <c r="N500" s="17"/>
      <c r="O500" s="3">
        <v>2800</v>
      </c>
      <c r="P500" s="17">
        <f t="shared" si="6"/>
        <v>2800</v>
      </c>
      <c r="Q500" s="17" t="s">
        <v>290</v>
      </c>
    </row>
    <row r="501" spans="1:17">
      <c r="A501" s="9" t="s">
        <v>111</v>
      </c>
      <c r="B501" s="23" t="s">
        <v>118</v>
      </c>
      <c r="C501" s="28">
        <f>AVERAGE(D501:E501)</f>
        <v>365.54999999999995</v>
      </c>
      <c r="D501" s="28">
        <v>372.2</v>
      </c>
      <c r="E501" s="28">
        <v>358.9</v>
      </c>
      <c r="F501" s="6">
        <f>L501*$P501/$O501</f>
        <v>616</v>
      </c>
      <c r="G501" s="6" t="s">
        <v>2</v>
      </c>
      <c r="H501" s="6">
        <f>F501*0.5</f>
        <v>308</v>
      </c>
      <c r="I501" s="6">
        <f>F501*2</f>
        <v>1232</v>
      </c>
      <c r="J501" s="6" t="s">
        <v>78</v>
      </c>
      <c r="K501" s="6"/>
      <c r="L501" s="3">
        <v>616</v>
      </c>
      <c r="M501" s="17"/>
      <c r="N501" s="17"/>
      <c r="O501" s="3">
        <v>2800</v>
      </c>
      <c r="P501" s="17">
        <f t="shared" si="6"/>
        <v>2800</v>
      </c>
      <c r="Q501" s="17" t="s">
        <v>290</v>
      </c>
    </row>
    <row r="502" spans="1:17">
      <c r="A502" s="9" t="s">
        <v>141</v>
      </c>
      <c r="B502" s="23" t="s">
        <v>117</v>
      </c>
      <c r="C502" s="28">
        <f>AVERAGE(D502:E502)</f>
        <v>365.54999999999995</v>
      </c>
      <c r="D502" s="28">
        <v>372.2</v>
      </c>
      <c r="E502" s="28">
        <v>358.9</v>
      </c>
      <c r="F502" s="6">
        <f>L502*$P502/$O502</f>
        <v>726</v>
      </c>
      <c r="G502" s="6" t="s">
        <v>2</v>
      </c>
      <c r="H502" s="6">
        <f>F502*0.5</f>
        <v>363</v>
      </c>
      <c r="I502" s="6">
        <f>F502*2</f>
        <v>1452</v>
      </c>
      <c r="J502" s="6" t="s">
        <v>78</v>
      </c>
      <c r="K502" s="6"/>
      <c r="L502" s="3">
        <v>726</v>
      </c>
      <c r="M502" s="17"/>
      <c r="N502" s="17"/>
      <c r="O502" s="3">
        <v>2800</v>
      </c>
      <c r="P502" s="17">
        <f t="shared" si="6"/>
        <v>2800</v>
      </c>
      <c r="Q502" s="17" t="s">
        <v>290</v>
      </c>
    </row>
    <row r="503" spans="1:17">
      <c r="A503" s="9" t="s">
        <v>141</v>
      </c>
      <c r="B503" s="23" t="s">
        <v>117</v>
      </c>
      <c r="C503" s="28">
        <f>AVERAGE(D503:E503)</f>
        <v>365.54999999999995</v>
      </c>
      <c r="D503" s="28">
        <v>372.2</v>
      </c>
      <c r="E503" s="28">
        <v>358.9</v>
      </c>
      <c r="F503" s="6">
        <f>L503*$P503/$O503</f>
        <v>219</v>
      </c>
      <c r="G503" s="6" t="s">
        <v>2</v>
      </c>
      <c r="H503" s="6">
        <f>F503*0.5</f>
        <v>109.5</v>
      </c>
      <c r="I503" s="6">
        <f>F503*2</f>
        <v>438</v>
      </c>
      <c r="J503" s="6" t="s">
        <v>78</v>
      </c>
      <c r="K503" s="6"/>
      <c r="L503" s="3">
        <v>219</v>
      </c>
      <c r="M503" s="17"/>
      <c r="N503" s="17"/>
      <c r="O503" s="3">
        <v>2800</v>
      </c>
      <c r="P503" s="17">
        <f t="shared" si="6"/>
        <v>2800</v>
      </c>
      <c r="Q503" s="17" t="s">
        <v>290</v>
      </c>
    </row>
    <row r="504" spans="1:17">
      <c r="A504" s="11" t="s">
        <v>145</v>
      </c>
      <c r="B504" s="17" t="s">
        <v>146</v>
      </c>
      <c r="C504" s="28">
        <f>AVERAGE(D504:E504)</f>
        <v>377.45</v>
      </c>
      <c r="D504" s="28">
        <v>382.7</v>
      </c>
      <c r="E504" s="28">
        <v>372.2</v>
      </c>
      <c r="F504" s="6">
        <f>L504*$P504/$O504</f>
        <v>420</v>
      </c>
      <c r="G504" s="6" t="s">
        <v>2</v>
      </c>
      <c r="H504" s="6">
        <f>F504*0.5</f>
        <v>210</v>
      </c>
      <c r="I504" s="6">
        <f>F504*2</f>
        <v>840</v>
      </c>
      <c r="J504" s="6" t="s">
        <v>78</v>
      </c>
      <c r="K504" s="6"/>
      <c r="L504" s="3">
        <v>420</v>
      </c>
      <c r="M504" s="17"/>
      <c r="N504" s="17"/>
      <c r="O504" s="3">
        <v>2800</v>
      </c>
      <c r="P504" s="17">
        <f t="shared" si="6"/>
        <v>2800</v>
      </c>
      <c r="Q504" s="17" t="s">
        <v>290</v>
      </c>
    </row>
    <row r="505" spans="1:17">
      <c r="A505" s="11" t="s">
        <v>145</v>
      </c>
      <c r="B505" s="17" t="s">
        <v>147</v>
      </c>
      <c r="C505" s="28">
        <f>AVERAGE(D505:E505)</f>
        <v>385.2</v>
      </c>
      <c r="D505" s="28">
        <v>387.7</v>
      </c>
      <c r="E505" s="28">
        <v>382.7</v>
      </c>
      <c r="F505" s="6">
        <f>L505*$P505/$O505</f>
        <v>1080</v>
      </c>
      <c r="G505" s="6" t="s">
        <v>2</v>
      </c>
      <c r="H505" s="6">
        <f>F505*0.5</f>
        <v>540</v>
      </c>
      <c r="I505" s="6">
        <f>F505*2</f>
        <v>2160</v>
      </c>
      <c r="J505" s="6" t="s">
        <v>78</v>
      </c>
      <c r="K505" s="6"/>
      <c r="L505" s="3">
        <v>1080</v>
      </c>
      <c r="M505" s="17"/>
      <c r="N505" s="17"/>
      <c r="O505" s="3">
        <v>2000</v>
      </c>
      <c r="P505" s="17">
        <f t="shared" si="6"/>
        <v>2000</v>
      </c>
      <c r="Q505" s="17" t="s">
        <v>291</v>
      </c>
    </row>
    <row r="506" spans="1:17">
      <c r="A506" s="13" t="s">
        <v>120</v>
      </c>
      <c r="B506" s="24" t="s">
        <v>136</v>
      </c>
      <c r="C506" s="28">
        <f>AVERAGE(D506:E506)</f>
        <v>388</v>
      </c>
      <c r="D506" s="28">
        <v>393.3</v>
      </c>
      <c r="E506" s="28">
        <v>382.7</v>
      </c>
      <c r="F506" s="6">
        <f>L506*$P506/$O506</f>
        <v>777</v>
      </c>
      <c r="G506" s="6" t="s">
        <v>2</v>
      </c>
      <c r="H506" s="6">
        <f>F506*0.5</f>
        <v>388.5</v>
      </c>
      <c r="I506" s="6">
        <f>F506*2</f>
        <v>1554</v>
      </c>
      <c r="J506" s="6" t="s">
        <v>78</v>
      </c>
      <c r="K506" s="6"/>
      <c r="L506" s="3">
        <v>777</v>
      </c>
      <c r="M506" s="17"/>
      <c r="N506" s="17"/>
      <c r="O506" s="3">
        <v>2000</v>
      </c>
      <c r="P506" s="17">
        <f t="shared" si="6"/>
        <v>2000</v>
      </c>
      <c r="Q506" s="17" t="s">
        <v>291</v>
      </c>
    </row>
    <row r="507" spans="1:17">
      <c r="A507" s="9" t="s">
        <v>141</v>
      </c>
      <c r="B507" s="23" t="s">
        <v>143</v>
      </c>
      <c r="C507" s="28">
        <f>AVERAGE(D507:E507)</f>
        <v>402.55</v>
      </c>
      <c r="D507" s="28">
        <v>407.6</v>
      </c>
      <c r="E507" s="28">
        <v>397.5</v>
      </c>
      <c r="F507" s="6">
        <f>L507*$P507/$O507</f>
        <v>665</v>
      </c>
      <c r="G507" s="6" t="s">
        <v>2</v>
      </c>
      <c r="H507" s="6">
        <f>F507*0.5</f>
        <v>332.5</v>
      </c>
      <c r="I507" s="6">
        <f>F507*2</f>
        <v>1330</v>
      </c>
      <c r="J507" s="6" t="s">
        <v>78</v>
      </c>
      <c r="K507" s="6"/>
      <c r="L507" s="3">
        <v>665</v>
      </c>
      <c r="M507" s="17"/>
      <c r="N507" s="17"/>
      <c r="O507" s="3">
        <v>2000</v>
      </c>
      <c r="P507" s="17">
        <f t="shared" si="6"/>
        <v>2000</v>
      </c>
      <c r="Q507" s="17" t="s">
        <v>291</v>
      </c>
    </row>
    <row r="508" spans="1:17">
      <c r="A508" s="9" t="s">
        <v>141</v>
      </c>
      <c r="B508" s="23" t="s">
        <v>144</v>
      </c>
      <c r="C508" s="28">
        <f>AVERAGE(D508:E508)</f>
        <v>421.1</v>
      </c>
      <c r="D508" s="28">
        <v>423</v>
      </c>
      <c r="E508" s="28">
        <v>419.2</v>
      </c>
      <c r="F508" s="6">
        <f>L508*$P508/$O508</f>
        <v>529</v>
      </c>
      <c r="G508" s="6" t="s">
        <v>2</v>
      </c>
      <c r="H508" s="6">
        <f>F508*0.5</f>
        <v>264.5</v>
      </c>
      <c r="I508" s="6">
        <f>F508*2</f>
        <v>1058</v>
      </c>
      <c r="J508" s="6" t="s">
        <v>78</v>
      </c>
      <c r="K508" s="6"/>
      <c r="L508" s="3">
        <v>529</v>
      </c>
      <c r="M508" s="17"/>
      <c r="N508" s="17"/>
      <c r="O508" s="3">
        <v>2000</v>
      </c>
      <c r="P508" s="17">
        <f t="shared" si="6"/>
        <v>2000</v>
      </c>
      <c r="Q508" s="17" t="s">
        <v>291</v>
      </c>
    </row>
    <row r="509" spans="1:17">
      <c r="A509" s="9" t="s">
        <v>111</v>
      </c>
      <c r="B509" s="23" t="s">
        <v>119</v>
      </c>
      <c r="C509" s="28">
        <f>AVERAGE(D509:E509)</f>
        <v>423.29999999999995</v>
      </c>
      <c r="D509" s="28">
        <v>427.4</v>
      </c>
      <c r="E509" s="28">
        <v>419.2</v>
      </c>
      <c r="F509" s="6">
        <f>L509*$P509/$O509</f>
        <v>1220</v>
      </c>
      <c r="G509" s="6" t="s">
        <v>2</v>
      </c>
      <c r="H509" s="6">
        <f>F509*0.5</f>
        <v>610</v>
      </c>
      <c r="I509" s="6">
        <f>F509*2</f>
        <v>2440</v>
      </c>
      <c r="J509" s="6" t="s">
        <v>78</v>
      </c>
      <c r="K509" s="6"/>
      <c r="L509" s="3">
        <v>1220</v>
      </c>
      <c r="M509" s="17"/>
      <c r="N509" s="17"/>
      <c r="O509" s="3">
        <v>2000</v>
      </c>
      <c r="P509" s="17">
        <f t="shared" si="6"/>
        <v>2000</v>
      </c>
      <c r="Q509" s="17" t="s">
        <v>291</v>
      </c>
    </row>
    <row r="510" spans="1:17">
      <c r="A510" s="2" t="s">
        <v>0</v>
      </c>
      <c r="B510" s="3" t="s">
        <v>1</v>
      </c>
      <c r="C510" s="5" t="e">
        <f>68.1+Q488</f>
        <v>#VALUE!</v>
      </c>
      <c r="D510" s="16" t="e">
        <f>C510+1</f>
        <v>#VALUE!</v>
      </c>
      <c r="E510" s="16" t="e">
        <f>C510-1</f>
        <v>#VALUE!</v>
      </c>
      <c r="F510" s="6">
        <f>L510*$P510/$O510</f>
        <v>1025</v>
      </c>
      <c r="G510" s="6" t="s">
        <v>2</v>
      </c>
      <c r="H510" s="6">
        <f>F510*0.5</f>
        <v>512.5</v>
      </c>
      <c r="I510" s="6">
        <f>F510*2</f>
        <v>2050</v>
      </c>
      <c r="J510" s="6" t="s">
        <v>78</v>
      </c>
      <c r="K510" s="6"/>
      <c r="L510" s="3">
        <v>1025</v>
      </c>
      <c r="M510" s="17"/>
      <c r="N510" s="17"/>
      <c r="O510" s="3">
        <v>2800</v>
      </c>
      <c r="P510" s="17">
        <f t="shared" si="6"/>
        <v>2800</v>
      </c>
      <c r="Q510" s="17" t="s">
        <v>290</v>
      </c>
    </row>
    <row r="511" spans="1:17">
      <c r="A511" s="2" t="s">
        <v>0</v>
      </c>
      <c r="B511" s="3" t="s">
        <v>1</v>
      </c>
      <c r="C511" s="5" t="e">
        <f>68.25+Q488</f>
        <v>#VALUE!</v>
      </c>
      <c r="D511" s="16" t="e">
        <f>C511+1</f>
        <v>#VALUE!</v>
      </c>
      <c r="E511" s="16" t="e">
        <f>C511-1</f>
        <v>#VALUE!</v>
      </c>
      <c r="F511" s="6">
        <f>L511*$P511/$O511</f>
        <v>1406</v>
      </c>
      <c r="G511" s="6" t="s">
        <v>2</v>
      </c>
      <c r="H511" s="6">
        <f>F511*0.5</f>
        <v>703</v>
      </c>
      <c r="I511" s="6">
        <f>F511*2</f>
        <v>2812</v>
      </c>
      <c r="J511" s="6" t="s">
        <v>78</v>
      </c>
      <c r="K511" s="6"/>
      <c r="L511" s="3">
        <v>1406</v>
      </c>
      <c r="M511" s="17"/>
      <c r="N511" s="17"/>
      <c r="O511" s="3">
        <v>2800</v>
      </c>
      <c r="P511" s="17">
        <f t="shared" si="6"/>
        <v>2800</v>
      </c>
      <c r="Q511" s="17" t="s">
        <v>290</v>
      </c>
    </row>
    <row r="512" spans="1:17">
      <c r="A512" s="2" t="s">
        <v>0</v>
      </c>
      <c r="B512" s="3" t="s">
        <v>1</v>
      </c>
      <c r="C512" s="5" t="e">
        <f>68.37+Q488</f>
        <v>#VALUE!</v>
      </c>
      <c r="D512" s="16" t="e">
        <f>C512+1</f>
        <v>#VALUE!</v>
      </c>
      <c r="E512" s="16" t="e">
        <f>C512-1</f>
        <v>#VALUE!</v>
      </c>
      <c r="F512" s="6">
        <f>L512*$P512/$O512</f>
        <v>1063</v>
      </c>
      <c r="G512" s="6" t="s">
        <v>2</v>
      </c>
      <c r="H512" s="6">
        <f>F512*0.5</f>
        <v>531.5</v>
      </c>
      <c r="I512" s="6">
        <f>F512*2</f>
        <v>2126</v>
      </c>
      <c r="J512" s="6" t="s">
        <v>78</v>
      </c>
      <c r="K512" s="6"/>
      <c r="L512" s="3">
        <v>1063</v>
      </c>
      <c r="M512" s="17"/>
      <c r="N512" s="17"/>
      <c r="O512" s="3">
        <v>2800</v>
      </c>
      <c r="P512" s="17">
        <f t="shared" si="6"/>
        <v>2800</v>
      </c>
      <c r="Q512" s="17" t="s">
        <v>290</v>
      </c>
    </row>
    <row r="513" spans="1:17">
      <c r="A513" s="2" t="s">
        <v>0</v>
      </c>
      <c r="B513" s="3" t="s">
        <v>1</v>
      </c>
      <c r="C513" s="5" t="e">
        <f>68.53+Q488</f>
        <v>#VALUE!</v>
      </c>
      <c r="D513" s="16" t="e">
        <f>C513+1</f>
        <v>#VALUE!</v>
      </c>
      <c r="E513" s="16" t="e">
        <f>C513-1</f>
        <v>#VALUE!</v>
      </c>
      <c r="F513" s="6">
        <f>L513*$P513/$O513</f>
        <v>1869</v>
      </c>
      <c r="G513" s="6" t="s">
        <v>2</v>
      </c>
      <c r="H513" s="6">
        <f>F513*0.5</f>
        <v>934.5</v>
      </c>
      <c r="I513" s="6">
        <f>F513*2</f>
        <v>3738</v>
      </c>
      <c r="J513" s="6" t="s">
        <v>78</v>
      </c>
      <c r="K513" s="6"/>
      <c r="L513" s="3">
        <v>1869</v>
      </c>
      <c r="M513" s="17"/>
      <c r="N513" s="17"/>
      <c r="O513" s="3">
        <v>2800</v>
      </c>
      <c r="P513" s="17">
        <f t="shared" ref="P513:P517" si="7">O513</f>
        <v>2800</v>
      </c>
      <c r="Q513" s="17" t="s">
        <v>290</v>
      </c>
    </row>
    <row r="514" spans="1:17">
      <c r="A514" s="2" t="s">
        <v>0</v>
      </c>
      <c r="B514" s="3" t="s">
        <v>1</v>
      </c>
      <c r="C514" s="5" t="e">
        <f>68.69+Q488</f>
        <v>#VALUE!</v>
      </c>
      <c r="D514" s="16" t="e">
        <f>C514+1</f>
        <v>#VALUE!</v>
      </c>
      <c r="E514" s="16" t="e">
        <f>C514-1</f>
        <v>#VALUE!</v>
      </c>
      <c r="F514" s="6">
        <f>L514*$P514/$O514</f>
        <v>904</v>
      </c>
      <c r="G514" s="6" t="s">
        <v>2</v>
      </c>
      <c r="H514" s="6">
        <f>F514*0.5</f>
        <v>452</v>
      </c>
      <c r="I514" s="6">
        <f>F514*2</f>
        <v>1808</v>
      </c>
      <c r="J514" s="6" t="s">
        <v>78</v>
      </c>
      <c r="K514" s="6"/>
      <c r="L514" s="3">
        <v>904</v>
      </c>
      <c r="M514" s="17"/>
      <c r="N514" s="17"/>
      <c r="O514" s="3">
        <v>2000</v>
      </c>
      <c r="P514" s="17">
        <f t="shared" si="7"/>
        <v>2000</v>
      </c>
      <c r="Q514" s="17" t="s">
        <v>291</v>
      </c>
    </row>
    <row r="515" spans="1:17">
      <c r="A515" s="2" t="s">
        <v>0</v>
      </c>
      <c r="B515" s="3" t="s">
        <v>1</v>
      </c>
      <c r="C515" s="5" t="e">
        <f>68.88+Q488</f>
        <v>#VALUE!</v>
      </c>
      <c r="D515" s="16" t="e">
        <f>C515+1</f>
        <v>#VALUE!</v>
      </c>
      <c r="E515" s="16" t="e">
        <f>C515-1</f>
        <v>#VALUE!</v>
      </c>
      <c r="F515" s="6">
        <f>L515*$P515/$O515</f>
        <v>1179</v>
      </c>
      <c r="G515" s="6" t="s">
        <v>2</v>
      </c>
      <c r="H515" s="6">
        <f>F515*0.5</f>
        <v>589.5</v>
      </c>
      <c r="I515" s="6">
        <f>F515*2</f>
        <v>2358</v>
      </c>
      <c r="J515" s="6" t="s">
        <v>78</v>
      </c>
      <c r="K515" s="6"/>
      <c r="L515" s="3">
        <v>1179</v>
      </c>
      <c r="M515" s="17"/>
      <c r="N515" s="17"/>
      <c r="O515" s="3">
        <v>2000</v>
      </c>
      <c r="P515" s="17">
        <f t="shared" si="7"/>
        <v>2000</v>
      </c>
      <c r="Q515" s="17" t="s">
        <v>291</v>
      </c>
    </row>
    <row r="516" spans="1:17">
      <c r="A516" s="2" t="s">
        <v>0</v>
      </c>
      <c r="B516" s="3" t="s">
        <v>1</v>
      </c>
      <c r="C516" s="5" t="e">
        <f>69+Q488</f>
        <v>#VALUE!</v>
      </c>
      <c r="D516" s="16" t="e">
        <f>C516+1</f>
        <v>#VALUE!</v>
      </c>
      <c r="E516" s="16" t="e">
        <f>C516-1</f>
        <v>#VALUE!</v>
      </c>
      <c r="F516" s="6">
        <f>L516*$P516/$O516</f>
        <v>964</v>
      </c>
      <c r="G516" s="6" t="s">
        <v>2</v>
      </c>
      <c r="H516" s="6">
        <f>F516*0.5</f>
        <v>482</v>
      </c>
      <c r="I516" s="6">
        <f>F516*2</f>
        <v>1928</v>
      </c>
      <c r="J516" s="6" t="s">
        <v>78</v>
      </c>
      <c r="K516" s="6"/>
      <c r="L516" s="3">
        <v>964</v>
      </c>
      <c r="M516" s="17"/>
      <c r="N516" s="17"/>
      <c r="O516" s="3">
        <v>2000</v>
      </c>
      <c r="P516" s="17">
        <f t="shared" si="7"/>
        <v>2000</v>
      </c>
      <c r="Q516" s="17" t="s">
        <v>291</v>
      </c>
    </row>
    <row r="517" spans="1:17">
      <c r="A517" s="2" t="s">
        <v>0</v>
      </c>
      <c r="B517" s="3" t="s">
        <v>1</v>
      </c>
      <c r="C517" s="5" t="e">
        <f>69.06+Q488</f>
        <v>#VALUE!</v>
      </c>
      <c r="D517" s="16" t="e">
        <f>C517+1</f>
        <v>#VALUE!</v>
      </c>
      <c r="E517" s="16" t="e">
        <f>C517-1</f>
        <v>#VALUE!</v>
      </c>
      <c r="F517" s="6">
        <f>L517*$P517/$O517</f>
        <v>1978</v>
      </c>
      <c r="G517" s="6" t="s">
        <v>2</v>
      </c>
      <c r="H517" s="6">
        <f>F517*0.5</f>
        <v>989</v>
      </c>
      <c r="I517" s="6">
        <f>F517*2</f>
        <v>3956</v>
      </c>
      <c r="J517" s="6" t="s">
        <v>78</v>
      </c>
      <c r="K517" s="6"/>
      <c r="L517" s="3">
        <v>1978</v>
      </c>
      <c r="M517" s="17"/>
      <c r="N517" s="17"/>
      <c r="O517" s="3">
        <v>2000</v>
      </c>
      <c r="P517" s="17">
        <f t="shared" si="7"/>
        <v>2000</v>
      </c>
      <c r="Q517" s="17" t="s">
        <v>291</v>
      </c>
    </row>
    <row r="518" spans="1:17">
      <c r="A518" s="2" t="s">
        <v>0</v>
      </c>
      <c r="B518" s="3" t="s">
        <v>1</v>
      </c>
      <c r="C518" s="5" t="e">
        <f>69.2+Q488</f>
        <v>#VALUE!</v>
      </c>
      <c r="D518" s="16" t="e">
        <f>C518+1</f>
        <v>#VALUE!</v>
      </c>
      <c r="E518" s="16" t="e">
        <f>C518-1</f>
        <v>#VALUE!</v>
      </c>
      <c r="F518" s="6">
        <f>L518*$P518/$O518</f>
        <v>1626.42</v>
      </c>
      <c r="G518" s="6" t="s">
        <v>2</v>
      </c>
      <c r="H518" s="6">
        <f>F518*0.5</f>
        <v>813.21</v>
      </c>
      <c r="I518" s="6">
        <f>F518*2</f>
        <v>3252.84</v>
      </c>
      <c r="J518" s="6" t="s">
        <v>78</v>
      </c>
      <c r="K518" s="6"/>
      <c r="L518" s="6">
        <v>2439.63</v>
      </c>
      <c r="M518" s="18">
        <f>L518-813.21</f>
        <v>1626.42</v>
      </c>
      <c r="N518" s="18">
        <f>L518+813.21</f>
        <v>3252.84</v>
      </c>
      <c r="O518" s="17">
        <v>3000</v>
      </c>
      <c r="P518" s="18">
        <f>35.3*40+588</f>
        <v>2000</v>
      </c>
      <c r="Q518" s="18" t="s">
        <v>293</v>
      </c>
    </row>
    <row r="519" spans="1:17">
      <c r="A519" s="2" t="s">
        <v>0</v>
      </c>
      <c r="B519" s="3" t="s">
        <v>1</v>
      </c>
      <c r="C519" s="5" t="e">
        <f>69.33+Q488</f>
        <v>#VALUE!</v>
      </c>
      <c r="D519" s="16" t="e">
        <f>C519+1</f>
        <v>#VALUE!</v>
      </c>
      <c r="E519" s="16" t="e">
        <f>C519-1</f>
        <v>#VALUE!</v>
      </c>
      <c r="F519" s="6">
        <f>L519*$P519/$O519</f>
        <v>1233.5466666666666</v>
      </c>
      <c r="G519" s="6" t="s">
        <v>2</v>
      </c>
      <c r="H519" s="6">
        <f>F519*0.5</f>
        <v>616.77333333333331</v>
      </c>
      <c r="I519" s="6">
        <f>F519*2</f>
        <v>2467.0933333333332</v>
      </c>
      <c r="J519" s="6" t="s">
        <v>78</v>
      </c>
      <c r="K519" s="6"/>
      <c r="L519" s="18">
        <v>1850.32</v>
      </c>
      <c r="M519" s="18">
        <f>L519-616.77</f>
        <v>1233.55</v>
      </c>
      <c r="N519" s="18">
        <f>L519+616.77</f>
        <v>2467.09</v>
      </c>
      <c r="O519" s="17">
        <v>3000</v>
      </c>
      <c r="P519" s="18">
        <f t="shared" ref="P519:P522" si="8">35.3*40+588</f>
        <v>2000</v>
      </c>
      <c r="Q519" s="17" t="s">
        <v>293</v>
      </c>
    </row>
    <row r="520" spans="1:17">
      <c r="A520" s="2" t="s">
        <v>0</v>
      </c>
      <c r="B520" s="3" t="s">
        <v>1</v>
      </c>
      <c r="C520" s="5" t="e">
        <f>69.49+Q488</f>
        <v>#VALUE!</v>
      </c>
      <c r="D520" s="16" t="e">
        <f>C520+1</f>
        <v>#VALUE!</v>
      </c>
      <c r="E520" s="16" t="e">
        <f>C520-1</f>
        <v>#VALUE!</v>
      </c>
      <c r="F520" s="6">
        <f>L520*$P520/$O520</f>
        <v>1293.6933333333334</v>
      </c>
      <c r="G520" s="6" t="s">
        <v>2</v>
      </c>
      <c r="H520" s="6">
        <f>F520*0.5</f>
        <v>646.84666666666669</v>
      </c>
      <c r="I520" s="6">
        <f>F520*2</f>
        <v>2587.3866666666668</v>
      </c>
      <c r="J520" s="6" t="s">
        <v>78</v>
      </c>
      <c r="K520" s="6"/>
      <c r="L520" s="18">
        <v>1940.54</v>
      </c>
      <c r="M520" s="18">
        <f>L520-646.85</f>
        <v>1293.69</v>
      </c>
      <c r="N520" s="18">
        <f>L520+646.85</f>
        <v>2587.39</v>
      </c>
      <c r="O520" s="17">
        <v>3000</v>
      </c>
      <c r="P520" s="18">
        <f t="shared" si="8"/>
        <v>2000</v>
      </c>
      <c r="Q520" s="17" t="s">
        <v>293</v>
      </c>
    </row>
    <row r="521" spans="1:17">
      <c r="A521" s="2" t="s">
        <v>0</v>
      </c>
      <c r="B521" s="3" t="s">
        <v>1</v>
      </c>
      <c r="C521" s="5" t="e">
        <f>70.35+Q488</f>
        <v>#VALUE!</v>
      </c>
      <c r="D521" s="16" t="e">
        <f>C521+1</f>
        <v>#VALUE!</v>
      </c>
      <c r="E521" s="16" t="e">
        <f>C521-1</f>
        <v>#VALUE!</v>
      </c>
      <c r="F521" s="6">
        <f>L521*$P521/$O521</f>
        <v>748.82</v>
      </c>
      <c r="G521" s="6" t="s">
        <v>2</v>
      </c>
      <c r="H521" s="6">
        <f>F521*0.5</f>
        <v>374.41</v>
      </c>
      <c r="I521" s="6">
        <f>F521*2</f>
        <v>1497.64</v>
      </c>
      <c r="J521" s="6" t="s">
        <v>78</v>
      </c>
      <c r="K521" s="6"/>
      <c r="L521" s="18">
        <v>1123.23</v>
      </c>
      <c r="M521" s="18">
        <f>L521-374.41</f>
        <v>748.81999999999994</v>
      </c>
      <c r="N521" s="18">
        <f>L521+374.41</f>
        <v>1497.64</v>
      </c>
      <c r="O521" s="17">
        <v>3000</v>
      </c>
      <c r="P521" s="18">
        <f t="shared" si="8"/>
        <v>2000</v>
      </c>
      <c r="Q521" s="17" t="s">
        <v>293</v>
      </c>
    </row>
    <row r="522" spans="1:17">
      <c r="A522" s="2" t="s">
        <v>0</v>
      </c>
      <c r="B522" s="3" t="s">
        <v>1</v>
      </c>
      <c r="C522" s="5" t="e">
        <f>70.45+Q488</f>
        <v>#VALUE!</v>
      </c>
      <c r="D522" s="16" t="e">
        <f>C522+1</f>
        <v>#VALUE!</v>
      </c>
      <c r="E522" s="16" t="e">
        <f>C522-1</f>
        <v>#VALUE!</v>
      </c>
      <c r="F522" s="6">
        <f>L522*$P522/$O522</f>
        <v>786.36</v>
      </c>
      <c r="G522" s="6" t="s">
        <v>2</v>
      </c>
      <c r="H522" s="6">
        <f>F522*0.5</f>
        <v>393.18</v>
      </c>
      <c r="I522" s="6">
        <f>F522*2</f>
        <v>1572.72</v>
      </c>
      <c r="J522" s="6" t="s">
        <v>78</v>
      </c>
      <c r="K522" s="6"/>
      <c r="L522" s="18">
        <v>1179.54</v>
      </c>
      <c r="M522" s="18">
        <f>L522-393.18</f>
        <v>786.3599999999999</v>
      </c>
      <c r="N522" s="18">
        <f>L522+393.18</f>
        <v>1572.72</v>
      </c>
      <c r="O522" s="17">
        <v>3000</v>
      </c>
      <c r="P522" s="18">
        <f t="shared" si="8"/>
        <v>2000</v>
      </c>
      <c r="Q522" s="17" t="s">
        <v>293</v>
      </c>
    </row>
    <row r="523" spans="1:17">
      <c r="A523" s="2" t="s">
        <v>0</v>
      </c>
      <c r="B523" s="3" t="s">
        <v>1</v>
      </c>
      <c r="C523" s="5" t="e">
        <f>70.6+Q488</f>
        <v>#VALUE!</v>
      </c>
      <c r="D523" s="16" t="e">
        <f>C523+1</f>
        <v>#VALUE!</v>
      </c>
      <c r="E523" s="16" t="e">
        <f>C523-1</f>
        <v>#VALUE!</v>
      </c>
      <c r="F523" s="6">
        <f>L523*$P523/$O523</f>
        <v>399.28</v>
      </c>
      <c r="G523" s="6" t="s">
        <v>2</v>
      </c>
      <c r="H523" s="6">
        <f>F523*0.5</f>
        <v>199.64</v>
      </c>
      <c r="I523" s="6">
        <f>F523*2</f>
        <v>798.56</v>
      </c>
      <c r="J523" s="6" t="s">
        <v>78</v>
      </c>
      <c r="K523" s="6"/>
      <c r="L523" s="18">
        <v>434</v>
      </c>
      <c r="M523" s="18">
        <f>L523-296</f>
        <v>138</v>
      </c>
      <c r="N523" s="18">
        <f>L523+296</f>
        <v>730</v>
      </c>
      <c r="O523" s="17">
        <v>2500</v>
      </c>
      <c r="P523" s="18">
        <v>2300</v>
      </c>
      <c r="Q523" s="17" t="s">
        <v>295</v>
      </c>
    </row>
  </sheetData>
  <sortState xmlns:xlrd2="http://schemas.microsoft.com/office/spreadsheetml/2017/richdata2" ref="A3:J524">
    <sortCondition ref="C1:C52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7ECA-3702-4355-80A2-AC1963238D87}">
  <dimension ref="A1:Q19"/>
  <sheetViews>
    <sheetView tabSelected="1" workbookViewId="0">
      <selection activeCell="L29" sqref="L29"/>
    </sheetView>
  </sheetViews>
  <sheetFormatPr defaultRowHeight="14"/>
  <sheetData>
    <row r="1" spans="1:17" ht="15">
      <c r="A1" s="19" t="s">
        <v>74</v>
      </c>
      <c r="B1" s="15"/>
      <c r="C1" s="8" t="s">
        <v>297</v>
      </c>
      <c r="D1" s="8" t="s">
        <v>298</v>
      </c>
      <c r="E1" s="8" t="s">
        <v>299</v>
      </c>
      <c r="F1" s="8" t="s">
        <v>296</v>
      </c>
      <c r="G1" s="26"/>
      <c r="H1" s="26" t="s">
        <v>300</v>
      </c>
      <c r="I1" s="26" t="s">
        <v>301</v>
      </c>
      <c r="J1" s="26"/>
      <c r="K1" s="26"/>
      <c r="L1" s="22" t="s">
        <v>75</v>
      </c>
      <c r="M1" s="22" t="s">
        <v>75</v>
      </c>
      <c r="N1" s="22" t="s">
        <v>75</v>
      </c>
      <c r="O1" s="22" t="s">
        <v>75</v>
      </c>
      <c r="P1" s="26"/>
      <c r="Q1" s="26"/>
    </row>
    <row r="2" spans="1:17">
      <c r="A2" s="11" t="s">
        <v>153</v>
      </c>
      <c r="B2" s="17" t="s">
        <v>154</v>
      </c>
      <c r="C2" s="28">
        <f>AVERAGE(D2:E2)</f>
        <v>130.10000000000002</v>
      </c>
      <c r="D2" s="27">
        <v>130.80000000000001</v>
      </c>
      <c r="E2" s="27">
        <v>129.4</v>
      </c>
      <c r="F2" s="6">
        <f>L2*$P2/$O2</f>
        <v>1171</v>
      </c>
      <c r="G2" s="6" t="s">
        <v>2</v>
      </c>
      <c r="H2" s="6">
        <f>F2*0.5</f>
        <v>585.5</v>
      </c>
      <c r="I2" s="6">
        <f>F2*2</f>
        <v>2342</v>
      </c>
      <c r="J2" s="6" t="s">
        <v>78</v>
      </c>
      <c r="K2" s="6"/>
      <c r="L2" s="3">
        <v>2342</v>
      </c>
      <c r="M2" s="3">
        <f t="shared" ref="M2:M19" si="0">L2-500</f>
        <v>1842</v>
      </c>
      <c r="N2" s="3">
        <f t="shared" ref="N2:N19" si="1">L2+500</f>
        <v>2842</v>
      </c>
      <c r="O2" s="3">
        <v>4000</v>
      </c>
      <c r="P2" s="6">
        <v>2000</v>
      </c>
      <c r="Q2" s="17" t="s">
        <v>182</v>
      </c>
    </row>
    <row r="3" spans="1:17">
      <c r="A3" s="10" t="s">
        <v>61</v>
      </c>
      <c r="B3" s="17" t="s">
        <v>53</v>
      </c>
      <c r="C3" s="5">
        <v>130.19999999999999</v>
      </c>
      <c r="D3" s="27"/>
      <c r="E3" s="27"/>
      <c r="F3" s="6">
        <f>L3*$P3/$O3</f>
        <v>273.335226443929</v>
      </c>
      <c r="G3" s="6" t="s">
        <v>2</v>
      </c>
      <c r="H3" s="6">
        <f>F3*0.5</f>
        <v>136.6676132219645</v>
      </c>
      <c r="I3" s="6">
        <f>F3*2</f>
        <v>546.670452887858</v>
      </c>
      <c r="J3" s="6" t="s">
        <v>193</v>
      </c>
      <c r="K3" s="6"/>
      <c r="L3" s="17">
        <v>433</v>
      </c>
      <c r="M3" s="17">
        <v>305</v>
      </c>
      <c r="N3" s="17">
        <v>561</v>
      </c>
      <c r="O3" s="6">
        <v>2967</v>
      </c>
      <c r="P3" s="6">
        <v>1872.9459973652135</v>
      </c>
      <c r="Q3" s="17" t="s">
        <v>185</v>
      </c>
    </row>
    <row r="4" spans="1:17">
      <c r="A4" s="10" t="s">
        <v>61</v>
      </c>
      <c r="B4" s="17" t="s">
        <v>53</v>
      </c>
      <c r="C4" s="5">
        <v>130.80000000000001</v>
      </c>
      <c r="D4" s="27"/>
      <c r="E4" s="27"/>
      <c r="F4" s="6">
        <f>L4*$P4/$O4</f>
        <v>369.90090588449556</v>
      </c>
      <c r="G4" s="6" t="s">
        <v>2</v>
      </c>
      <c r="H4" s="6">
        <f>F4*0.5</f>
        <v>184.95045294224778</v>
      </c>
      <c r="I4" s="6">
        <f>F4*2</f>
        <v>739.80181176899112</v>
      </c>
      <c r="J4" s="6" t="s">
        <v>193</v>
      </c>
      <c r="K4" s="6"/>
      <c r="L4" s="17">
        <v>519</v>
      </c>
      <c r="M4" s="17">
        <v>262</v>
      </c>
      <c r="N4" s="17">
        <v>776</v>
      </c>
      <c r="O4" s="17">
        <v>1728</v>
      </c>
      <c r="P4" s="6">
        <v>1231.5775825980893</v>
      </c>
      <c r="Q4" s="17" t="s">
        <v>185</v>
      </c>
    </row>
    <row r="5" spans="1:17">
      <c r="A5" s="10" t="s">
        <v>61</v>
      </c>
      <c r="B5" s="17" t="s">
        <v>53</v>
      </c>
      <c r="C5" s="5">
        <v>131.30000000000001</v>
      </c>
      <c r="D5" s="27"/>
      <c r="E5" s="27"/>
      <c r="F5" s="6">
        <f>L5*$P5/$O5</f>
        <v>189.80030985598745</v>
      </c>
      <c r="G5" s="6" t="s">
        <v>2</v>
      </c>
      <c r="H5" s="6">
        <f>F5*0.5</f>
        <v>94.900154927993725</v>
      </c>
      <c r="I5" s="6">
        <f>F5*2</f>
        <v>379.6006197119749</v>
      </c>
      <c r="J5" s="6" t="s">
        <v>193</v>
      </c>
      <c r="K5" s="6"/>
      <c r="L5" s="17">
        <v>310</v>
      </c>
      <c r="M5" s="17">
        <v>233</v>
      </c>
      <c r="N5" s="17">
        <v>387</v>
      </c>
      <c r="O5" s="17">
        <v>3564</v>
      </c>
      <c r="P5" s="6">
        <v>2182.0913042798043</v>
      </c>
      <c r="Q5" s="17" t="s">
        <v>185</v>
      </c>
    </row>
    <row r="6" spans="1:17">
      <c r="A6" s="10" t="s">
        <v>61</v>
      </c>
      <c r="B6" s="17" t="s">
        <v>53</v>
      </c>
      <c r="C6" s="5">
        <v>132</v>
      </c>
      <c r="D6" s="27"/>
      <c r="E6" s="27"/>
      <c r="F6" s="6">
        <f>L6*$P6/$O6</f>
        <v>132.0204190489147</v>
      </c>
      <c r="G6" s="6" t="s">
        <v>2</v>
      </c>
      <c r="H6" s="6">
        <f>F6*0.5</f>
        <v>66.010209524457352</v>
      </c>
      <c r="I6" s="6">
        <f>F6*2</f>
        <v>264.04083809782941</v>
      </c>
      <c r="J6" s="6" t="s">
        <v>193</v>
      </c>
      <c r="K6" s="6"/>
      <c r="L6" s="17">
        <v>203</v>
      </c>
      <c r="M6" s="17">
        <v>133</v>
      </c>
      <c r="N6" s="17">
        <v>273</v>
      </c>
      <c r="O6" s="17">
        <v>2541</v>
      </c>
      <c r="P6" s="6">
        <v>1652.531452232967</v>
      </c>
      <c r="Q6" s="17" t="s">
        <v>185</v>
      </c>
    </row>
    <row r="7" spans="1:17">
      <c r="A7" s="9" t="s">
        <v>139</v>
      </c>
      <c r="B7" s="23" t="s">
        <v>140</v>
      </c>
      <c r="C7" s="28">
        <f>AVERAGE(D7:E7)</f>
        <v>134.25</v>
      </c>
      <c r="D7" s="28">
        <v>136.5</v>
      </c>
      <c r="E7" s="28">
        <v>132</v>
      </c>
      <c r="F7" s="6">
        <f>L7*$P7/$O7</f>
        <v>73.829300203520262</v>
      </c>
      <c r="G7" s="6" t="s">
        <v>2</v>
      </c>
      <c r="H7" s="6">
        <f>F7*0.5</f>
        <v>36.914650101760131</v>
      </c>
      <c r="I7" s="6">
        <f>F7*2</f>
        <v>147.65860040704052</v>
      </c>
      <c r="J7" s="6" t="s">
        <v>78</v>
      </c>
      <c r="K7" s="6"/>
      <c r="L7" s="17">
        <v>116</v>
      </c>
      <c r="M7" s="17">
        <v>79</v>
      </c>
      <c r="N7" s="17">
        <v>153</v>
      </c>
      <c r="O7" s="17">
        <v>2837</v>
      </c>
      <c r="P7" s="6">
        <v>1805.635557563681</v>
      </c>
      <c r="Q7" s="17" t="s">
        <v>185</v>
      </c>
    </row>
    <row r="8" spans="1:17">
      <c r="A8" s="10" t="s">
        <v>50</v>
      </c>
      <c r="B8" s="17" t="s">
        <v>51</v>
      </c>
      <c r="C8" s="27">
        <f>AVERAGE(D8:E8)</f>
        <v>135.65</v>
      </c>
      <c r="D8" s="27">
        <v>145</v>
      </c>
      <c r="E8" s="27">
        <v>126.3</v>
      </c>
      <c r="F8" s="18">
        <f>L8*$P8/$O8</f>
        <v>181.87948340414997</v>
      </c>
      <c r="G8" s="6" t="s">
        <v>2</v>
      </c>
      <c r="H8" s="6">
        <f>F8*0.5</f>
        <v>90.939741702074983</v>
      </c>
      <c r="I8" s="6">
        <f>F8*2</f>
        <v>363.75896680829993</v>
      </c>
      <c r="J8" s="6" t="s">
        <v>78</v>
      </c>
      <c r="K8" s="6"/>
      <c r="L8" s="17">
        <v>291</v>
      </c>
      <c r="M8" s="17">
        <v>209</v>
      </c>
      <c r="N8" s="17">
        <v>373</v>
      </c>
      <c r="O8" s="17">
        <v>3138</v>
      </c>
      <c r="P8" s="6">
        <v>1961.2983468117613</v>
      </c>
      <c r="Q8" s="17" t="s">
        <v>185</v>
      </c>
    </row>
    <row r="9" spans="1:17">
      <c r="A9" s="10" t="s">
        <v>32</v>
      </c>
      <c r="B9" s="18" t="s">
        <v>34</v>
      </c>
      <c r="C9" s="28">
        <f>AVERAGE(D9:E9)</f>
        <v>137.9</v>
      </c>
      <c r="D9" s="27">
        <v>139.4</v>
      </c>
      <c r="E9" s="27">
        <v>136.4</v>
      </c>
      <c r="F9" s="6">
        <f>L9*$P9/$O9</f>
        <v>472.99865423075255</v>
      </c>
      <c r="G9" s="6" t="s">
        <v>2</v>
      </c>
      <c r="H9" s="6">
        <f>M9*$P9/$O9</f>
        <v>425.25465861591135</v>
      </c>
      <c r="I9" s="6">
        <f>N9*$P9/$O9</f>
        <v>520.74264984559375</v>
      </c>
      <c r="J9" s="7" t="s">
        <v>184</v>
      </c>
      <c r="K9" s="6"/>
      <c r="L9" s="17">
        <v>852</v>
      </c>
      <c r="M9" s="17">
        <v>766</v>
      </c>
      <c r="N9" s="17">
        <v>938</v>
      </c>
      <c r="O9" s="17">
        <v>8981</v>
      </c>
      <c r="P9" s="6">
        <v>4985.9165653126629</v>
      </c>
      <c r="Q9" s="17" t="s">
        <v>185</v>
      </c>
    </row>
    <row r="10" spans="1:17">
      <c r="A10" s="9" t="s">
        <v>81</v>
      </c>
      <c r="B10" s="23" t="s">
        <v>82</v>
      </c>
      <c r="C10" s="27">
        <f>AVERAGE(D10:E10)</f>
        <v>142.19999999999999</v>
      </c>
      <c r="D10" s="28">
        <v>145</v>
      </c>
      <c r="E10" s="28">
        <v>139.4</v>
      </c>
      <c r="F10" s="6">
        <f>L10*$P10/$O10</f>
        <v>333.28072768294089</v>
      </c>
      <c r="G10" s="6" t="s">
        <v>2</v>
      </c>
      <c r="H10" s="6">
        <f>F10*0.5</f>
        <v>166.64036384147045</v>
      </c>
      <c r="I10" s="6">
        <f>F10*2</f>
        <v>666.56145536588178</v>
      </c>
      <c r="J10" s="6" t="s">
        <v>78</v>
      </c>
      <c r="K10" s="6"/>
      <c r="L10" s="17">
        <v>579</v>
      </c>
      <c r="M10" s="17">
        <v>489</v>
      </c>
      <c r="N10" s="17">
        <v>669</v>
      </c>
      <c r="O10" s="17">
        <v>5813</v>
      </c>
      <c r="P10" s="6">
        <v>3346.0464076354674</v>
      </c>
      <c r="Q10" s="17" t="s">
        <v>185</v>
      </c>
    </row>
    <row r="11" spans="1:17">
      <c r="A11" s="10" t="s">
        <v>32</v>
      </c>
      <c r="B11" s="18" t="s">
        <v>35</v>
      </c>
      <c r="C11" s="28">
        <f>AVERAGE(D11:E11)</f>
        <v>143.5</v>
      </c>
      <c r="D11" s="27">
        <v>145</v>
      </c>
      <c r="E11" s="27">
        <v>142</v>
      </c>
      <c r="F11" s="6">
        <f>L11*$P11/$O11</f>
        <v>288.69964915844139</v>
      </c>
      <c r="G11" s="6" t="s">
        <v>2</v>
      </c>
      <c r="H11" s="6">
        <f>M11*$P11/$O11</f>
        <v>231.19684429526106</v>
      </c>
      <c r="I11" s="6">
        <f>N11*$P11/$O11</f>
        <v>346.20245402162169</v>
      </c>
      <c r="J11" s="7" t="s">
        <v>184</v>
      </c>
      <c r="K11" s="6"/>
      <c r="L11" s="17">
        <v>487</v>
      </c>
      <c r="M11" s="17">
        <v>390</v>
      </c>
      <c r="N11" s="17">
        <v>584</v>
      </c>
      <c r="O11" s="17">
        <v>4487</v>
      </c>
      <c r="P11" s="6">
        <v>2659.949334238042</v>
      </c>
      <c r="Q11" s="17" t="s">
        <v>185</v>
      </c>
    </row>
    <row r="12" spans="1:17">
      <c r="A12" s="13" t="s">
        <v>120</v>
      </c>
      <c r="B12" s="24" t="s">
        <v>129</v>
      </c>
      <c r="C12" s="28">
        <f>AVERAGE(D12:E12)</f>
        <v>154.69999999999999</v>
      </c>
      <c r="D12" s="28">
        <v>157.30000000000001</v>
      </c>
      <c r="E12" s="28">
        <v>152.1</v>
      </c>
      <c r="F12" s="6">
        <f>L12*$P12/$O12</f>
        <v>1307.2</v>
      </c>
      <c r="G12" s="6" t="s">
        <v>2</v>
      </c>
      <c r="H12" s="6">
        <f>F12*0.5</f>
        <v>653.6</v>
      </c>
      <c r="I12" s="6">
        <f>F12*2</f>
        <v>2614.4</v>
      </c>
      <c r="J12" s="6" t="s">
        <v>78</v>
      </c>
      <c r="K12" s="6"/>
      <c r="L12" s="17">
        <v>3268</v>
      </c>
      <c r="M12" s="17">
        <f>L12-1380</f>
        <v>1888</v>
      </c>
      <c r="N12" s="17">
        <f>L12+1380</f>
        <v>4648</v>
      </c>
      <c r="O12" s="17">
        <v>5000</v>
      </c>
      <c r="P12" s="6">
        <v>2000</v>
      </c>
      <c r="Q12" s="18"/>
    </row>
    <row r="13" spans="1:17">
      <c r="A13" s="10" t="s">
        <v>39</v>
      </c>
      <c r="B13" s="18" t="s">
        <v>40</v>
      </c>
      <c r="C13" s="28">
        <f>AVERAGE(D13:E13)</f>
        <v>157.80000000000001</v>
      </c>
      <c r="D13" s="27">
        <v>163.5</v>
      </c>
      <c r="E13" s="27">
        <v>152.1</v>
      </c>
      <c r="F13" s="6">
        <f>L13*$P13/$O13</f>
        <v>591.20000000000005</v>
      </c>
      <c r="G13" s="6" t="s">
        <v>2</v>
      </c>
      <c r="H13" s="6">
        <f>F13*0.5</f>
        <v>295.60000000000002</v>
      </c>
      <c r="I13" s="6">
        <f>F13*2</f>
        <v>1182.4000000000001</v>
      </c>
      <c r="J13" s="6" t="s">
        <v>78</v>
      </c>
      <c r="K13" s="6"/>
      <c r="L13" s="17">
        <v>1478</v>
      </c>
      <c r="M13" s="17">
        <f>L13-1060</f>
        <v>418</v>
      </c>
      <c r="N13" s="17">
        <f>L13+1060</f>
        <v>2538</v>
      </c>
      <c r="O13" s="18">
        <v>5000</v>
      </c>
      <c r="P13" s="6">
        <v>2000</v>
      </c>
      <c r="Q13" s="18"/>
    </row>
    <row r="14" spans="1:17">
      <c r="A14" s="13" t="s">
        <v>120</v>
      </c>
      <c r="B14" s="24" t="s">
        <v>131</v>
      </c>
      <c r="C14" s="28">
        <f>AVERAGE(D14:E14)</f>
        <v>172.2</v>
      </c>
      <c r="D14" s="28">
        <v>174.1</v>
      </c>
      <c r="E14" s="28">
        <v>170.3</v>
      </c>
      <c r="F14" s="6">
        <f>L14*$P14/$O14</f>
        <v>1664</v>
      </c>
      <c r="G14" s="6" t="s">
        <v>2</v>
      </c>
      <c r="H14" s="6">
        <f>F14*0.5</f>
        <v>832</v>
      </c>
      <c r="I14" s="6">
        <f>F14*2</f>
        <v>3328</v>
      </c>
      <c r="J14" s="6" t="s">
        <v>78</v>
      </c>
      <c r="K14" s="6"/>
      <c r="L14" s="20">
        <v>2496</v>
      </c>
      <c r="M14" s="20">
        <v>1664.0832</v>
      </c>
      <c r="N14" s="18">
        <v>3327.9168</v>
      </c>
      <c r="O14" s="18">
        <v>3000</v>
      </c>
      <c r="P14" s="6">
        <v>2000</v>
      </c>
      <c r="Q14" s="18" t="s">
        <v>186</v>
      </c>
    </row>
    <row r="15" spans="1:17">
      <c r="A15" s="11" t="s">
        <v>6</v>
      </c>
      <c r="B15" s="17" t="s">
        <v>8</v>
      </c>
      <c r="C15" s="28">
        <f>AVERAGE(D15:E15)</f>
        <v>182.4</v>
      </c>
      <c r="D15" s="28">
        <v>201.3</v>
      </c>
      <c r="E15" s="28">
        <v>163.5</v>
      </c>
      <c r="F15" s="6">
        <f>L15*$P15/$O15</f>
        <v>2087.3333333333335</v>
      </c>
      <c r="G15" s="6" t="s">
        <v>2</v>
      </c>
      <c r="H15" s="6">
        <f>F15*0.5</f>
        <v>1043.6666666666667</v>
      </c>
      <c r="I15" s="6">
        <f>F15*2</f>
        <v>4174.666666666667</v>
      </c>
      <c r="J15" s="6" t="s">
        <v>78</v>
      </c>
      <c r="K15" s="6"/>
      <c r="L15" s="20">
        <v>3131</v>
      </c>
      <c r="M15" s="20">
        <v>2087.4376999999999</v>
      </c>
      <c r="N15" s="18">
        <v>4174.5622999999996</v>
      </c>
      <c r="O15" s="18">
        <v>3000</v>
      </c>
      <c r="P15" s="6">
        <v>2000</v>
      </c>
      <c r="Q15" s="18" t="s">
        <v>186</v>
      </c>
    </row>
    <row r="16" spans="1:17">
      <c r="A16" s="13" t="s">
        <v>120</v>
      </c>
      <c r="B16" s="24" t="s">
        <v>130</v>
      </c>
      <c r="C16" s="28">
        <f>AVERAGE(D16:E16)</f>
        <v>187.7</v>
      </c>
      <c r="D16" s="28">
        <v>201.3</v>
      </c>
      <c r="E16" s="28">
        <v>174.1</v>
      </c>
      <c r="F16" s="6">
        <f>L16*$P16/$O16</f>
        <v>3515.3333333333335</v>
      </c>
      <c r="G16" s="6" t="s">
        <v>2</v>
      </c>
      <c r="H16" s="6">
        <f>F16*0.5</f>
        <v>1757.6666666666667</v>
      </c>
      <c r="I16" s="6">
        <f>F16*2</f>
        <v>7030.666666666667</v>
      </c>
      <c r="J16" s="6" t="s">
        <v>78</v>
      </c>
      <c r="K16" s="6"/>
      <c r="L16" s="20">
        <v>5273</v>
      </c>
      <c r="M16" s="20">
        <v>3515.5091000000002</v>
      </c>
      <c r="N16" s="18">
        <v>7030.4908999999998</v>
      </c>
      <c r="O16" s="18">
        <v>3000</v>
      </c>
      <c r="P16" s="6">
        <v>2000</v>
      </c>
      <c r="Q16" s="18" t="s">
        <v>186</v>
      </c>
    </row>
    <row r="17" spans="1:17">
      <c r="A17" s="10" t="s">
        <v>30</v>
      </c>
      <c r="B17" s="18" t="s">
        <v>31</v>
      </c>
      <c r="C17" s="27">
        <v>198.99</v>
      </c>
      <c r="D17" s="27"/>
      <c r="E17" s="27"/>
      <c r="F17" s="6">
        <f>L17*$P17/$O17</f>
        <v>3294</v>
      </c>
      <c r="G17" s="6" t="s">
        <v>2</v>
      </c>
      <c r="H17" s="6">
        <f>F17*0.5</f>
        <v>1647</v>
      </c>
      <c r="I17" s="6">
        <f>F17*2</f>
        <v>6588</v>
      </c>
      <c r="J17" s="6" t="s">
        <v>78</v>
      </c>
      <c r="K17" s="6"/>
      <c r="L17" s="20">
        <v>4941</v>
      </c>
      <c r="M17" s="20">
        <v>3290.1651000000002</v>
      </c>
      <c r="N17" s="18">
        <v>6591.8348999999998</v>
      </c>
      <c r="O17" s="18">
        <v>3000</v>
      </c>
      <c r="P17" s="6">
        <v>2000</v>
      </c>
      <c r="Q17" s="18" t="s">
        <v>186</v>
      </c>
    </row>
    <row r="18" spans="1:17">
      <c r="A18" s="10" t="s">
        <v>30</v>
      </c>
      <c r="B18" s="18" t="s">
        <v>31</v>
      </c>
      <c r="C18" s="27">
        <v>199.79</v>
      </c>
      <c r="D18" s="27"/>
      <c r="E18" s="27"/>
      <c r="F18" s="6">
        <f>L18*$P18/$O18</f>
        <v>1299.3333333333333</v>
      </c>
      <c r="G18" s="6" t="s">
        <v>2</v>
      </c>
      <c r="H18" s="6">
        <f>F18*0.5</f>
        <v>649.66666666666663</v>
      </c>
      <c r="I18" s="6">
        <f>F18*2</f>
        <v>2598.6666666666665</v>
      </c>
      <c r="J18" s="6" t="s">
        <v>78</v>
      </c>
      <c r="K18" s="6"/>
      <c r="L18" s="20">
        <v>1949</v>
      </c>
      <c r="M18" s="20">
        <v>1299.3983000000001</v>
      </c>
      <c r="N18" s="18">
        <v>2598.6017000000002</v>
      </c>
      <c r="O18" s="18">
        <v>3000</v>
      </c>
      <c r="P18" s="6">
        <v>2000</v>
      </c>
      <c r="Q18" s="18" t="s">
        <v>186</v>
      </c>
    </row>
    <row r="19" spans="1:17">
      <c r="A19" s="10" t="s">
        <v>30</v>
      </c>
      <c r="B19" s="18" t="s">
        <v>31</v>
      </c>
      <c r="C19" s="27">
        <v>200.15</v>
      </c>
      <c r="D19" s="27"/>
      <c r="E19" s="27"/>
      <c r="F19" s="6">
        <f>L19*$P19/$O19</f>
        <v>1570.6666666666667</v>
      </c>
      <c r="G19" s="6" t="s">
        <v>2</v>
      </c>
      <c r="H19" s="6">
        <f>F19*0.5</f>
        <v>785.33333333333337</v>
      </c>
      <c r="I19" s="6">
        <f>F19*2</f>
        <v>3141.3333333333335</v>
      </c>
      <c r="J19" s="6" t="s">
        <v>78</v>
      </c>
      <c r="K19" s="6"/>
      <c r="L19" s="20">
        <v>2356</v>
      </c>
      <c r="M19" s="20">
        <v>1570.7452000000001</v>
      </c>
      <c r="N19" s="18">
        <v>3141.2547999999997</v>
      </c>
      <c r="O19" s="18">
        <v>3000</v>
      </c>
      <c r="P19" s="6">
        <v>2000</v>
      </c>
      <c r="Q19" s="18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2023-07-14T06:43:11Z</dcterms:modified>
</cp:coreProperties>
</file>