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15600" windowHeight="9285"/>
  </bookViews>
  <sheets>
    <sheet name="目录" sheetId="15" r:id="rId1"/>
    <sheet name="账期表" sheetId="13" r:id="rId2"/>
    <sheet name="实际销售运费比较" sheetId="14" r:id="rId3"/>
    <sheet name="收入成本配比表" sheetId="16" r:id="rId4"/>
    <sheet name="生产损耗分析表" sheetId="17" r:id="rId5"/>
    <sheet name="生产成本分析表" sheetId="18" r:id="rId6"/>
    <sheet name="品控边际贡献" sheetId="19" r:id="rId7"/>
    <sheet name="发票价格差异" sheetId="20" r:id="rId8"/>
    <sheet name="运杂费差异" sheetId="21" r:id="rId9"/>
    <sheet name="进项转出" sheetId="22" r:id="rId10"/>
  </sheets>
  <externalReferences>
    <externalReference r:id="rId11"/>
  </externalReferences>
  <calcPr calcId="144525"/>
</workbook>
</file>

<file path=xl/calcChain.xml><?xml version="1.0" encoding="utf-8"?>
<calcChain xmlns="http://schemas.openxmlformats.org/spreadsheetml/2006/main">
  <c r="AI23" i="19" l="1"/>
  <c r="U23" i="19"/>
  <c r="V23" i="19" s="1"/>
  <c r="S23" i="19"/>
  <c r="R23" i="19"/>
  <c r="T23" i="19" s="1"/>
  <c r="M23" i="19"/>
  <c r="N23" i="19" s="1"/>
  <c r="K23" i="19"/>
  <c r="L23" i="19" s="1"/>
  <c r="J23" i="19"/>
  <c r="I23" i="19"/>
  <c r="H23" i="19"/>
  <c r="AI22" i="19"/>
  <c r="AH22" i="19"/>
  <c r="AF22" i="19"/>
  <c r="AD22" i="19"/>
  <c r="AC22" i="19"/>
  <c r="AB22" i="19"/>
  <c r="Y22" i="19"/>
  <c r="X22" i="19"/>
  <c r="W22" i="19"/>
  <c r="Z22" i="19" s="1"/>
  <c r="V22" i="19"/>
  <c r="Q22" i="19"/>
  <c r="L22" i="19"/>
  <c r="G22" i="19"/>
  <c r="F22" i="19"/>
  <c r="E22" i="19"/>
  <c r="AI21" i="19"/>
  <c r="AH21" i="19"/>
  <c r="AF21" i="19"/>
  <c r="AC21" i="19"/>
  <c r="AB21" i="19"/>
  <c r="X21" i="19"/>
  <c r="AD21" i="19" s="1"/>
  <c r="W21" i="19"/>
  <c r="AE21" i="19" s="1"/>
  <c r="V21" i="19"/>
  <c r="Q21" i="19"/>
  <c r="L21" i="19"/>
  <c r="G21" i="19"/>
  <c r="F21" i="19"/>
  <c r="E21" i="19"/>
  <c r="AI20" i="19"/>
  <c r="AH20" i="19"/>
  <c r="AF20" i="19"/>
  <c r="AD20" i="19"/>
  <c r="AC20" i="19"/>
  <c r="AB20" i="19"/>
  <c r="Y20" i="19"/>
  <c r="X20" i="19"/>
  <c r="W20" i="19"/>
  <c r="Z20" i="19" s="1"/>
  <c r="V20" i="19"/>
  <c r="Q20" i="19"/>
  <c r="L20" i="19"/>
  <c r="G20" i="19"/>
  <c r="F20" i="19"/>
  <c r="E20" i="19"/>
  <c r="AI19" i="19"/>
  <c r="AH19" i="19"/>
  <c r="AF19" i="19"/>
  <c r="AC19" i="19"/>
  <c r="AB19" i="19"/>
  <c r="X19" i="19"/>
  <c r="AD19" i="19" s="1"/>
  <c r="W19" i="19"/>
  <c r="AE19" i="19" s="1"/>
  <c r="V19" i="19"/>
  <c r="Q19" i="19"/>
  <c r="L19" i="19"/>
  <c r="G19" i="19"/>
  <c r="F19" i="19"/>
  <c r="E19" i="19"/>
  <c r="AI18" i="19"/>
  <c r="AH18" i="19"/>
  <c r="AF18" i="19"/>
  <c r="AD18" i="19"/>
  <c r="AC18" i="19"/>
  <c r="AB18" i="19"/>
  <c r="Y18" i="19"/>
  <c r="X18" i="19"/>
  <c r="W18" i="19"/>
  <c r="Z18" i="19" s="1"/>
  <c r="V18" i="19"/>
  <c r="Q18" i="19"/>
  <c r="L18" i="19"/>
  <c r="G18" i="19"/>
  <c r="F18" i="19"/>
  <c r="E18" i="19"/>
  <c r="AI17" i="19"/>
  <c r="AH17" i="19"/>
  <c r="AF17" i="19"/>
  <c r="AC17" i="19"/>
  <c r="AB17" i="19"/>
  <c r="X17" i="19"/>
  <c r="AD17" i="19" s="1"/>
  <c r="W17" i="19"/>
  <c r="AE17" i="19" s="1"/>
  <c r="V17" i="19"/>
  <c r="Q17" i="19"/>
  <c r="L17" i="19"/>
  <c r="G17" i="19"/>
  <c r="F17" i="19"/>
  <c r="E17" i="19"/>
  <c r="AI16" i="19"/>
  <c r="AH16" i="19"/>
  <c r="AF16" i="19"/>
  <c r="AD16" i="19"/>
  <c r="AC16" i="19"/>
  <c r="AB16" i="19"/>
  <c r="Y16" i="19"/>
  <c r="X16" i="19"/>
  <c r="W16" i="19"/>
  <c r="Z16" i="19" s="1"/>
  <c r="V16" i="19"/>
  <c r="Q16" i="19"/>
  <c r="L16" i="19"/>
  <c r="G16" i="19"/>
  <c r="F16" i="19"/>
  <c r="E16" i="19"/>
  <c r="AI15" i="19"/>
  <c r="AH15" i="19"/>
  <c r="AF15" i="19"/>
  <c r="AC15" i="19"/>
  <c r="AB15" i="19"/>
  <c r="X15" i="19"/>
  <c r="AD15" i="19" s="1"/>
  <c r="W15" i="19"/>
  <c r="AE15" i="19" s="1"/>
  <c r="V15" i="19"/>
  <c r="Q15" i="19"/>
  <c r="L15" i="19"/>
  <c r="G15" i="19"/>
  <c r="F15" i="19"/>
  <c r="E15" i="19"/>
  <c r="AI14" i="19"/>
  <c r="AH14" i="19"/>
  <c r="AF14" i="19"/>
  <c r="AD14" i="19"/>
  <c r="AC14" i="19"/>
  <c r="AB14" i="19"/>
  <c r="Y14" i="19"/>
  <c r="X14" i="19"/>
  <c r="W14" i="19"/>
  <c r="Z14" i="19" s="1"/>
  <c r="V14" i="19"/>
  <c r="Q14" i="19"/>
  <c r="L14" i="19"/>
  <c r="G14" i="19"/>
  <c r="F14" i="19"/>
  <c r="E14" i="19"/>
  <c r="AI13" i="19"/>
  <c r="AH13" i="19"/>
  <c r="AF13" i="19"/>
  <c r="AC13" i="19"/>
  <c r="AB13" i="19"/>
  <c r="X13" i="19"/>
  <c r="AD13" i="19" s="1"/>
  <c r="W13" i="19"/>
  <c r="AE13" i="19" s="1"/>
  <c r="V13" i="19"/>
  <c r="Q13" i="19"/>
  <c r="L13" i="19"/>
  <c r="F13" i="19"/>
  <c r="E13" i="19"/>
  <c r="AI12" i="19"/>
  <c r="AH12" i="19"/>
  <c r="AF12" i="19"/>
  <c r="AD12" i="19"/>
  <c r="AC12" i="19"/>
  <c r="AB12" i="19"/>
  <c r="Y12" i="19"/>
  <c r="X12" i="19"/>
  <c r="W12" i="19"/>
  <c r="Z12" i="19" s="1"/>
  <c r="V12" i="19"/>
  <c r="Q12" i="19"/>
  <c r="L12" i="19"/>
  <c r="G12" i="19"/>
  <c r="F12" i="19"/>
  <c r="E12" i="19"/>
  <c r="AI11" i="19"/>
  <c r="AH11" i="19"/>
  <c r="AF11" i="19"/>
  <c r="AC11" i="19"/>
  <c r="AB11" i="19"/>
  <c r="X11" i="19"/>
  <c r="AD11" i="19" s="1"/>
  <c r="W11" i="19"/>
  <c r="AE11" i="19" s="1"/>
  <c r="V11" i="19"/>
  <c r="Q11" i="19"/>
  <c r="L11" i="19"/>
  <c r="F11" i="19"/>
  <c r="E11" i="19"/>
  <c r="AI10" i="19"/>
  <c r="AH10" i="19"/>
  <c r="AF10" i="19"/>
  <c r="AD10" i="19"/>
  <c r="AC10" i="19"/>
  <c r="AB10" i="19"/>
  <c r="Y10" i="19"/>
  <c r="X10" i="19"/>
  <c r="W10" i="19"/>
  <c r="Z10" i="19" s="1"/>
  <c r="V10" i="19"/>
  <c r="Q10" i="19"/>
  <c r="L10" i="19"/>
  <c r="G10" i="19"/>
  <c r="F10" i="19"/>
  <c r="E10" i="19"/>
  <c r="AI9" i="19"/>
  <c r="AH9" i="19"/>
  <c r="AF9" i="19"/>
  <c r="AC9" i="19"/>
  <c r="AB9" i="19"/>
  <c r="X9" i="19"/>
  <c r="AD9" i="19" s="1"/>
  <c r="W9" i="19"/>
  <c r="AA9" i="19" s="1"/>
  <c r="V9" i="19"/>
  <c r="Q9" i="19"/>
  <c r="L9" i="19"/>
  <c r="F9" i="19"/>
  <c r="E9" i="19"/>
  <c r="AI8" i="19"/>
  <c r="AH8" i="19"/>
  <c r="AF8" i="19"/>
  <c r="AD8" i="19"/>
  <c r="AC8" i="19"/>
  <c r="AB8" i="19"/>
  <c r="Y8" i="19"/>
  <c r="X8" i="19"/>
  <c r="W8" i="19"/>
  <c r="Z8" i="19" s="1"/>
  <c r="V8" i="19"/>
  <c r="Q8" i="19"/>
  <c r="L8" i="19"/>
  <c r="G8" i="19"/>
  <c r="F8" i="19"/>
  <c r="E8" i="19"/>
  <c r="AI7" i="19"/>
  <c r="AH7" i="19"/>
  <c r="AF7" i="19"/>
  <c r="AC7" i="19"/>
  <c r="AB7" i="19"/>
  <c r="X7" i="19"/>
  <c r="AD7" i="19" s="1"/>
  <c r="W7" i="19"/>
  <c r="Z7" i="19" s="1"/>
  <c r="V7" i="19"/>
  <c r="Q7" i="19"/>
  <c r="L7" i="19"/>
  <c r="F7" i="19"/>
  <c r="E7" i="19"/>
  <c r="AI6" i="19"/>
  <c r="AH6" i="19"/>
  <c r="AF6" i="19"/>
  <c r="AD6" i="19"/>
  <c r="AC6" i="19"/>
  <c r="AB6" i="19"/>
  <c r="Y6" i="19"/>
  <c r="X6" i="19"/>
  <c r="W6" i="19"/>
  <c r="Z6" i="19" s="1"/>
  <c r="V6" i="19"/>
  <c r="Q6" i="19"/>
  <c r="L6" i="19"/>
  <c r="G6" i="19"/>
  <c r="F6" i="19"/>
  <c r="E6" i="19"/>
  <c r="AI5" i="19"/>
  <c r="AH5" i="19"/>
  <c r="AF5" i="19"/>
  <c r="AC5" i="19"/>
  <c r="AB5" i="19"/>
  <c r="X5" i="19"/>
  <c r="AD5" i="19" s="1"/>
  <c r="W5" i="19"/>
  <c r="AE5" i="19" s="1"/>
  <c r="V5" i="19"/>
  <c r="Q5" i="19"/>
  <c r="L5" i="19"/>
  <c r="F5" i="19"/>
  <c r="E5" i="19"/>
  <c r="AI4" i="19"/>
  <c r="AH4" i="19"/>
  <c r="AF4" i="19"/>
  <c r="Y4" i="19"/>
  <c r="X4" i="19"/>
  <c r="W4" i="19"/>
  <c r="Z4" i="19" s="1"/>
  <c r="AB4" i="19" s="1"/>
  <c r="AC4" i="19" s="1"/>
  <c r="V4" i="19"/>
  <c r="Q4" i="19"/>
  <c r="L4" i="19"/>
  <c r="E4" i="19"/>
  <c r="AI3" i="19"/>
  <c r="AH3" i="19"/>
  <c r="AF3" i="19"/>
  <c r="X3" i="19"/>
  <c r="X23" i="19" s="1"/>
  <c r="W3" i="19"/>
  <c r="V3" i="19"/>
  <c r="Q3" i="19"/>
  <c r="L3" i="19"/>
  <c r="E3" i="19"/>
  <c r="AE3" i="19" l="1"/>
  <c r="AD4" i="19"/>
  <c r="G5" i="19"/>
  <c r="AA5" i="19"/>
  <c r="G7" i="19"/>
  <c r="AA7" i="19"/>
  <c r="AE7" i="19"/>
  <c r="AE9" i="19"/>
  <c r="G13" i="19"/>
  <c r="AA13" i="19"/>
  <c r="Y3" i="19"/>
  <c r="AA4" i="19"/>
  <c r="G4" i="19" s="1"/>
  <c r="AE4" i="19"/>
  <c r="F4" i="19" s="1"/>
  <c r="Y5" i="19"/>
  <c r="AA6" i="19"/>
  <c r="AE6" i="19"/>
  <c r="Y7" i="19"/>
  <c r="AA8" i="19"/>
  <c r="AE8" i="19"/>
  <c r="Y9" i="19"/>
  <c r="AA10" i="19"/>
  <c r="AE10" i="19"/>
  <c r="Y11" i="19"/>
  <c r="AA12" i="19"/>
  <c r="AE12" i="19"/>
  <c r="Y13" i="19"/>
  <c r="AA14" i="19"/>
  <c r="AE14" i="19"/>
  <c r="Y15" i="19"/>
  <c r="AA16" i="19"/>
  <c r="AE16" i="19"/>
  <c r="Y17" i="19"/>
  <c r="AA18" i="19"/>
  <c r="AE18" i="19"/>
  <c r="Y19" i="19"/>
  <c r="AA20" i="19"/>
  <c r="AE20" i="19"/>
  <c r="Y21" i="19"/>
  <c r="AA22" i="19"/>
  <c r="AE22" i="19"/>
  <c r="O23" i="19"/>
  <c r="W23" i="19"/>
  <c r="Z3" i="19"/>
  <c r="AB3" i="19" s="1"/>
  <c r="AC3" i="19" s="1"/>
  <c r="Z5" i="19"/>
  <c r="Z9" i="19"/>
  <c r="Z11" i="19"/>
  <c r="Z13" i="19"/>
  <c r="Z15" i="19"/>
  <c r="Z17" i="19"/>
  <c r="Z19" i="19"/>
  <c r="Z21" i="19"/>
  <c r="P23" i="19"/>
  <c r="Q23" i="19" s="1"/>
  <c r="G3" i="19"/>
  <c r="AA3" i="19"/>
  <c r="G9" i="19"/>
  <c r="G11" i="19"/>
  <c r="AA11" i="19"/>
  <c r="AA15" i="19"/>
  <c r="AA17" i="19"/>
  <c r="AA19" i="19"/>
  <c r="AA21" i="19"/>
  <c r="F3" i="19" l="1"/>
  <c r="AE23" i="19"/>
  <c r="D23" i="19" s="1"/>
  <c r="AD3" i="19"/>
  <c r="Z23" i="19"/>
  <c r="AF23" i="19"/>
  <c r="G23" i="19" s="1"/>
  <c r="AA23" i="19"/>
  <c r="C23" i="19"/>
  <c r="Y23" i="19"/>
  <c r="F23" i="19" l="1"/>
  <c r="E23" i="19"/>
  <c r="AH23" i="19"/>
  <c r="AB23" i="19"/>
  <c r="AC23" i="19" s="1"/>
  <c r="AD23" i="19" s="1"/>
  <c r="F35" i="18" l="1"/>
  <c r="E35" i="18"/>
  <c r="D35" i="18"/>
  <c r="C35" i="18"/>
  <c r="F34" i="18"/>
  <c r="E34" i="18"/>
  <c r="D34" i="18"/>
  <c r="C34" i="18"/>
  <c r="B34" i="18"/>
  <c r="F33" i="18"/>
  <c r="E33" i="18"/>
  <c r="D33" i="18"/>
  <c r="C33" i="18"/>
  <c r="B33" i="18"/>
  <c r="G32" i="18"/>
  <c r="I32" i="18" s="1"/>
  <c r="F32" i="18"/>
  <c r="E32" i="18"/>
  <c r="D32" i="18"/>
  <c r="C32" i="18"/>
  <c r="B32" i="18"/>
  <c r="G31" i="18"/>
  <c r="I31" i="18" s="1"/>
  <c r="F31" i="18"/>
  <c r="E31" i="18"/>
  <c r="D31" i="18"/>
  <c r="C31" i="18"/>
  <c r="B31" i="18"/>
  <c r="G30" i="18"/>
  <c r="F30" i="18"/>
  <c r="E30" i="18"/>
  <c r="D30" i="18"/>
  <c r="C30" i="18"/>
  <c r="O29" i="18"/>
  <c r="M29" i="18"/>
  <c r="N29" i="18" s="1"/>
  <c r="L29" i="18"/>
  <c r="G29" i="18"/>
  <c r="I29" i="18" s="1"/>
  <c r="F29" i="18"/>
  <c r="E29" i="18"/>
  <c r="D29" i="18"/>
  <c r="C29" i="18"/>
  <c r="O28" i="18"/>
  <c r="L28" i="18"/>
  <c r="N28" i="18" s="1"/>
  <c r="L30" i="18" s="1"/>
  <c r="G28" i="18"/>
  <c r="I28" i="18" s="1"/>
  <c r="F28" i="18"/>
  <c r="E28" i="18"/>
  <c r="D28" i="18"/>
  <c r="C28" i="18"/>
  <c r="B28" i="18"/>
  <c r="G27" i="18"/>
  <c r="I27" i="18" s="1"/>
  <c r="F27" i="18"/>
  <c r="E27" i="18"/>
  <c r="D27" i="18"/>
  <c r="C27" i="18"/>
  <c r="B27" i="18"/>
  <c r="U25" i="18"/>
  <c r="Y24" i="18"/>
  <c r="X24" i="18"/>
  <c r="W24" i="18"/>
  <c r="V24" i="18"/>
  <c r="U24" i="18"/>
  <c r="T24" i="18"/>
  <c r="S24" i="18"/>
  <c r="R24" i="18"/>
  <c r="Q24" i="18"/>
  <c r="P24" i="18"/>
  <c r="H24" i="18"/>
  <c r="G24" i="18"/>
  <c r="N24" i="18" s="1"/>
  <c r="O24" i="18" s="1"/>
  <c r="B24" i="18"/>
  <c r="B35" i="18" s="1"/>
  <c r="W23" i="18"/>
  <c r="V23" i="18"/>
  <c r="S23" i="18"/>
  <c r="R23" i="18"/>
  <c r="Y22" i="18"/>
  <c r="X22" i="18"/>
  <c r="W22" i="18"/>
  <c r="V22" i="18"/>
  <c r="U22" i="18"/>
  <c r="T22" i="18"/>
  <c r="S22" i="18"/>
  <c r="R22" i="18"/>
  <c r="Q22" i="18"/>
  <c r="P22" i="18"/>
  <c r="H22" i="18"/>
  <c r="G22" i="18"/>
  <c r="L22" i="18" s="1"/>
  <c r="B22" i="18"/>
  <c r="Y21" i="18"/>
  <c r="X21" i="18"/>
  <c r="W21" i="18"/>
  <c r="V21" i="18"/>
  <c r="U21" i="18"/>
  <c r="T21" i="18"/>
  <c r="S21" i="18"/>
  <c r="R21" i="18"/>
  <c r="Q21" i="18"/>
  <c r="P21" i="18"/>
  <c r="N21" i="18"/>
  <c r="O21" i="18" s="1"/>
  <c r="I21" i="18" s="1"/>
  <c r="J21" i="18" s="1"/>
  <c r="K21" i="18" s="1"/>
  <c r="M21" i="18" s="1"/>
  <c r="H21" i="18"/>
  <c r="G21" i="18"/>
  <c r="L21" i="18" s="1"/>
  <c r="B21" i="18"/>
  <c r="Y20" i="18"/>
  <c r="X20" i="18"/>
  <c r="W20" i="18"/>
  <c r="V20" i="18"/>
  <c r="U20" i="18"/>
  <c r="T20" i="18"/>
  <c r="S20" i="18"/>
  <c r="R20" i="18"/>
  <c r="Q20" i="18"/>
  <c r="P20" i="18"/>
  <c r="H20" i="18"/>
  <c r="G20" i="18"/>
  <c r="L20" i="18" s="1"/>
  <c r="B20" i="18"/>
  <c r="Y19" i="18"/>
  <c r="X19" i="18"/>
  <c r="W19" i="18"/>
  <c r="V19" i="18"/>
  <c r="U19" i="18"/>
  <c r="T19" i="18"/>
  <c r="S19" i="18"/>
  <c r="R19" i="18"/>
  <c r="Q19" i="18"/>
  <c r="P19" i="18"/>
  <c r="N19" i="18"/>
  <c r="O19" i="18" s="1"/>
  <c r="I19" i="18" s="1"/>
  <c r="J19" i="18" s="1"/>
  <c r="K19" i="18" s="1"/>
  <c r="M19" i="18" s="1"/>
  <c r="H19" i="18"/>
  <c r="G19" i="18"/>
  <c r="L19" i="18" s="1"/>
  <c r="B19" i="18"/>
  <c r="B30" i="18" s="1"/>
  <c r="Y18" i="18"/>
  <c r="X18" i="18"/>
  <c r="W18" i="18"/>
  <c r="V18" i="18"/>
  <c r="U18" i="18"/>
  <c r="T18" i="18"/>
  <c r="S18" i="18"/>
  <c r="R18" i="18"/>
  <c r="Q18" i="18"/>
  <c r="P18" i="18"/>
  <c r="H18" i="18"/>
  <c r="G18" i="18"/>
  <c r="L18" i="18" s="1"/>
  <c r="B18" i="18"/>
  <c r="B29" i="18" s="1"/>
  <c r="Y17" i="18"/>
  <c r="X17" i="18"/>
  <c r="W17" i="18"/>
  <c r="V17" i="18"/>
  <c r="U17" i="18"/>
  <c r="T17" i="18"/>
  <c r="S17" i="18"/>
  <c r="R17" i="18"/>
  <c r="Q17" i="18"/>
  <c r="P17" i="18"/>
  <c r="H17" i="18"/>
  <c r="G17" i="18"/>
  <c r="L17" i="18" s="1"/>
  <c r="B17" i="18"/>
  <c r="Y16" i="18"/>
  <c r="Y23" i="18" s="1"/>
  <c r="X16" i="18"/>
  <c r="X23" i="18" s="1"/>
  <c r="W16" i="18"/>
  <c r="V16" i="18"/>
  <c r="U16" i="18"/>
  <c r="U23" i="18" s="1"/>
  <c r="T16" i="18"/>
  <c r="T23" i="18" s="1"/>
  <c r="S16" i="18"/>
  <c r="R16" i="18"/>
  <c r="Q16" i="18"/>
  <c r="Q23" i="18" s="1"/>
  <c r="P16" i="18"/>
  <c r="P23" i="18" s="1"/>
  <c r="H16" i="18"/>
  <c r="H23" i="18" s="1"/>
  <c r="G16" i="18"/>
  <c r="L16" i="18" s="1"/>
  <c r="B16" i="18"/>
  <c r="O13" i="18"/>
  <c r="N13" i="18"/>
  <c r="O12" i="18"/>
  <c r="N12" i="18"/>
  <c r="M12" i="18"/>
  <c r="L12" i="18"/>
  <c r="K12" i="18"/>
  <c r="J12" i="18"/>
  <c r="I12" i="18"/>
  <c r="H12" i="18"/>
  <c r="O11" i="18"/>
  <c r="N11" i="18"/>
  <c r="M11" i="18"/>
  <c r="L11" i="18"/>
  <c r="K11" i="18"/>
  <c r="J11" i="18"/>
  <c r="I11" i="18"/>
  <c r="H11" i="18"/>
  <c r="E140" i="17"/>
  <c r="C140" i="17"/>
  <c r="F140" i="17" s="1"/>
  <c r="D139" i="17"/>
  <c r="F139" i="17" s="1"/>
  <c r="C139" i="17"/>
  <c r="E139" i="17" s="1"/>
  <c r="F138" i="17"/>
  <c r="E138" i="17"/>
  <c r="F137" i="17"/>
  <c r="E137" i="17"/>
  <c r="F136" i="17"/>
  <c r="E136" i="17"/>
  <c r="F135" i="17"/>
  <c r="E135" i="17"/>
  <c r="D134" i="17"/>
  <c r="F134" i="17" s="1"/>
  <c r="C134" i="17"/>
  <c r="E134" i="17" s="1"/>
  <c r="F133" i="17"/>
  <c r="E133" i="17"/>
  <c r="F132" i="17"/>
  <c r="E132" i="17"/>
  <c r="F131" i="17"/>
  <c r="E131" i="17"/>
  <c r="F130" i="17"/>
  <c r="E130" i="17"/>
  <c r="F129" i="17"/>
  <c r="E129" i="17"/>
  <c r="F128" i="17"/>
  <c r="E128" i="17"/>
  <c r="F127" i="17"/>
  <c r="E127" i="17"/>
  <c r="F126" i="17"/>
  <c r="E126" i="17"/>
  <c r="F125" i="17"/>
  <c r="E125" i="17"/>
  <c r="F124" i="17"/>
  <c r="E124" i="17"/>
  <c r="F123" i="17"/>
  <c r="E123" i="17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F112" i="17"/>
  <c r="E112" i="17"/>
  <c r="F111" i="17"/>
  <c r="E111" i="17"/>
  <c r="F110" i="17"/>
  <c r="E110" i="17"/>
  <c r="F109" i="17"/>
  <c r="E109" i="17"/>
  <c r="F108" i="17"/>
  <c r="E108" i="17"/>
  <c r="F107" i="17"/>
  <c r="E107" i="17"/>
  <c r="F106" i="17"/>
  <c r="E106" i="17"/>
  <c r="F105" i="17"/>
  <c r="E105" i="17"/>
  <c r="F104" i="17"/>
  <c r="E104" i="17"/>
  <c r="D103" i="17"/>
  <c r="F103" i="17" s="1"/>
  <c r="C103" i="17"/>
  <c r="E103" i="17" s="1"/>
  <c r="F102" i="17"/>
  <c r="E102" i="17"/>
  <c r="F101" i="17"/>
  <c r="E101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3" i="17"/>
  <c r="E83" i="17"/>
  <c r="F82" i="17"/>
  <c r="E82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F74" i="17"/>
  <c r="E74" i="17"/>
  <c r="F73" i="17"/>
  <c r="E73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F42" i="17"/>
  <c r="F41" i="17"/>
  <c r="E41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3" i="17"/>
  <c r="E33" i="17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D25" i="17"/>
  <c r="F25" i="17" s="1"/>
  <c r="C25" i="17"/>
  <c r="E25" i="17" s="1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L14" i="16"/>
  <c r="K14" i="16"/>
  <c r="H14" i="16"/>
  <c r="G14" i="16"/>
  <c r="M14" i="16" s="1"/>
  <c r="O13" i="16"/>
  <c r="M13" i="16"/>
  <c r="O12" i="16"/>
  <c r="M12" i="16"/>
  <c r="O11" i="16"/>
  <c r="M11" i="16"/>
  <c r="O10" i="16"/>
  <c r="M10" i="16"/>
  <c r="O9" i="16"/>
  <c r="M9" i="16"/>
  <c r="O8" i="16"/>
  <c r="M8" i="16"/>
  <c r="O7" i="16"/>
  <c r="M7" i="16"/>
  <c r="O6" i="16"/>
  <c r="M6" i="16"/>
  <c r="O5" i="16"/>
  <c r="M5" i="16"/>
  <c r="O4" i="16"/>
  <c r="M4" i="16"/>
  <c r="O3" i="16"/>
  <c r="N3" i="16"/>
  <c r="M3" i="16"/>
  <c r="N2" i="16"/>
  <c r="N14" i="16" s="1"/>
  <c r="O14" i="16" s="1"/>
  <c r="M2" i="16"/>
  <c r="N17" i="18" l="1"/>
  <c r="O17" i="18" s="1"/>
  <c r="I17" i="18" s="1"/>
  <c r="J17" i="18" s="1"/>
  <c r="K17" i="18" s="1"/>
  <c r="M17" i="18" s="1"/>
  <c r="G23" i="18"/>
  <c r="G34" i="18" s="1"/>
  <c r="G33" i="18"/>
  <c r="I33" i="18" s="1"/>
  <c r="I24" i="18"/>
  <c r="K24" i="18" s="1"/>
  <c r="N16" i="18"/>
  <c r="N18" i="18"/>
  <c r="O18" i="18" s="1"/>
  <c r="I18" i="18" s="1"/>
  <c r="J18" i="18" s="1"/>
  <c r="K18" i="18" s="1"/>
  <c r="M18" i="18" s="1"/>
  <c r="N20" i="18"/>
  <c r="O20" i="18" s="1"/>
  <c r="I20" i="18" s="1"/>
  <c r="J20" i="18" s="1"/>
  <c r="K20" i="18" s="1"/>
  <c r="M20" i="18" s="1"/>
  <c r="N22" i="18"/>
  <c r="O22" i="18" s="1"/>
  <c r="I22" i="18" s="1"/>
  <c r="J22" i="18" s="1"/>
  <c r="K22" i="18" s="1"/>
  <c r="M22" i="18" s="1"/>
  <c r="G35" i="18"/>
  <c r="H27" i="18" s="1"/>
  <c r="I30" i="18"/>
  <c r="L24" i="18"/>
  <c r="O2" i="16"/>
  <c r="L23" i="18" l="1"/>
  <c r="M24" i="18"/>
  <c r="H33" i="18"/>
  <c r="H31" i="18"/>
  <c r="O16" i="18"/>
  <c r="N23" i="18"/>
  <c r="H28" i="18"/>
  <c r="H29" i="18"/>
  <c r="H32" i="18"/>
  <c r="G36" i="18"/>
  <c r="I36" i="18" s="1"/>
  <c r="I35" i="18"/>
  <c r="I34" i="18"/>
  <c r="H34" i="18"/>
  <c r="H30" i="18"/>
  <c r="Q21" i="14"/>
  <c r="R21" i="14" s="1"/>
  <c r="Q20" i="14"/>
  <c r="R20" i="14" s="1"/>
  <c r="Q19" i="14"/>
  <c r="R19" i="14" s="1"/>
  <c r="Q18" i="14"/>
  <c r="R18" i="14" s="1"/>
  <c r="Q17" i="14"/>
  <c r="R17" i="14" s="1"/>
  <c r="Q16" i="14"/>
  <c r="R16" i="14" s="1"/>
  <c r="Q15" i="14"/>
  <c r="R15" i="14" s="1"/>
  <c r="Q14" i="14"/>
  <c r="R14" i="14" s="1"/>
  <c r="Q13" i="14"/>
  <c r="R13" i="14" s="1"/>
  <c r="Q12" i="14"/>
  <c r="R12" i="14" s="1"/>
  <c r="Q11" i="14"/>
  <c r="R11" i="14" s="1"/>
  <c r="Q10" i="14"/>
  <c r="R10" i="14" s="1"/>
  <c r="Q9" i="14"/>
  <c r="R9" i="14" s="1"/>
  <c r="Q8" i="14"/>
  <c r="R8" i="14" s="1"/>
  <c r="Q7" i="14"/>
  <c r="R7" i="14" s="1"/>
  <c r="Q6" i="14"/>
  <c r="R6" i="14" s="1"/>
  <c r="Q5" i="14"/>
  <c r="R5" i="14" s="1"/>
  <c r="Q4" i="14"/>
  <c r="R4" i="14" s="1"/>
  <c r="Q3" i="14"/>
  <c r="R3" i="14" s="1"/>
  <c r="T2" i="14"/>
  <c r="U2" i="14" s="1"/>
  <c r="Q2" i="14"/>
  <c r="R2" i="14" s="1"/>
  <c r="M2" i="14"/>
  <c r="O23" i="18" l="1"/>
  <c r="I16" i="18"/>
  <c r="J10" i="13"/>
  <c r="K10" i="13" s="1"/>
  <c r="J9" i="13"/>
  <c r="K9" i="13" s="1"/>
  <c r="J8" i="13"/>
  <c r="K8" i="13" s="1"/>
  <c r="J7" i="13"/>
  <c r="K7" i="13" s="1"/>
  <c r="J6" i="13"/>
  <c r="K6" i="13" s="1"/>
  <c r="J5" i="13"/>
  <c r="K5" i="13" s="1"/>
  <c r="J4" i="13"/>
  <c r="K4" i="13" s="1"/>
  <c r="J16" i="18" l="1"/>
  <c r="I23" i="18"/>
  <c r="J23" i="18" l="1"/>
  <c r="K16" i="18"/>
  <c r="M16" i="18" l="1"/>
  <c r="K23" i="18"/>
  <c r="M23" i="18" s="1"/>
</calcChain>
</file>

<file path=xl/comments1.xml><?xml version="1.0" encoding="utf-8"?>
<comments xmlns="http://schemas.openxmlformats.org/spreadsheetml/2006/main">
  <authors>
    <author>user</author>
  </authors>
  <commentList>
    <comment ref="D6" authorId="0">
      <text>
        <r>
          <rPr>
            <sz val="9"/>
            <color indexed="81"/>
            <rFont val="宋体"/>
            <charset val="134"/>
          </rPr>
          <t>user:
取用价格管理内的标准运费</t>
        </r>
      </text>
    </comment>
  </commentList>
</comments>
</file>

<file path=xl/comments2.xml><?xml version="1.0" encoding="utf-8"?>
<comments xmlns="http://schemas.openxmlformats.org/spreadsheetml/2006/main">
  <authors>
    <author>user</author>
    <author>Administrator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收货地区显示到市级，若取不到就显示具体地址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>user:
取用价格管理内的标准运费</t>
        </r>
      </text>
    </comment>
    <comment ref="L1" authorId="1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实际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T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废品收入</t>
        </r>
        <r>
          <rPr>
            <sz val="9"/>
            <color indexed="81"/>
            <rFont val="Tahoma"/>
            <family val="2"/>
          </rPr>
          <t>19190.78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盐城单价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上海单价</t>
        </r>
      </text>
    </comment>
  </commentList>
</comments>
</file>

<file path=xl/sharedStrings.xml><?xml version="1.0" encoding="utf-8"?>
<sst xmlns="http://schemas.openxmlformats.org/spreadsheetml/2006/main" count="472" uniqueCount="387">
  <si>
    <t>库存组织：</t>
  </si>
  <si>
    <t>C020_盐城源耀生物_INV</t>
  </si>
  <si>
    <t>批次</t>
  </si>
  <si>
    <t>金额</t>
  </si>
  <si>
    <t>猪浓缩饲料(PH501)-袋装</t>
  </si>
  <si>
    <t>310102220</t>
  </si>
  <si>
    <t>发酵豆粕-勃乐(50%)-40kg/袋</t>
  </si>
  <si>
    <t>310103220</t>
  </si>
  <si>
    <t>发酵豆粕-勃乐(出口)-40kg/袋</t>
  </si>
  <si>
    <t>310104221</t>
  </si>
  <si>
    <t>发酵豆粕-活力蛋白(46%)-50kg/袋</t>
  </si>
  <si>
    <t>201604051201</t>
  </si>
  <si>
    <t>201604091101</t>
  </si>
  <si>
    <t>201604091201</t>
  </si>
  <si>
    <t>310105221</t>
  </si>
  <si>
    <t>发酵豆粕-活力蛋白(48%)-50kg/袋</t>
  </si>
  <si>
    <t>310107220</t>
  </si>
  <si>
    <t>发酵豆粕-粕甲蛋(50%)-40kg/袋</t>
  </si>
  <si>
    <t>201604051101</t>
  </si>
  <si>
    <t>201604101101</t>
  </si>
  <si>
    <t>201604271201</t>
  </si>
  <si>
    <t>330202220</t>
  </si>
  <si>
    <t>猪浓缩饲料-勃乐-III(50%)-40kg/袋</t>
  </si>
  <si>
    <t>201604081201</t>
  </si>
  <si>
    <t>330204221</t>
  </si>
  <si>
    <t>猪浓缩饲料-粕甲蛋V(50%)-50kg/袋</t>
  </si>
  <si>
    <t>201603312201.</t>
  </si>
  <si>
    <t>201604041201</t>
  </si>
  <si>
    <t>201604061201</t>
  </si>
  <si>
    <t>201604071201</t>
  </si>
  <si>
    <t>201604111101</t>
  </si>
  <si>
    <t>201604111201</t>
  </si>
  <si>
    <t>201604121101</t>
  </si>
  <si>
    <t>201604131101</t>
  </si>
  <si>
    <t>201604131201</t>
  </si>
  <si>
    <t>201604141101</t>
  </si>
  <si>
    <t>201604151201</t>
  </si>
  <si>
    <t>201604161101</t>
  </si>
  <si>
    <t>201604161201</t>
  </si>
  <si>
    <t>201604161203</t>
  </si>
  <si>
    <t>201604171101</t>
  </si>
  <si>
    <t>201604181201</t>
  </si>
  <si>
    <t>201604191101</t>
  </si>
  <si>
    <t>201604191201</t>
  </si>
  <si>
    <t>201604201201.</t>
  </si>
  <si>
    <t>201604281201</t>
  </si>
  <si>
    <t>201604291101</t>
  </si>
  <si>
    <t>201604291201</t>
  </si>
  <si>
    <t>330205220</t>
  </si>
  <si>
    <t>猪浓缩饲料-酸酸乳-40kg/袋</t>
  </si>
  <si>
    <t>201603311101.</t>
  </si>
  <si>
    <t>201603311201.</t>
  </si>
  <si>
    <t>201603311201..</t>
  </si>
  <si>
    <t>201604011101.</t>
  </si>
  <si>
    <t>200103001</t>
  </si>
  <si>
    <t>发酵池中料-散装</t>
  </si>
  <si>
    <t>201603311110101</t>
  </si>
  <si>
    <t>201604011110101</t>
  </si>
  <si>
    <t>201604041210101</t>
  </si>
  <si>
    <t>201604051110101</t>
  </si>
  <si>
    <t>201604061110101</t>
  </si>
  <si>
    <t>201604071110101</t>
  </si>
  <si>
    <t>201604121110101</t>
  </si>
  <si>
    <t>201604141110101</t>
  </si>
  <si>
    <t>201604151110101</t>
  </si>
  <si>
    <t>201604171110101</t>
  </si>
  <si>
    <t>201604191110102</t>
  </si>
  <si>
    <t>201604201110102</t>
  </si>
  <si>
    <t>201604241110102</t>
  </si>
  <si>
    <t>201603312110101</t>
  </si>
  <si>
    <t>产品名称</t>
    <phoneticPr fontId="2" type="noConversion"/>
  </si>
  <si>
    <t>客户：</t>
  </si>
  <si>
    <t>2016-04-01</t>
  </si>
  <si>
    <t>时间至：</t>
  </si>
  <si>
    <t>2016-05-26</t>
  </si>
  <si>
    <t>缺少贷项通知单日期</t>
  </si>
  <si>
    <t>核销日期-回签日期（贷项通知单日期）=回款天数</t>
  </si>
  <si>
    <t>客户名称</t>
  </si>
  <si>
    <t>业务员名称</t>
  </si>
  <si>
    <t>部门</t>
  </si>
  <si>
    <t>贷项通知单号</t>
  </si>
  <si>
    <t>回签/确认日期</t>
  </si>
  <si>
    <t>核销GL日期</t>
  </si>
  <si>
    <t>币种</t>
  </si>
  <si>
    <t>备注</t>
  </si>
  <si>
    <t>实款回款天数</t>
    <phoneticPr fontId="1" type="noConversion"/>
  </si>
  <si>
    <t>回款总额－计算用</t>
    <phoneticPr fontId="1" type="noConversion"/>
  </si>
  <si>
    <t>上海万谷种猪育种有限公司</t>
  </si>
  <si>
    <t>薛文潇,</t>
  </si>
  <si>
    <t>销售部大豆粉部</t>
  </si>
  <si>
    <t>2016-04-30</t>
  </si>
  <si>
    <t>CNY</t>
  </si>
  <si>
    <t>收款核销至退款</t>
  </si>
  <si>
    <t>淮安市三星饲料有限公司</t>
  </si>
  <si>
    <t>陈泽锋,</t>
  </si>
  <si>
    <t>销售部西区</t>
  </si>
  <si>
    <t>2016-04-20</t>
  </si>
  <si>
    <t>嘉吉饲料（吉林）有限公司</t>
  </si>
  <si>
    <t>白忱,</t>
  </si>
  <si>
    <t>销售部北区</t>
  </si>
  <si>
    <t>2016-04-15</t>
  </si>
  <si>
    <t>牧原食品股份有限公司</t>
  </si>
  <si>
    <t>高进义,</t>
  </si>
  <si>
    <t>2016-04-08</t>
  </si>
  <si>
    <t>收款核销销售发票</t>
  </si>
  <si>
    <t>2016-04-26</t>
  </si>
  <si>
    <t>序号</t>
  </si>
  <si>
    <t>月份</t>
  </si>
  <si>
    <t>客户全称</t>
    <phoneticPr fontId="5" type="noConversion"/>
  </si>
  <si>
    <t>收货地区</t>
    <phoneticPr fontId="5" type="noConversion"/>
  </si>
  <si>
    <t>产品名称</t>
  </si>
  <si>
    <t>发货单号</t>
  </si>
  <si>
    <t>发货仓库</t>
    <phoneticPr fontId="5" type="noConversion"/>
  </si>
  <si>
    <t>发送数量</t>
  </si>
  <si>
    <t>标准运费</t>
  </si>
  <si>
    <t>承运方式</t>
  </si>
  <si>
    <t>预估运费</t>
  </si>
  <si>
    <t>承运商</t>
  </si>
  <si>
    <t>单吨运费</t>
  </si>
  <si>
    <t>运费金额</t>
  </si>
  <si>
    <t>调拨运费</t>
  </si>
  <si>
    <t>仓储费</t>
  </si>
  <si>
    <t>实际运费合计</t>
    <phoneticPr fontId="5" type="noConversion"/>
  </si>
  <si>
    <t>标准-实际</t>
  </si>
  <si>
    <t>预估-标准</t>
  </si>
  <si>
    <t>预计-实际</t>
  </si>
  <si>
    <t>牧原食品</t>
  </si>
  <si>
    <t>猪浓缩饲料－勃乐</t>
  </si>
  <si>
    <t>上海仓库</t>
    <phoneticPr fontId="5" type="noConversion"/>
  </si>
  <si>
    <t>汽运+集卡</t>
  </si>
  <si>
    <t>东台青华</t>
  </si>
  <si>
    <t>运费基表体现信息-添加红色字段</t>
  </si>
  <si>
    <t>运费平台，预估运费不允许修改，实际运费可以修改</t>
  </si>
  <si>
    <t>管理报表目录</t>
  </si>
  <si>
    <t>报表项目</t>
  </si>
  <si>
    <t>1-2</t>
  </si>
  <si>
    <t>账期计算表</t>
  </si>
  <si>
    <t>2</t>
  </si>
  <si>
    <t>销售运费数据</t>
  </si>
  <si>
    <t>2-1</t>
  </si>
  <si>
    <t>销售运费贡献</t>
  </si>
  <si>
    <t>3</t>
  </si>
  <si>
    <t>采购数据</t>
  </si>
  <si>
    <t>3-1</t>
  </si>
  <si>
    <t>逐日盯市采购利润</t>
  </si>
  <si>
    <t>3-2</t>
  </si>
  <si>
    <t>实际采购利润</t>
  </si>
  <si>
    <t>3-3</t>
  </si>
  <si>
    <t>采购利润差异表</t>
  </si>
  <si>
    <t>手工编制</t>
  </si>
  <si>
    <t>4</t>
  </si>
  <si>
    <t>生产成本数据</t>
  </si>
  <si>
    <t>4-1</t>
  </si>
  <si>
    <t>生产损耗分析表</t>
  </si>
  <si>
    <t>4-2</t>
  </si>
  <si>
    <t>生产成本分析表</t>
  </si>
  <si>
    <t>*</t>
  </si>
  <si>
    <r>
      <t>4</t>
    </r>
    <r>
      <rPr>
        <sz val="10"/>
        <color indexed="8"/>
        <rFont val="宋体"/>
        <charset val="134"/>
      </rPr>
      <t>-4</t>
    </r>
  </si>
  <si>
    <t>收入成本配比表</t>
  </si>
  <si>
    <t>6</t>
  </si>
  <si>
    <t>研发贡献数据</t>
  </si>
  <si>
    <t>6-1</t>
  </si>
  <si>
    <t>研发贡献</t>
  </si>
  <si>
    <t>7</t>
  </si>
  <si>
    <t>报表优化</t>
  </si>
  <si>
    <t>销售</t>
  </si>
  <si>
    <t>开发方式</t>
  </si>
  <si>
    <t>添加字段</t>
  </si>
  <si>
    <t>内容</t>
  </si>
  <si>
    <t>新报表</t>
  </si>
  <si>
    <t>贷项通知单日期、回款天数</t>
  </si>
  <si>
    <t>序号</t>
    <phoneticPr fontId="2" type="noConversion"/>
  </si>
  <si>
    <t>开票日期</t>
    <phoneticPr fontId="2" type="noConversion"/>
  </si>
  <si>
    <t>销售订单号</t>
    <phoneticPr fontId="2" type="noConversion"/>
  </si>
  <si>
    <t>订单日期</t>
    <phoneticPr fontId="2" type="noConversion"/>
  </si>
  <si>
    <t>客户名称</t>
    <phoneticPr fontId="2" type="noConversion"/>
  </si>
  <si>
    <t>数量</t>
    <phoneticPr fontId="2" type="noConversion"/>
  </si>
  <si>
    <t>不含税销售额</t>
    <phoneticPr fontId="2" type="noConversion"/>
  </si>
  <si>
    <t>成品批次号</t>
    <phoneticPr fontId="2" type="noConversion"/>
  </si>
  <si>
    <t>发货日期</t>
    <phoneticPr fontId="2" type="noConversion"/>
  </si>
  <si>
    <t>发货数量</t>
    <phoneticPr fontId="2" type="noConversion"/>
  </si>
  <si>
    <t>成本金额</t>
    <phoneticPr fontId="2" type="noConversion"/>
  </si>
  <si>
    <t>损耗率</t>
  </si>
  <si>
    <t>毛利额</t>
    <phoneticPr fontId="2" type="noConversion"/>
  </si>
  <si>
    <t>毛利率</t>
    <phoneticPr fontId="2" type="noConversion"/>
  </si>
  <si>
    <t>大北农</t>
    <phoneticPr fontId="2" type="noConversion"/>
  </si>
  <si>
    <t>勃乐</t>
    <phoneticPr fontId="2" type="noConversion"/>
  </si>
  <si>
    <t>东方希望</t>
    <phoneticPr fontId="2" type="noConversion"/>
  </si>
  <si>
    <t>发酵粕甲蛋</t>
    <phoneticPr fontId="2" type="noConversion"/>
  </si>
  <si>
    <t>合计</t>
    <phoneticPr fontId="2" type="noConversion"/>
  </si>
  <si>
    <t>通知单列表</t>
  </si>
  <si>
    <t>成本金额加入</t>
  </si>
  <si>
    <t>开票日期</t>
  </si>
  <si>
    <t>取批次成本</t>
  </si>
  <si>
    <t>损耗率=</t>
  </si>
  <si>
    <t>1-发货数量/开票数量</t>
  </si>
  <si>
    <t>产品批号</t>
  </si>
  <si>
    <t>实际完工数量</t>
    <phoneticPr fontId="2" type="noConversion"/>
  </si>
  <si>
    <t>实际消耗数量/吨</t>
    <phoneticPr fontId="2" type="noConversion"/>
  </si>
  <si>
    <t>损耗率</t>
    <phoneticPr fontId="2" type="noConversion"/>
  </si>
  <si>
    <t>损耗量</t>
    <phoneticPr fontId="2" type="noConversion"/>
  </si>
  <si>
    <t>工单消耗表按照领用物料、批次汇总</t>
  </si>
  <si>
    <t>201604111110101</t>
  </si>
  <si>
    <t>201604131110102</t>
  </si>
  <si>
    <t>201604161110101</t>
  </si>
  <si>
    <t>201604181210102</t>
  </si>
  <si>
    <t>201604271110101</t>
  </si>
  <si>
    <t>201604271110102</t>
  </si>
  <si>
    <t>201604281120101</t>
  </si>
  <si>
    <t>20160428121102</t>
  </si>
  <si>
    <t>201604291110102</t>
  </si>
  <si>
    <t>池中料合计</t>
    <phoneticPr fontId="2" type="noConversion"/>
  </si>
  <si>
    <t>膨化大豆粉(粗)-40kg/袋</t>
  </si>
  <si>
    <t>20160403120214</t>
  </si>
  <si>
    <t>20160405120214</t>
  </si>
  <si>
    <t>20160406120210</t>
  </si>
  <si>
    <t>20160407120214</t>
  </si>
  <si>
    <t>20160409120214</t>
  </si>
  <si>
    <t>20160412120214</t>
  </si>
  <si>
    <t>20160418120210</t>
  </si>
  <si>
    <t>20160418120230</t>
  </si>
  <si>
    <t>20160419120210</t>
  </si>
  <si>
    <t>20160426120210</t>
  </si>
  <si>
    <t>20160426120212</t>
  </si>
  <si>
    <t>20160429120210</t>
  </si>
  <si>
    <t>膨化大豆粉(细)-40kg/袋</t>
  </si>
  <si>
    <t>20150420120314</t>
  </si>
  <si>
    <t>20160410120314</t>
  </si>
  <si>
    <t>20160422120314</t>
  </si>
  <si>
    <t>20160427120314</t>
  </si>
  <si>
    <t>猪浓缩饲料(PH505)-粗-40kg/袋</t>
  </si>
  <si>
    <t>20150417120231</t>
  </si>
  <si>
    <t>20150422120210</t>
  </si>
  <si>
    <t>20160331120130</t>
  </si>
  <si>
    <t>20160401120130</t>
  </si>
  <si>
    <t>20160402120130</t>
  </si>
  <si>
    <t>20160405120130</t>
  </si>
  <si>
    <t>20160405120210</t>
  </si>
  <si>
    <t>20160406120130</t>
  </si>
  <si>
    <t>20160407120130</t>
  </si>
  <si>
    <t>20160407120211</t>
  </si>
  <si>
    <t>20160407120231</t>
  </si>
  <si>
    <t>20160408120130</t>
  </si>
  <si>
    <t>20160408120211</t>
  </si>
  <si>
    <t>20160408120212</t>
  </si>
  <si>
    <t>20160409120130</t>
  </si>
  <si>
    <t>20160409120211</t>
  </si>
  <si>
    <t>20160410120130</t>
  </si>
  <si>
    <t>20160412120130</t>
  </si>
  <si>
    <t>20160414120130</t>
  </si>
  <si>
    <t>20160415120130</t>
  </si>
  <si>
    <t>20160415120221</t>
  </si>
  <si>
    <t>20160416120130</t>
  </si>
  <si>
    <t>20160416120221</t>
  </si>
  <si>
    <t>20160417120231</t>
  </si>
  <si>
    <t>20160418120211</t>
  </si>
  <si>
    <t>20160419110130</t>
  </si>
  <si>
    <t>20160419120130</t>
  </si>
  <si>
    <t>20160419120214</t>
  </si>
  <si>
    <t>20160420120130</t>
  </si>
  <si>
    <t>20160420120211</t>
  </si>
  <si>
    <t>20160422120130</t>
  </si>
  <si>
    <t>20160422120210</t>
  </si>
  <si>
    <t>20160423120130</t>
  </si>
  <si>
    <t>20160424120130</t>
  </si>
  <si>
    <t>20160424120211</t>
  </si>
  <si>
    <t>20160425120130</t>
  </si>
  <si>
    <t>20160425120210</t>
  </si>
  <si>
    <t>20160426120130</t>
  </si>
  <si>
    <t>20160426120211</t>
  </si>
  <si>
    <t>20160427120130</t>
  </si>
  <si>
    <t>20160427120211</t>
  </si>
  <si>
    <t>20160428120130</t>
  </si>
  <si>
    <t>20160428120211</t>
  </si>
  <si>
    <t>20160428120221</t>
  </si>
  <si>
    <t>20160429120130</t>
  </si>
  <si>
    <t>猪浓缩饲料(PH505)-细-40kg/袋</t>
  </si>
  <si>
    <t>20150415120320</t>
  </si>
  <si>
    <t>20150425120330</t>
  </si>
  <si>
    <t>20160331120330</t>
  </si>
  <si>
    <t>20160402120330</t>
  </si>
  <si>
    <t>20160407120310</t>
  </si>
  <si>
    <t>20160407120330</t>
  </si>
  <si>
    <t>20160408120330</t>
  </si>
  <si>
    <t>20160412120314</t>
  </si>
  <si>
    <t>20160416120320</t>
  </si>
  <si>
    <t>20160418120314</t>
  </si>
  <si>
    <t>20160418120330</t>
  </si>
  <si>
    <t>20160419120330</t>
  </si>
  <si>
    <t>20160422120330</t>
  </si>
  <si>
    <t>20160426120310</t>
  </si>
  <si>
    <t>20160426120330</t>
  </si>
  <si>
    <t>20160427120320</t>
  </si>
  <si>
    <t>大豆粉合计</t>
    <phoneticPr fontId="2" type="noConversion"/>
  </si>
  <si>
    <t>研发领用13.87T，回机3.48T</t>
    <phoneticPr fontId="2" type="noConversion"/>
  </si>
  <si>
    <t>201604241201.</t>
  </si>
  <si>
    <t>勃乐合计</t>
    <phoneticPr fontId="2" type="noConversion"/>
  </si>
  <si>
    <t>研发领用8.048T，回机19T</t>
    <phoneticPr fontId="2" type="noConversion"/>
  </si>
  <si>
    <t>酸酸乳合计</t>
    <phoneticPr fontId="2" type="noConversion"/>
  </si>
  <si>
    <t>回机2.24T</t>
    <phoneticPr fontId="2" type="noConversion"/>
  </si>
  <si>
    <t>20160428</t>
  </si>
  <si>
    <t>期间：</t>
  </si>
  <si>
    <t>2016-04</t>
  </si>
  <si>
    <t>制单日期：</t>
  </si>
  <si>
    <t>2016-05-08</t>
  </si>
  <si>
    <t>产品编码</t>
  </si>
  <si>
    <t>工单编号</t>
  </si>
  <si>
    <t>工单类型</t>
  </si>
  <si>
    <t>工单状态</t>
  </si>
  <si>
    <t>完工数量</t>
  </si>
  <si>
    <t>主要原料数量</t>
  </si>
  <si>
    <t>主要原料金额</t>
  </si>
  <si>
    <t>回机料数量</t>
  </si>
  <si>
    <t>回机料金额</t>
  </si>
  <si>
    <t>损耗金额</t>
  </si>
  <si>
    <t>PH501数量</t>
  </si>
  <si>
    <t>PH501金额</t>
  </si>
  <si>
    <t>包装物金额</t>
  </si>
  <si>
    <t>标签金额</t>
  </si>
  <si>
    <t>其他配料金额</t>
  </si>
  <si>
    <t>直接人工</t>
  </si>
  <si>
    <t>间接人工</t>
  </si>
  <si>
    <t>折旧费用</t>
  </si>
  <si>
    <t>水</t>
  </si>
  <si>
    <t>电</t>
  </si>
  <si>
    <t>煤</t>
  </si>
  <si>
    <t>其他制费</t>
  </si>
  <si>
    <r>
      <rPr>
        <sz val="10"/>
        <color indexed="8"/>
        <rFont val="宋体"/>
        <charset val="134"/>
      </rPr>
      <t>发酵池中料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charset val="134"/>
      </rPr>
      <t>散装－盐城</t>
    </r>
  </si>
  <si>
    <r>
      <rPr>
        <sz val="10"/>
        <color indexed="8"/>
        <rFont val="宋体"/>
        <charset val="134"/>
      </rPr>
      <t>发酵池中料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charset val="134"/>
      </rPr>
      <t>散装－上海</t>
    </r>
  </si>
  <si>
    <t>调整后成本</t>
    <phoneticPr fontId="1" type="noConversion"/>
  </si>
  <si>
    <t>完工数量去掉回机料</t>
  </si>
  <si>
    <t>税额</t>
    <phoneticPr fontId="1" type="noConversion"/>
  </si>
  <si>
    <t>调整后原料总额额</t>
    <phoneticPr fontId="1" type="noConversion"/>
  </si>
  <si>
    <t>勃乐合计</t>
    <phoneticPr fontId="1" type="noConversion"/>
  </si>
  <si>
    <t>其它费用调整</t>
    <phoneticPr fontId="1" type="noConversion"/>
  </si>
  <si>
    <t>勃乐分配率</t>
    <phoneticPr fontId="1" type="noConversion"/>
  </si>
  <si>
    <t>含酸酸乳分配率</t>
    <phoneticPr fontId="1" type="noConversion"/>
  </si>
  <si>
    <t>分配率</t>
    <phoneticPr fontId="1" type="noConversion"/>
  </si>
  <si>
    <t>库存量</t>
    <phoneticPr fontId="1" type="noConversion"/>
  </si>
  <si>
    <t>PH501占比</t>
    <phoneticPr fontId="1" type="noConversion"/>
  </si>
  <si>
    <r>
      <t>P</t>
    </r>
    <r>
      <rPr>
        <sz val="10"/>
        <color indexed="8"/>
        <rFont val="宋体"/>
        <charset val="134"/>
      </rPr>
      <t>H501数量</t>
    </r>
  </si>
  <si>
    <r>
      <t>P</t>
    </r>
    <r>
      <rPr>
        <sz val="10"/>
        <color indexed="8"/>
        <rFont val="宋体"/>
        <charset val="134"/>
      </rPr>
      <t>H501单价</t>
    </r>
  </si>
  <si>
    <t>期初池中料</t>
    <phoneticPr fontId="1" type="noConversion"/>
  </si>
  <si>
    <t>期末池中料</t>
    <phoneticPr fontId="1" type="noConversion"/>
  </si>
  <si>
    <t>PH501耗用量</t>
    <phoneticPr fontId="1" type="noConversion"/>
  </si>
  <si>
    <t>含酸酸乳合计</t>
    <phoneticPr fontId="1" type="noConversion"/>
  </si>
  <si>
    <t>成本调整前提：</t>
    <phoneticPr fontId="1" type="noConversion"/>
  </si>
  <si>
    <t>1、生产产品成本分析报表内的原料金额，取用的是不含税原料金额，故不管是含税产品还是免税产品，都需计算进项税额；</t>
    <phoneticPr fontId="1" type="noConversion"/>
  </si>
  <si>
    <t>2、需将研发领用的原料、费用，计入其它费用调整项内；</t>
    <phoneticPr fontId="1" type="noConversion"/>
  </si>
  <si>
    <t>3、原料、包装、标签的成本还原，根据实际产品、实际耗用的工单还原；若无实际工单的，按比例方式分摊，勃乐产品的只取用勃乐的分配率；</t>
    <phoneticPr fontId="1" type="noConversion"/>
  </si>
  <si>
    <t>4、水、电、煤、人工等，按成品比例方式分摊，取用含酸酸乳的分配率；</t>
    <phoneticPr fontId="1" type="noConversion"/>
  </si>
  <si>
    <t>5、原料金额内，不考虑回机料金额；</t>
    <phoneticPr fontId="1" type="noConversion"/>
  </si>
  <si>
    <t>6、完工数量不含回机料数量；</t>
    <phoneticPr fontId="1" type="noConversion"/>
  </si>
  <si>
    <t>7、盐城和上海的PH501需单独区分用量、单价；并计算占比及实际耗用量数据；</t>
    <phoneticPr fontId="1" type="noConversion"/>
  </si>
  <si>
    <t>序号</t>
    <phoneticPr fontId="2" type="noConversion"/>
  </si>
  <si>
    <t>日期</t>
    <phoneticPr fontId="2" type="noConversion"/>
  </si>
  <si>
    <t>客户需求</t>
    <phoneticPr fontId="2" type="noConversion"/>
  </si>
  <si>
    <t>边际贡献</t>
    <phoneticPr fontId="2" type="noConversion"/>
  </si>
  <si>
    <t>合计</t>
    <phoneticPr fontId="2" type="noConversion"/>
  </si>
  <si>
    <t>理论46%</t>
    <phoneticPr fontId="2" type="noConversion"/>
  </si>
  <si>
    <t>水份</t>
    <phoneticPr fontId="2" type="noConversion"/>
  </si>
  <si>
    <t>蛋白</t>
    <phoneticPr fontId="2" type="noConversion"/>
  </si>
  <si>
    <t>干基蛋白</t>
    <phoneticPr fontId="2" type="noConversion"/>
  </si>
  <si>
    <t>品控</t>
    <phoneticPr fontId="2" type="noConversion"/>
  </si>
  <si>
    <t>采购</t>
    <phoneticPr fontId="2" type="noConversion"/>
  </si>
  <si>
    <t>实际采购量</t>
    <phoneticPr fontId="2" type="noConversion"/>
  </si>
  <si>
    <t>实际采购单价</t>
    <phoneticPr fontId="2" type="noConversion"/>
  </si>
  <si>
    <t>蛋白含量</t>
    <phoneticPr fontId="2" type="noConversion"/>
  </si>
  <si>
    <t>采购量</t>
    <phoneticPr fontId="2" type="noConversion"/>
  </si>
  <si>
    <t>采购额</t>
    <phoneticPr fontId="2" type="noConversion"/>
  </si>
  <si>
    <t>采购单价</t>
    <phoneticPr fontId="2" type="noConversion"/>
  </si>
  <si>
    <t>损耗率</t>
    <phoneticPr fontId="2" type="noConversion"/>
  </si>
  <si>
    <t>转换为46%损耗</t>
    <phoneticPr fontId="2" type="noConversion"/>
  </si>
  <si>
    <t>转换为46%单价</t>
    <phoneticPr fontId="2" type="noConversion"/>
  </si>
  <si>
    <t>成品量</t>
    <phoneticPr fontId="2" type="noConversion"/>
  </si>
  <si>
    <t>原料市场价</t>
    <phoneticPr fontId="2" type="noConversion"/>
  </si>
  <si>
    <t>备注：</t>
    <phoneticPr fontId="2" type="noConversion"/>
  </si>
  <si>
    <t>1、表中标黄色的为填入内容，同时也是影响边际贡献的重要变量；</t>
    <phoneticPr fontId="2" type="noConversion"/>
  </si>
  <si>
    <t>2、采购边际贡献是基于品控贡献的基础上，再增加原料实际采购蛋白含量的变量；</t>
    <phoneticPr fontId="2" type="noConversion"/>
  </si>
  <si>
    <t>3、生产边际贡献因为数据采集、实际影响较多，故暂未设置；</t>
    <phoneticPr fontId="2" type="noConversion"/>
  </si>
  <si>
    <t>见管理报表－采购利润</t>
  </si>
  <si>
    <t>加入批次成本、损耗</t>
  </si>
  <si>
    <t>改变汇总，新表</t>
  </si>
  <si>
    <t>发票价格差异</t>
  </si>
  <si>
    <t>运费差异</t>
  </si>
  <si>
    <t>见附件</t>
  </si>
  <si>
    <t>进项税额转出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</si>
</sst>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9"/>
      <color rgb="FF336699"/>
      <name val="Arial"/>
      <family val="2"/>
    </font>
    <font>
      <sz val="9"/>
      <color theme="1"/>
      <name val="Calibri"/>
      <charset val="134"/>
      <scheme val="minor"/>
    </font>
    <font>
      <sz val="9"/>
      <color rgb="FF000000"/>
      <name val="Arial"/>
      <family val="2"/>
    </font>
    <font>
      <b/>
      <sz val="9"/>
      <color theme="1"/>
      <name val="Calibri"/>
      <charset val="134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color indexed="8"/>
      <name val="宋体"/>
      <charset val="134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336699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charset val="134"/>
    </font>
    <font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CF8"/>
        <bgColor indexed="64"/>
      </patternFill>
    </fill>
    <fill>
      <patternFill patternType="solid">
        <fgColor rgb="FFEFF5F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0" borderId="0">
      <alignment vertical="center"/>
    </xf>
  </cellStyleXfs>
  <cellXfs count="122">
    <xf numFmtId="0" fontId="0" fillId="0" borderId="0" xfId="0">
      <alignment vertical="center"/>
    </xf>
    <xf numFmtId="0" fontId="4" fillId="0" borderId="0" xfId="0" applyFont="1">
      <alignment vertical="center"/>
    </xf>
    <xf numFmtId="43" fontId="4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7" fillId="4" borderId="0" xfId="0" applyFont="1" applyFill="1">
      <alignment vertical="center"/>
    </xf>
    <xf numFmtId="43" fontId="7" fillId="4" borderId="0" xfId="1" applyFont="1" applyFill="1">
      <alignment vertical="center"/>
    </xf>
    <xf numFmtId="49" fontId="8" fillId="4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43" fontId="6" fillId="5" borderId="1" xfId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3" fontId="9" fillId="4" borderId="1" xfId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vertical="center" wrapText="1"/>
    </xf>
    <xf numFmtId="43" fontId="8" fillId="6" borderId="1" xfId="1" applyFont="1" applyFill="1" applyBorder="1" applyAlignment="1">
      <alignment horizontal="right" vertical="center" wrapText="1"/>
    </xf>
    <xf numFmtId="43" fontId="7" fillId="4" borderId="1" xfId="1" applyFont="1" applyFill="1" applyBorder="1">
      <alignment vertical="center"/>
    </xf>
    <xf numFmtId="0" fontId="10" fillId="4" borderId="0" xfId="0" applyFont="1" applyFill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3" fontId="13" fillId="0" borderId="1" xfId="1" applyFont="1" applyBorder="1">
      <alignment vertical="center"/>
    </xf>
    <xf numFmtId="43" fontId="15" fillId="0" borderId="1" xfId="1" applyFont="1" applyBorder="1">
      <alignment vertical="center"/>
    </xf>
    <xf numFmtId="0" fontId="15" fillId="0" borderId="1" xfId="0" applyFont="1" applyBorder="1">
      <alignment vertical="center"/>
    </xf>
    <xf numFmtId="43" fontId="13" fillId="0" borderId="1" xfId="0" applyNumberFormat="1" applyFont="1" applyBorder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3">
      <alignment vertical="center"/>
    </xf>
    <xf numFmtId="49" fontId="22" fillId="0" borderId="0" xfId="3" applyNumberFormat="1" applyFont="1" applyAlignment="1">
      <alignment horizontal="left" vertical="center"/>
    </xf>
    <xf numFmtId="0" fontId="11" fillId="0" borderId="1" xfId="3" applyFont="1" applyBorder="1" applyAlignment="1">
      <alignment horizontal="center" vertical="center"/>
    </xf>
    <xf numFmtId="49" fontId="13" fillId="0" borderId="1" xfId="3" applyNumberFormat="1" applyFont="1" applyBorder="1" applyAlignment="1">
      <alignment horizontal="center" vertical="center"/>
    </xf>
    <xf numFmtId="0" fontId="13" fillId="0" borderId="1" xfId="3" applyFont="1" applyBorder="1">
      <alignment vertical="center"/>
    </xf>
    <xf numFmtId="49" fontId="11" fillId="0" borderId="1" xfId="3" applyNumberFormat="1" applyFont="1" applyBorder="1" applyAlignment="1">
      <alignment horizontal="center" vertical="center"/>
    </xf>
    <xf numFmtId="0" fontId="11" fillId="0" borderId="1" xfId="3" applyFont="1" applyBorder="1">
      <alignment vertical="center"/>
    </xf>
    <xf numFmtId="0" fontId="13" fillId="0" borderId="1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43" fontId="4" fillId="0" borderId="1" xfId="1" applyFont="1" applyBorder="1">
      <alignment vertical="center"/>
    </xf>
    <xf numFmtId="10" fontId="4" fillId="0" borderId="1" xfId="2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0" fontId="4" fillId="0" borderId="0" xfId="2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43" fontId="11" fillId="0" borderId="0" xfId="1" applyFont="1" applyAlignment="1">
      <alignment horizontal="center" vertical="center"/>
    </xf>
    <xf numFmtId="10" fontId="11" fillId="0" borderId="0" xfId="2" applyNumberFormat="1" applyFont="1" applyAlignment="1">
      <alignment horizontal="center" vertical="center"/>
    </xf>
    <xf numFmtId="43" fontId="13" fillId="0" borderId="0" xfId="1" applyFont="1">
      <alignment vertical="center"/>
    </xf>
    <xf numFmtId="10" fontId="13" fillId="0" borderId="0" xfId="2" applyNumberFormat="1" applyFont="1" applyAlignment="1">
      <alignment vertical="center"/>
    </xf>
    <xf numFmtId="43" fontId="13" fillId="0" borderId="0" xfId="0" applyNumberFormat="1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43" fontId="11" fillId="0" borderId="0" xfId="1" applyFont="1">
      <alignment vertical="center"/>
    </xf>
    <xf numFmtId="10" fontId="11" fillId="0" borderId="0" xfId="2" applyNumberFormat="1" applyFont="1" applyAlignment="1">
      <alignment vertical="center"/>
    </xf>
    <xf numFmtId="43" fontId="11" fillId="0" borderId="0" xfId="0" applyNumberFormat="1" applyFont="1">
      <alignment vertical="center"/>
    </xf>
    <xf numFmtId="49" fontId="23" fillId="4" borderId="0" xfId="0" applyNumberFormat="1" applyFont="1" applyFill="1" applyAlignment="1">
      <alignment vertical="center" wrapText="1"/>
    </xf>
    <xf numFmtId="49" fontId="23" fillId="4" borderId="0" xfId="0" applyNumberFormat="1" applyFont="1" applyFill="1" applyAlignment="1">
      <alignment horizontal="left" vertical="center" wrapText="1"/>
    </xf>
    <xf numFmtId="0" fontId="13" fillId="4" borderId="0" xfId="0" applyFont="1" applyFill="1">
      <alignment vertical="center"/>
    </xf>
    <xf numFmtId="0" fontId="24" fillId="5" borderId="3" xfId="0" applyFont="1" applyFill="1" applyBorder="1" applyAlignment="1">
      <alignment horizontal="center" vertical="center"/>
    </xf>
    <xf numFmtId="49" fontId="23" fillId="6" borderId="3" xfId="0" applyNumberFormat="1" applyFont="1" applyFill="1" applyBorder="1" applyAlignment="1">
      <alignment vertical="center" wrapText="1"/>
    </xf>
    <xf numFmtId="0" fontId="23" fillId="6" borderId="3" xfId="0" applyFont="1" applyFill="1" applyBorder="1" applyAlignment="1">
      <alignment horizontal="right" vertical="center" wrapText="1"/>
    </xf>
    <xf numFmtId="43" fontId="23" fillId="6" borderId="3" xfId="1" applyFont="1" applyFill="1" applyBorder="1" applyAlignment="1">
      <alignment horizontal="right" vertical="center" wrapText="1"/>
    </xf>
    <xf numFmtId="10" fontId="23" fillId="6" borderId="3" xfId="2" applyNumberFormat="1" applyFont="1" applyFill="1" applyBorder="1" applyAlignment="1">
      <alignment horizontal="right" vertical="center" wrapText="1"/>
    </xf>
    <xf numFmtId="43" fontId="23" fillId="6" borderId="3" xfId="0" applyNumberFormat="1" applyFont="1" applyFill="1" applyBorder="1" applyAlignment="1">
      <alignment horizontal="right" vertical="center" wrapText="1"/>
    </xf>
    <xf numFmtId="10" fontId="13" fillId="4" borderId="0" xfId="2" applyNumberFormat="1" applyFont="1" applyFill="1" applyAlignment="1">
      <alignment vertical="center"/>
    </xf>
    <xf numFmtId="43" fontId="13" fillId="4" borderId="0" xfId="0" applyNumberFormat="1" applyFont="1" applyFill="1">
      <alignment vertical="center"/>
    </xf>
    <xf numFmtId="0" fontId="12" fillId="4" borderId="0" xfId="0" applyFont="1" applyFill="1">
      <alignment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49" fontId="13" fillId="4" borderId="1" xfId="0" applyNumberFormat="1" applyFont="1" applyFill="1" applyBorder="1">
      <alignment vertical="center"/>
    </xf>
    <xf numFmtId="43" fontId="13" fillId="4" borderId="1" xfId="1" applyFont="1" applyFill="1" applyBorder="1">
      <alignment vertical="center"/>
    </xf>
    <xf numFmtId="43" fontId="13" fillId="4" borderId="1" xfId="0" applyNumberFormat="1" applyFont="1" applyFill="1" applyBorder="1">
      <alignment vertical="center"/>
    </xf>
    <xf numFmtId="10" fontId="13" fillId="4" borderId="1" xfId="2" applyNumberFormat="1" applyFont="1" applyFill="1" applyBorder="1" applyAlignment="1">
      <alignment vertical="center"/>
    </xf>
    <xf numFmtId="0" fontId="13" fillId="2" borderId="1" xfId="0" applyFont="1" applyFill="1" applyBorder="1">
      <alignment vertical="center"/>
    </xf>
    <xf numFmtId="49" fontId="13" fillId="2" borderId="1" xfId="0" applyNumberFormat="1" applyFont="1" applyFill="1" applyBorder="1">
      <alignment vertical="center"/>
    </xf>
    <xf numFmtId="43" fontId="13" fillId="2" borderId="1" xfId="1" applyFont="1" applyFill="1" applyBorder="1">
      <alignment vertical="center"/>
    </xf>
    <xf numFmtId="10" fontId="13" fillId="2" borderId="1" xfId="2" applyNumberFormat="1" applyFont="1" applyFill="1" applyBorder="1" applyAlignment="1">
      <alignment vertical="center"/>
    </xf>
    <xf numFmtId="43" fontId="13" fillId="2" borderId="1" xfId="0" applyNumberFormat="1" applyFont="1" applyFill="1" applyBorder="1">
      <alignment vertical="center"/>
    </xf>
    <xf numFmtId="0" fontId="13" fillId="3" borderId="0" xfId="0" applyFont="1" applyFill="1">
      <alignment vertical="center"/>
    </xf>
    <xf numFmtId="10" fontId="13" fillId="3" borderId="0" xfId="2" applyNumberFormat="1" applyFont="1" applyFill="1" applyAlignment="1">
      <alignment vertical="center"/>
    </xf>
    <xf numFmtId="43" fontId="13" fillId="3" borderId="0" xfId="1" applyFont="1" applyFill="1">
      <alignment vertical="center"/>
    </xf>
    <xf numFmtId="0" fontId="13" fillId="0" borderId="0" xfId="0" applyFont="1" applyFill="1">
      <alignment vertical="center"/>
    </xf>
    <xf numFmtId="10" fontId="13" fillId="0" borderId="0" xfId="2" applyNumberFormat="1" applyFont="1" applyFill="1" applyAlignment="1">
      <alignment vertical="center"/>
    </xf>
    <xf numFmtId="43" fontId="13" fillId="0" borderId="0" xfId="1" applyFont="1" applyFill="1">
      <alignment vertical="center"/>
    </xf>
    <xf numFmtId="49" fontId="13" fillId="0" borderId="0" xfId="0" applyNumberFormat="1" applyFont="1" applyFill="1">
      <alignment vertical="center"/>
    </xf>
    <xf numFmtId="0" fontId="13" fillId="4" borderId="1" xfId="0" applyFont="1" applyFill="1" applyBorder="1" applyAlignment="1">
      <alignment horizontal="center" vertical="center"/>
    </xf>
    <xf numFmtId="10" fontId="13" fillId="4" borderId="1" xfId="0" applyNumberFormat="1" applyFont="1" applyFill="1" applyBorder="1">
      <alignment vertical="center"/>
    </xf>
    <xf numFmtId="0" fontId="13" fillId="4" borderId="0" xfId="0" applyFont="1" applyFill="1" applyBorder="1">
      <alignment vertical="center"/>
    </xf>
    <xf numFmtId="43" fontId="13" fillId="4" borderId="0" xfId="0" applyNumberFormat="1" applyFont="1" applyFill="1" applyBorder="1">
      <alignment vertical="center"/>
    </xf>
    <xf numFmtId="10" fontId="13" fillId="4" borderId="0" xfId="2" applyNumberFormat="1" applyFont="1" applyFill="1" applyBorder="1" applyAlignment="1">
      <alignment vertical="center"/>
    </xf>
    <xf numFmtId="43" fontId="13" fillId="4" borderId="0" xfId="1" applyFont="1" applyFill="1" applyBorder="1">
      <alignment vertical="center"/>
    </xf>
    <xf numFmtId="49" fontId="13" fillId="4" borderId="0" xfId="0" applyNumberFormat="1" applyFont="1" applyFill="1" applyBorder="1">
      <alignment vertical="center"/>
    </xf>
    <xf numFmtId="43" fontId="13" fillId="4" borderId="0" xfId="1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10" fontId="4" fillId="2" borderId="1" xfId="2" applyNumberFormat="1" applyFont="1" applyFill="1" applyBorder="1" applyAlignment="1">
      <alignment vertical="center"/>
    </xf>
    <xf numFmtId="10" fontId="4" fillId="2" borderId="1" xfId="0" applyNumberFormat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1" xfId="0" applyNumberFormat="1" applyFont="1" applyBorder="1">
      <alignment vertical="center"/>
    </xf>
    <xf numFmtId="43" fontId="4" fillId="2" borderId="1" xfId="1" applyFont="1" applyFill="1" applyBorder="1">
      <alignment vertical="center"/>
    </xf>
    <xf numFmtId="10" fontId="4" fillId="0" borderId="1" xfId="0" applyNumberFormat="1" applyFont="1" applyBorder="1">
      <alignment vertical="center"/>
    </xf>
    <xf numFmtId="10" fontId="28" fillId="0" borderId="1" xfId="2" applyNumberFormat="1" applyFont="1" applyBorder="1" applyAlignment="1">
      <alignment vertical="center"/>
    </xf>
    <xf numFmtId="43" fontId="28" fillId="0" borderId="1" xfId="1" applyFont="1" applyFill="1" applyBorder="1">
      <alignment vertical="center"/>
    </xf>
    <xf numFmtId="43" fontId="28" fillId="0" borderId="1" xfId="1" applyFont="1" applyBorder="1">
      <alignment vertical="center"/>
    </xf>
    <xf numFmtId="43" fontId="4" fillId="0" borderId="0" xfId="1" applyFont="1" applyFill="1">
      <alignment vertical="center"/>
    </xf>
    <xf numFmtId="43" fontId="4" fillId="0" borderId="0" xfId="0" applyNumberFormat="1" applyFont="1">
      <alignment vertical="center"/>
    </xf>
    <xf numFmtId="0" fontId="11" fillId="0" borderId="2" xfId="3" applyFont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58086</xdr:colOff>
      <xdr:row>23</xdr:row>
      <xdr:rowOff>121411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763686" cy="45029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18097</xdr:colOff>
      <xdr:row>23</xdr:row>
      <xdr:rowOff>12839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723697" cy="43943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166750</xdr:colOff>
      <xdr:row>21</xdr:row>
      <xdr:rowOff>68122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62750" cy="40686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649;&#29702;&#25253;&#34920;&#65293;&#29983;&#20135;&#25104;&#264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产成本汇总表"/>
      <sheetName val="盐城生产成本-"/>
      <sheetName val="上海生产成本"/>
      <sheetName val="生产成本组成分析"/>
      <sheetName val="费用归类表"/>
    </sheetNames>
    <sheetDataSet>
      <sheetData sheetId="0"/>
      <sheetData sheetId="1">
        <row r="3">
          <cell r="G3" t="str">
            <v>完工数量</v>
          </cell>
          <cell r="N3" t="str">
            <v>PH501数量</v>
          </cell>
        </row>
        <row r="4">
          <cell r="G4">
            <v>7676.3149999999996</v>
          </cell>
          <cell r="N4">
            <v>31.767019999999999</v>
          </cell>
          <cell r="O4">
            <v>730296.14480000001</v>
          </cell>
        </row>
      </sheetData>
      <sheetData sheetId="2">
        <row r="9">
          <cell r="G9">
            <v>299.56</v>
          </cell>
          <cell r="H9">
            <v>297.65859999999998</v>
          </cell>
          <cell r="I9">
            <v>779362.40619999997</v>
          </cell>
          <cell r="J9">
            <v>2.48</v>
          </cell>
          <cell r="K9">
            <v>8105.2016000000003</v>
          </cell>
          <cell r="M9">
            <v>1403.3483000000001</v>
          </cell>
          <cell r="N9">
            <v>0</v>
          </cell>
          <cell r="O9">
            <v>0</v>
          </cell>
        </row>
        <row r="10">
          <cell r="G10">
            <v>1142.4000000000001</v>
          </cell>
          <cell r="H10">
            <v>1357.7409299999999</v>
          </cell>
          <cell r="I10">
            <v>2911576.6771999998</v>
          </cell>
          <cell r="J10">
            <v>19.004000000000001</v>
          </cell>
          <cell r="K10">
            <v>63035.306900000003</v>
          </cell>
          <cell r="M10">
            <v>322913.01679999998</v>
          </cell>
          <cell r="N10">
            <v>0</v>
          </cell>
          <cell r="O10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9" sqref="A1:XFD1048576"/>
    </sheetView>
  </sheetViews>
  <sheetFormatPr defaultRowHeight="15"/>
  <cols>
    <col min="2" max="2" width="16" bestFit="1" customWidth="1"/>
    <col min="3" max="3" width="16.28515625" customWidth="1"/>
    <col min="4" max="4" width="25.85546875" customWidth="1"/>
  </cols>
  <sheetData>
    <row r="1" spans="1:6" ht="15.75">
      <c r="A1" s="28" t="s">
        <v>133</v>
      </c>
      <c r="B1" s="27"/>
      <c r="C1" s="27"/>
      <c r="D1" s="27"/>
    </row>
    <row r="2" spans="1:6">
      <c r="A2" s="32" t="s">
        <v>106</v>
      </c>
      <c r="B2" s="29" t="s">
        <v>134</v>
      </c>
      <c r="C2" s="29" t="s">
        <v>166</v>
      </c>
      <c r="D2" s="107" t="s">
        <v>168</v>
      </c>
      <c r="E2" s="108"/>
      <c r="F2" s="109"/>
    </row>
    <row r="3" spans="1:6">
      <c r="A3" s="32">
        <v>1</v>
      </c>
      <c r="B3" s="33" t="s">
        <v>165</v>
      </c>
      <c r="C3" s="34"/>
      <c r="D3" s="34"/>
      <c r="E3" s="34"/>
      <c r="F3" s="34"/>
    </row>
    <row r="4" spans="1:6">
      <c r="A4" s="30" t="s">
        <v>135</v>
      </c>
      <c r="B4" s="31" t="s">
        <v>136</v>
      </c>
      <c r="C4" s="34" t="s">
        <v>167</v>
      </c>
      <c r="D4" s="34" t="s">
        <v>170</v>
      </c>
      <c r="E4" s="34"/>
      <c r="F4" s="34"/>
    </row>
    <row r="5" spans="1:6">
      <c r="A5" s="32" t="s">
        <v>137</v>
      </c>
      <c r="B5" s="33" t="s">
        <v>138</v>
      </c>
      <c r="C5" s="34"/>
      <c r="D5" s="34"/>
      <c r="E5" s="34"/>
      <c r="F5" s="34"/>
    </row>
    <row r="6" spans="1:6">
      <c r="A6" s="30" t="s">
        <v>139</v>
      </c>
      <c r="B6" s="31" t="s">
        <v>140</v>
      </c>
      <c r="C6" s="34" t="s">
        <v>167</v>
      </c>
      <c r="D6" s="34" t="s">
        <v>114</v>
      </c>
      <c r="E6" s="34" t="s">
        <v>115</v>
      </c>
      <c r="F6" s="34" t="s">
        <v>116</v>
      </c>
    </row>
    <row r="7" spans="1:6">
      <c r="A7" s="32" t="s">
        <v>141</v>
      </c>
      <c r="B7" s="33" t="s">
        <v>142</v>
      </c>
      <c r="C7" s="34"/>
      <c r="D7" s="34"/>
      <c r="E7" s="34"/>
      <c r="F7" s="34"/>
    </row>
    <row r="8" spans="1:6">
      <c r="A8" s="30" t="s">
        <v>143</v>
      </c>
      <c r="B8" s="31" t="s">
        <v>144</v>
      </c>
      <c r="C8" s="34" t="s">
        <v>169</v>
      </c>
      <c r="D8" s="34" t="s">
        <v>380</v>
      </c>
      <c r="E8" s="34"/>
      <c r="F8" s="34"/>
    </row>
    <row r="9" spans="1:6">
      <c r="A9" s="30" t="s">
        <v>145</v>
      </c>
      <c r="B9" s="31" t="s">
        <v>146</v>
      </c>
      <c r="C9" s="34" t="s">
        <v>169</v>
      </c>
      <c r="D9" s="34" t="s">
        <v>380</v>
      </c>
      <c r="E9" s="34"/>
      <c r="F9" s="34"/>
    </row>
    <row r="10" spans="1:6">
      <c r="A10" s="30" t="s">
        <v>147</v>
      </c>
      <c r="B10" s="31" t="s">
        <v>148</v>
      </c>
      <c r="C10" s="34" t="s">
        <v>169</v>
      </c>
      <c r="D10" s="34" t="s">
        <v>380</v>
      </c>
      <c r="E10" s="34"/>
      <c r="F10" s="34"/>
    </row>
    <row r="11" spans="1:6">
      <c r="A11" s="32" t="s">
        <v>150</v>
      </c>
      <c r="B11" s="33" t="s">
        <v>151</v>
      </c>
      <c r="C11" s="34"/>
      <c r="D11" s="34"/>
      <c r="E11" s="34"/>
      <c r="F11" s="34"/>
    </row>
    <row r="12" spans="1:6">
      <c r="A12" s="30" t="s">
        <v>152</v>
      </c>
      <c r="B12" s="31" t="s">
        <v>153</v>
      </c>
      <c r="C12" s="34" t="s">
        <v>382</v>
      </c>
      <c r="D12" s="34" t="s">
        <v>201</v>
      </c>
      <c r="E12" s="34"/>
      <c r="F12" s="34"/>
    </row>
    <row r="13" spans="1:6">
      <c r="A13" s="30" t="s">
        <v>154</v>
      </c>
      <c r="B13" s="31" t="s">
        <v>155</v>
      </c>
      <c r="C13" s="34" t="s">
        <v>167</v>
      </c>
      <c r="D13" s="34" t="s">
        <v>156</v>
      </c>
      <c r="E13" s="34"/>
      <c r="F13" s="34"/>
    </row>
    <row r="14" spans="1:6">
      <c r="A14" s="30" t="s">
        <v>157</v>
      </c>
      <c r="B14" s="31" t="s">
        <v>158</v>
      </c>
      <c r="C14" s="34" t="s">
        <v>167</v>
      </c>
      <c r="D14" s="34" t="s">
        <v>381</v>
      </c>
      <c r="E14" s="34"/>
      <c r="F14" s="34"/>
    </row>
    <row r="15" spans="1:6">
      <c r="A15" s="32" t="s">
        <v>159</v>
      </c>
      <c r="B15" s="33" t="s">
        <v>160</v>
      </c>
      <c r="C15" s="34"/>
      <c r="D15" s="34"/>
      <c r="E15" s="34"/>
      <c r="F15" s="34"/>
    </row>
    <row r="16" spans="1:6">
      <c r="A16" s="30" t="s">
        <v>161</v>
      </c>
      <c r="B16" s="31" t="s">
        <v>162</v>
      </c>
      <c r="C16" s="34" t="s">
        <v>149</v>
      </c>
      <c r="D16" s="34"/>
      <c r="E16" s="34"/>
      <c r="F16" s="34"/>
    </row>
    <row r="17" spans="1:6">
      <c r="A17" s="32" t="s">
        <v>163</v>
      </c>
      <c r="B17" s="33" t="s">
        <v>164</v>
      </c>
      <c r="C17" s="34"/>
      <c r="D17" s="34"/>
      <c r="E17" s="34"/>
      <c r="F17" s="34"/>
    </row>
    <row r="18" spans="1:6">
      <c r="A18" s="34"/>
      <c r="B18" s="34" t="s">
        <v>383</v>
      </c>
      <c r="C18" s="34" t="s">
        <v>385</v>
      </c>
      <c r="D18" s="34"/>
      <c r="E18" s="34"/>
      <c r="F18" s="34"/>
    </row>
    <row r="19" spans="1:6">
      <c r="A19" s="34"/>
      <c r="B19" s="34" t="s">
        <v>384</v>
      </c>
      <c r="C19" s="34" t="s">
        <v>385</v>
      </c>
      <c r="D19" s="34"/>
      <c r="E19" s="34"/>
      <c r="F19" s="34"/>
    </row>
    <row r="20" spans="1:6">
      <c r="A20" s="34"/>
      <c r="B20" s="34" t="s">
        <v>386</v>
      </c>
      <c r="C20" s="34" t="s">
        <v>385</v>
      </c>
      <c r="D20" s="34"/>
      <c r="E20" s="34"/>
      <c r="F20" s="34"/>
    </row>
  </sheetData>
  <mergeCells count="1">
    <mergeCell ref="D2:F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2" sqref="E2"/>
    </sheetView>
  </sheetViews>
  <sheetFormatPr defaultRowHeight="15"/>
  <cols>
    <col min="1" max="1" width="27.28515625" customWidth="1"/>
    <col min="6" max="6" width="10.5703125" bestFit="1" customWidth="1"/>
    <col min="8" max="8" width="11.28515625" bestFit="1" customWidth="1"/>
    <col min="9" max="9" width="14.85546875" bestFit="1" customWidth="1"/>
    <col min="10" max="10" width="13.5703125" customWidth="1"/>
    <col min="11" max="11" width="16.28515625" customWidth="1"/>
  </cols>
  <sheetData>
    <row r="1" spans="1:11">
      <c r="A1" s="110"/>
      <c r="B1" s="110"/>
      <c r="C1" s="110"/>
      <c r="D1" s="110"/>
      <c r="E1" s="110"/>
      <c r="F1" s="110"/>
      <c r="G1" s="110"/>
      <c r="H1" s="110"/>
      <c r="I1" s="110"/>
      <c r="J1" s="4"/>
      <c r="K1" s="5"/>
    </row>
    <row r="2" spans="1:11" ht="24">
      <c r="A2" s="6" t="s">
        <v>71</v>
      </c>
      <c r="B2" s="7" t="s">
        <v>72</v>
      </c>
      <c r="C2" s="6" t="s">
        <v>73</v>
      </c>
      <c r="D2" s="7" t="s">
        <v>74</v>
      </c>
      <c r="E2" s="15" t="s">
        <v>75</v>
      </c>
      <c r="F2" s="4"/>
      <c r="G2" s="15" t="s">
        <v>76</v>
      </c>
      <c r="H2" s="5"/>
      <c r="I2" s="4"/>
      <c r="J2" s="4"/>
      <c r="K2" s="5"/>
    </row>
    <row r="3" spans="1:11">
      <c r="A3" s="8" t="s">
        <v>77</v>
      </c>
      <c r="B3" s="8" t="s">
        <v>78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9" t="s">
        <v>3</v>
      </c>
      <c r="I3" s="8" t="s">
        <v>84</v>
      </c>
      <c r="J3" s="10" t="s">
        <v>85</v>
      </c>
      <c r="K3" s="11" t="s">
        <v>86</v>
      </c>
    </row>
    <row r="4" spans="1:11" ht="24">
      <c r="A4" s="12" t="s">
        <v>87</v>
      </c>
      <c r="B4" s="12" t="s">
        <v>88</v>
      </c>
      <c r="C4" s="12" t="s">
        <v>89</v>
      </c>
      <c r="D4" s="12"/>
      <c r="E4" s="12"/>
      <c r="F4" s="12" t="s">
        <v>90</v>
      </c>
      <c r="G4" s="12" t="s">
        <v>91</v>
      </c>
      <c r="H4" s="13">
        <v>-7540</v>
      </c>
      <c r="I4" s="12" t="s">
        <v>92</v>
      </c>
      <c r="J4" s="14">
        <f>IF(E4=0,0,F4-E4)</f>
        <v>0</v>
      </c>
      <c r="K4" s="14">
        <f>J4*H4</f>
        <v>0</v>
      </c>
    </row>
    <row r="5" spans="1:11" ht="24">
      <c r="A5" s="12" t="s">
        <v>87</v>
      </c>
      <c r="B5" s="12" t="s">
        <v>88</v>
      </c>
      <c r="C5" s="12" t="s">
        <v>89</v>
      </c>
      <c r="D5" s="12"/>
      <c r="E5" s="12"/>
      <c r="F5" s="12" t="s">
        <v>90</v>
      </c>
      <c r="G5" s="12" t="s">
        <v>91</v>
      </c>
      <c r="H5" s="13">
        <v>-500</v>
      </c>
      <c r="I5" s="12" t="s">
        <v>92</v>
      </c>
      <c r="J5" s="14">
        <f t="shared" ref="J5:J10" si="0">IF(E5=0,0,F5-E5)</f>
        <v>0</v>
      </c>
      <c r="K5" s="14">
        <f t="shared" ref="K5:K10" si="1">J5*H5</f>
        <v>0</v>
      </c>
    </row>
    <row r="6" spans="1:11" ht="24">
      <c r="A6" s="12" t="s">
        <v>93</v>
      </c>
      <c r="B6" s="12" t="s">
        <v>94</v>
      </c>
      <c r="C6" s="12" t="s">
        <v>95</v>
      </c>
      <c r="D6" s="12"/>
      <c r="E6" s="12"/>
      <c r="F6" s="12" t="s">
        <v>96</v>
      </c>
      <c r="G6" s="12" t="s">
        <v>91</v>
      </c>
      <c r="H6" s="13">
        <v>-20900</v>
      </c>
      <c r="I6" s="12" t="s">
        <v>92</v>
      </c>
      <c r="J6" s="14">
        <f t="shared" si="0"/>
        <v>0</v>
      </c>
      <c r="K6" s="14">
        <f t="shared" si="1"/>
        <v>0</v>
      </c>
    </row>
    <row r="7" spans="1:11" ht="24">
      <c r="A7" s="12" t="s">
        <v>93</v>
      </c>
      <c r="B7" s="12" t="s">
        <v>94</v>
      </c>
      <c r="C7" s="12" t="s">
        <v>95</v>
      </c>
      <c r="D7" s="12"/>
      <c r="E7" s="12"/>
      <c r="F7" s="12" t="s">
        <v>96</v>
      </c>
      <c r="G7" s="12" t="s">
        <v>91</v>
      </c>
      <c r="H7" s="13">
        <v>-19850</v>
      </c>
      <c r="I7" s="12" t="s">
        <v>92</v>
      </c>
      <c r="J7" s="14">
        <f t="shared" si="0"/>
        <v>0</v>
      </c>
      <c r="K7" s="14">
        <f t="shared" si="1"/>
        <v>0</v>
      </c>
    </row>
    <row r="8" spans="1:11" ht="24">
      <c r="A8" s="12" t="s">
        <v>97</v>
      </c>
      <c r="B8" s="12" t="s">
        <v>98</v>
      </c>
      <c r="C8" s="12" t="s">
        <v>99</v>
      </c>
      <c r="D8" s="12"/>
      <c r="E8" s="12"/>
      <c r="F8" s="12" t="s">
        <v>100</v>
      </c>
      <c r="G8" s="12" t="s">
        <v>91</v>
      </c>
      <c r="H8" s="13">
        <v>-92272.4</v>
      </c>
      <c r="I8" s="12" t="s">
        <v>92</v>
      </c>
      <c r="J8" s="14">
        <f t="shared" si="0"/>
        <v>0</v>
      </c>
      <c r="K8" s="14">
        <f t="shared" si="1"/>
        <v>0</v>
      </c>
    </row>
    <row r="9" spans="1:11" ht="24">
      <c r="A9" s="12" t="s">
        <v>101</v>
      </c>
      <c r="B9" s="12" t="s">
        <v>102</v>
      </c>
      <c r="C9" s="12" t="s">
        <v>95</v>
      </c>
      <c r="D9" s="12"/>
      <c r="E9" s="12"/>
      <c r="F9" s="12" t="s">
        <v>103</v>
      </c>
      <c r="G9" s="12" t="s">
        <v>91</v>
      </c>
      <c r="H9" s="13">
        <v>-160956.79999999999</v>
      </c>
      <c r="I9" s="12" t="s">
        <v>104</v>
      </c>
      <c r="J9" s="14">
        <f t="shared" si="0"/>
        <v>0</v>
      </c>
      <c r="K9" s="14">
        <f t="shared" si="1"/>
        <v>0</v>
      </c>
    </row>
    <row r="10" spans="1:11" ht="24">
      <c r="A10" s="12" t="s">
        <v>101</v>
      </c>
      <c r="B10" s="12" t="s">
        <v>102</v>
      </c>
      <c r="C10" s="12" t="s">
        <v>95</v>
      </c>
      <c r="D10" s="12"/>
      <c r="E10" s="12"/>
      <c r="F10" s="12" t="s">
        <v>105</v>
      </c>
      <c r="G10" s="12" t="s">
        <v>91</v>
      </c>
      <c r="H10" s="13">
        <v>-11843.2</v>
      </c>
      <c r="I10" s="12" t="s">
        <v>104</v>
      </c>
      <c r="J10" s="14">
        <f t="shared" si="0"/>
        <v>0</v>
      </c>
      <c r="K10" s="14">
        <f t="shared" si="1"/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selection activeCell="I1" sqref="I1:K1"/>
    </sheetView>
  </sheetViews>
  <sheetFormatPr defaultRowHeight="15"/>
  <sheetData>
    <row r="1" spans="1:21">
      <c r="A1" s="16" t="s">
        <v>106</v>
      </c>
      <c r="B1" s="16" t="s">
        <v>107</v>
      </c>
      <c r="C1" s="16" t="s">
        <v>108</v>
      </c>
      <c r="D1" s="16" t="s">
        <v>109</v>
      </c>
      <c r="E1" s="16" t="s">
        <v>110</v>
      </c>
      <c r="F1" s="16" t="s">
        <v>111</v>
      </c>
      <c r="G1" s="16" t="s">
        <v>112</v>
      </c>
      <c r="H1" s="16" t="s">
        <v>113</v>
      </c>
      <c r="I1" s="17" t="s">
        <v>114</v>
      </c>
      <c r="J1" s="17" t="s">
        <v>115</v>
      </c>
      <c r="K1" s="17" t="s">
        <v>116</v>
      </c>
      <c r="L1" s="16" t="s">
        <v>117</v>
      </c>
      <c r="M1" s="16" t="s">
        <v>118</v>
      </c>
      <c r="N1" s="16" t="s">
        <v>119</v>
      </c>
      <c r="O1" s="16" t="s">
        <v>120</v>
      </c>
      <c r="P1" s="16" t="s">
        <v>121</v>
      </c>
      <c r="Q1" s="16" t="s">
        <v>122</v>
      </c>
      <c r="R1" s="16" t="s">
        <v>123</v>
      </c>
      <c r="S1" s="16" t="s">
        <v>116</v>
      </c>
      <c r="T1" s="16" t="s">
        <v>124</v>
      </c>
      <c r="U1" s="16" t="s">
        <v>125</v>
      </c>
    </row>
    <row r="2" spans="1:21">
      <c r="A2" s="18">
        <v>1</v>
      </c>
      <c r="B2" s="18">
        <v>1</v>
      </c>
      <c r="C2" s="19" t="s">
        <v>126</v>
      </c>
      <c r="D2" s="19"/>
      <c r="E2" s="19" t="s">
        <v>127</v>
      </c>
      <c r="F2" s="19">
        <v>20160103</v>
      </c>
      <c r="G2" s="19" t="s">
        <v>128</v>
      </c>
      <c r="H2" s="20">
        <v>10</v>
      </c>
      <c r="I2" s="21">
        <v>320</v>
      </c>
      <c r="J2" s="22" t="s">
        <v>129</v>
      </c>
      <c r="K2" s="22"/>
      <c r="L2" s="19" t="s">
        <v>130</v>
      </c>
      <c r="M2" s="20">
        <f>N2/H2</f>
        <v>250</v>
      </c>
      <c r="N2" s="20">
        <v>2500</v>
      </c>
      <c r="O2" s="20">
        <v>500</v>
      </c>
      <c r="P2" s="20">
        <v>300</v>
      </c>
      <c r="Q2" s="20">
        <f>P2+O2+N2</f>
        <v>3300</v>
      </c>
      <c r="R2" s="23">
        <f t="shared" ref="R2:R21" si="0">I2*H2-Q2</f>
        <v>-100</v>
      </c>
      <c r="S2" s="20">
        <v>350</v>
      </c>
      <c r="T2" s="20">
        <f>(S2-I2)*H2</f>
        <v>300</v>
      </c>
      <c r="U2" s="20">
        <f>T2+R2</f>
        <v>200</v>
      </c>
    </row>
    <row r="3" spans="1:21">
      <c r="A3" s="18">
        <v>2</v>
      </c>
      <c r="B3" s="18"/>
      <c r="C3" s="19"/>
      <c r="D3" s="19"/>
      <c r="E3" s="19"/>
      <c r="F3" s="19"/>
      <c r="G3" s="19"/>
      <c r="H3" s="20"/>
      <c r="I3" s="20"/>
      <c r="J3" s="19"/>
      <c r="K3" s="19"/>
      <c r="L3" s="19"/>
      <c r="M3" s="20"/>
      <c r="N3" s="20"/>
      <c r="O3" s="20"/>
      <c r="P3" s="20"/>
      <c r="Q3" s="20">
        <f t="shared" ref="Q3:Q21" si="1">P3+O3+N3</f>
        <v>0</v>
      </c>
      <c r="R3" s="23">
        <f t="shared" si="0"/>
        <v>0</v>
      </c>
      <c r="S3" s="19"/>
      <c r="T3" s="19"/>
      <c r="U3" s="19"/>
    </row>
    <row r="4" spans="1:21">
      <c r="A4" s="18">
        <v>3</v>
      </c>
      <c r="B4" s="18"/>
      <c r="C4" s="19"/>
      <c r="D4" s="19"/>
      <c r="E4" s="19"/>
      <c r="F4" s="19"/>
      <c r="G4" s="19"/>
      <c r="H4" s="20"/>
      <c r="I4" s="20"/>
      <c r="J4" s="19"/>
      <c r="K4" s="19"/>
      <c r="L4" s="19"/>
      <c r="M4" s="20"/>
      <c r="N4" s="20"/>
      <c r="O4" s="20"/>
      <c r="P4" s="20"/>
      <c r="Q4" s="20">
        <f t="shared" si="1"/>
        <v>0</v>
      </c>
      <c r="R4" s="23">
        <f t="shared" si="0"/>
        <v>0</v>
      </c>
      <c r="S4" s="19"/>
      <c r="T4" s="19"/>
      <c r="U4" s="19"/>
    </row>
    <row r="5" spans="1:21">
      <c r="A5" s="18">
        <v>4</v>
      </c>
      <c r="B5" s="18"/>
      <c r="C5" s="19"/>
      <c r="D5" s="19"/>
      <c r="E5" s="19"/>
      <c r="F5" s="19"/>
      <c r="G5" s="19"/>
      <c r="H5" s="20"/>
      <c r="I5" s="20"/>
      <c r="J5" s="19"/>
      <c r="K5" s="19"/>
      <c r="L5" s="19"/>
      <c r="M5" s="20"/>
      <c r="N5" s="20"/>
      <c r="O5" s="20"/>
      <c r="P5" s="20"/>
      <c r="Q5" s="20">
        <f t="shared" si="1"/>
        <v>0</v>
      </c>
      <c r="R5" s="23">
        <f t="shared" si="0"/>
        <v>0</v>
      </c>
      <c r="S5" s="19"/>
      <c r="T5" s="19"/>
      <c r="U5" s="19"/>
    </row>
    <row r="6" spans="1:21">
      <c r="A6" s="18">
        <v>5</v>
      </c>
      <c r="B6" s="18"/>
      <c r="C6" s="19"/>
      <c r="D6" s="19"/>
      <c r="E6" s="19"/>
      <c r="F6" s="19"/>
      <c r="G6" s="19"/>
      <c r="H6" s="20"/>
      <c r="I6" s="20"/>
      <c r="J6" s="19"/>
      <c r="K6" s="19"/>
      <c r="L6" s="19"/>
      <c r="M6" s="20"/>
      <c r="N6" s="20"/>
      <c r="O6" s="20"/>
      <c r="P6" s="20"/>
      <c r="Q6" s="20">
        <f t="shared" si="1"/>
        <v>0</v>
      </c>
      <c r="R6" s="23">
        <f t="shared" si="0"/>
        <v>0</v>
      </c>
      <c r="S6" s="19"/>
      <c r="T6" s="19"/>
      <c r="U6" s="19"/>
    </row>
    <row r="7" spans="1:21">
      <c r="A7" s="18">
        <v>6</v>
      </c>
      <c r="B7" s="18"/>
      <c r="C7" s="19"/>
      <c r="D7" s="19"/>
      <c r="E7" s="19"/>
      <c r="F7" s="19"/>
      <c r="G7" s="19"/>
      <c r="H7" s="20"/>
      <c r="I7" s="20"/>
      <c r="J7" s="19"/>
      <c r="K7" s="19"/>
      <c r="L7" s="19"/>
      <c r="M7" s="20"/>
      <c r="N7" s="20"/>
      <c r="O7" s="20"/>
      <c r="P7" s="20"/>
      <c r="Q7" s="20">
        <f t="shared" si="1"/>
        <v>0</v>
      </c>
      <c r="R7" s="23">
        <f t="shared" si="0"/>
        <v>0</v>
      </c>
      <c r="S7" s="19"/>
      <c r="T7" s="19"/>
      <c r="U7" s="19"/>
    </row>
    <row r="8" spans="1:21">
      <c r="A8" s="18">
        <v>7</v>
      </c>
      <c r="B8" s="18"/>
      <c r="C8" s="19"/>
      <c r="D8" s="19"/>
      <c r="E8" s="19"/>
      <c r="F8" s="19"/>
      <c r="G8" s="19"/>
      <c r="H8" s="20"/>
      <c r="I8" s="20"/>
      <c r="J8" s="19"/>
      <c r="K8" s="19"/>
      <c r="L8" s="19"/>
      <c r="M8" s="20"/>
      <c r="N8" s="20"/>
      <c r="O8" s="20"/>
      <c r="P8" s="20"/>
      <c r="Q8" s="20">
        <f t="shared" si="1"/>
        <v>0</v>
      </c>
      <c r="R8" s="23">
        <f t="shared" si="0"/>
        <v>0</v>
      </c>
      <c r="S8" s="19"/>
      <c r="T8" s="19"/>
      <c r="U8" s="19"/>
    </row>
    <row r="9" spans="1:21">
      <c r="A9" s="18">
        <v>8</v>
      </c>
      <c r="B9" s="18"/>
      <c r="C9" s="19"/>
      <c r="D9" s="19"/>
      <c r="E9" s="19"/>
      <c r="F9" s="19"/>
      <c r="G9" s="19"/>
      <c r="H9" s="20"/>
      <c r="I9" s="20"/>
      <c r="J9" s="19"/>
      <c r="K9" s="19"/>
      <c r="L9" s="19"/>
      <c r="M9" s="20"/>
      <c r="N9" s="20"/>
      <c r="O9" s="20"/>
      <c r="P9" s="20"/>
      <c r="Q9" s="20">
        <f t="shared" si="1"/>
        <v>0</v>
      </c>
      <c r="R9" s="23">
        <f t="shared" si="0"/>
        <v>0</v>
      </c>
      <c r="S9" s="19"/>
      <c r="T9" s="19"/>
      <c r="U9" s="19"/>
    </row>
    <row r="10" spans="1:21">
      <c r="A10" s="18">
        <v>9</v>
      </c>
      <c r="B10" s="18"/>
      <c r="C10" s="19"/>
      <c r="D10" s="19"/>
      <c r="E10" s="19"/>
      <c r="F10" s="19"/>
      <c r="G10" s="19"/>
      <c r="H10" s="20"/>
      <c r="I10" s="20"/>
      <c r="J10" s="19"/>
      <c r="K10" s="19"/>
      <c r="L10" s="19"/>
      <c r="M10" s="20"/>
      <c r="N10" s="20"/>
      <c r="O10" s="20"/>
      <c r="P10" s="20"/>
      <c r="Q10" s="20">
        <f t="shared" si="1"/>
        <v>0</v>
      </c>
      <c r="R10" s="23">
        <f t="shared" si="0"/>
        <v>0</v>
      </c>
      <c r="S10" s="19"/>
      <c r="T10" s="19"/>
      <c r="U10" s="19"/>
    </row>
    <row r="11" spans="1:21">
      <c r="A11" s="18">
        <v>10</v>
      </c>
      <c r="B11" s="18"/>
      <c r="C11" s="19"/>
      <c r="D11" s="19"/>
      <c r="E11" s="19"/>
      <c r="F11" s="19"/>
      <c r="G11" s="19"/>
      <c r="H11" s="20"/>
      <c r="I11" s="20"/>
      <c r="J11" s="19"/>
      <c r="K11" s="19"/>
      <c r="L11" s="19"/>
      <c r="M11" s="20"/>
      <c r="N11" s="20"/>
      <c r="O11" s="20"/>
      <c r="P11" s="20"/>
      <c r="Q11" s="20">
        <f t="shared" si="1"/>
        <v>0</v>
      </c>
      <c r="R11" s="23">
        <f t="shared" si="0"/>
        <v>0</v>
      </c>
      <c r="S11" s="19"/>
      <c r="T11" s="19"/>
      <c r="U11" s="19"/>
    </row>
    <row r="12" spans="1:21">
      <c r="A12" s="18">
        <v>11</v>
      </c>
      <c r="B12" s="18"/>
      <c r="C12" s="19"/>
      <c r="D12" s="19"/>
      <c r="E12" s="19"/>
      <c r="F12" s="19"/>
      <c r="G12" s="19"/>
      <c r="H12" s="20"/>
      <c r="I12" s="20"/>
      <c r="J12" s="19"/>
      <c r="K12" s="19"/>
      <c r="L12" s="19"/>
      <c r="M12" s="20"/>
      <c r="N12" s="20"/>
      <c r="O12" s="20"/>
      <c r="P12" s="20"/>
      <c r="Q12" s="20">
        <f t="shared" si="1"/>
        <v>0</v>
      </c>
      <c r="R12" s="23">
        <f t="shared" si="0"/>
        <v>0</v>
      </c>
      <c r="S12" s="19"/>
      <c r="T12" s="19"/>
      <c r="U12" s="19"/>
    </row>
    <row r="13" spans="1:21">
      <c r="A13" s="18">
        <v>12</v>
      </c>
      <c r="B13" s="18"/>
      <c r="C13" s="19"/>
      <c r="D13" s="19"/>
      <c r="E13" s="19"/>
      <c r="F13" s="19"/>
      <c r="G13" s="19"/>
      <c r="H13" s="20"/>
      <c r="I13" s="20"/>
      <c r="J13" s="19"/>
      <c r="K13" s="19"/>
      <c r="L13" s="19"/>
      <c r="M13" s="20"/>
      <c r="N13" s="20"/>
      <c r="O13" s="20"/>
      <c r="P13" s="20"/>
      <c r="Q13" s="20">
        <f t="shared" si="1"/>
        <v>0</v>
      </c>
      <c r="R13" s="23">
        <f t="shared" si="0"/>
        <v>0</v>
      </c>
      <c r="S13" s="19"/>
      <c r="T13" s="19"/>
      <c r="U13" s="19"/>
    </row>
    <row r="14" spans="1:21">
      <c r="A14" s="18">
        <v>13</v>
      </c>
      <c r="B14" s="18"/>
      <c r="C14" s="19"/>
      <c r="D14" s="19"/>
      <c r="E14" s="19"/>
      <c r="F14" s="19"/>
      <c r="G14" s="19"/>
      <c r="H14" s="20"/>
      <c r="I14" s="20"/>
      <c r="J14" s="19"/>
      <c r="K14" s="19"/>
      <c r="L14" s="19"/>
      <c r="M14" s="20"/>
      <c r="N14" s="20"/>
      <c r="O14" s="20"/>
      <c r="P14" s="20"/>
      <c r="Q14" s="20">
        <f t="shared" si="1"/>
        <v>0</v>
      </c>
      <c r="R14" s="23">
        <f t="shared" si="0"/>
        <v>0</v>
      </c>
      <c r="S14" s="19"/>
      <c r="T14" s="19"/>
      <c r="U14" s="19"/>
    </row>
    <row r="15" spans="1:21">
      <c r="A15" s="18">
        <v>14</v>
      </c>
      <c r="B15" s="18"/>
      <c r="C15" s="19"/>
      <c r="D15" s="19"/>
      <c r="E15" s="19"/>
      <c r="F15" s="19"/>
      <c r="G15" s="19"/>
      <c r="H15" s="20"/>
      <c r="I15" s="20"/>
      <c r="J15" s="19"/>
      <c r="K15" s="19"/>
      <c r="L15" s="19"/>
      <c r="M15" s="20"/>
      <c r="N15" s="20"/>
      <c r="O15" s="20"/>
      <c r="P15" s="20"/>
      <c r="Q15" s="20">
        <f t="shared" si="1"/>
        <v>0</v>
      </c>
      <c r="R15" s="23">
        <f t="shared" si="0"/>
        <v>0</v>
      </c>
      <c r="S15" s="19"/>
      <c r="T15" s="19"/>
      <c r="U15" s="19"/>
    </row>
    <row r="16" spans="1:21">
      <c r="A16" s="18">
        <v>15</v>
      </c>
      <c r="B16" s="18"/>
      <c r="C16" s="19"/>
      <c r="D16" s="19"/>
      <c r="E16" s="19"/>
      <c r="F16" s="19"/>
      <c r="G16" s="19"/>
      <c r="H16" s="20"/>
      <c r="I16" s="20"/>
      <c r="J16" s="19"/>
      <c r="K16" s="19"/>
      <c r="L16" s="19"/>
      <c r="M16" s="20"/>
      <c r="N16" s="20"/>
      <c r="O16" s="20"/>
      <c r="P16" s="20"/>
      <c r="Q16" s="20">
        <f t="shared" si="1"/>
        <v>0</v>
      </c>
      <c r="R16" s="23">
        <f t="shared" si="0"/>
        <v>0</v>
      </c>
      <c r="S16" s="19"/>
      <c r="T16" s="19"/>
      <c r="U16" s="19"/>
    </row>
    <row r="17" spans="1:21">
      <c r="A17" s="18">
        <v>16</v>
      </c>
      <c r="B17" s="18"/>
      <c r="C17" s="19"/>
      <c r="D17" s="19"/>
      <c r="E17" s="19"/>
      <c r="F17" s="19"/>
      <c r="G17" s="19"/>
      <c r="H17" s="20"/>
      <c r="I17" s="20"/>
      <c r="J17" s="19"/>
      <c r="K17" s="19"/>
      <c r="L17" s="19"/>
      <c r="M17" s="20"/>
      <c r="N17" s="20"/>
      <c r="O17" s="20"/>
      <c r="P17" s="20"/>
      <c r="Q17" s="20">
        <f t="shared" si="1"/>
        <v>0</v>
      </c>
      <c r="R17" s="23">
        <f t="shared" si="0"/>
        <v>0</v>
      </c>
      <c r="S17" s="19"/>
      <c r="T17" s="19"/>
      <c r="U17" s="19"/>
    </row>
    <row r="18" spans="1:21">
      <c r="A18" s="18">
        <v>17</v>
      </c>
      <c r="B18" s="18"/>
      <c r="C18" s="19"/>
      <c r="D18" s="19"/>
      <c r="E18" s="19"/>
      <c r="F18" s="19"/>
      <c r="G18" s="19"/>
      <c r="H18" s="20"/>
      <c r="I18" s="20"/>
      <c r="J18" s="19"/>
      <c r="K18" s="19"/>
      <c r="L18" s="19"/>
      <c r="M18" s="20"/>
      <c r="N18" s="20"/>
      <c r="O18" s="20"/>
      <c r="P18" s="20"/>
      <c r="Q18" s="20">
        <f t="shared" si="1"/>
        <v>0</v>
      </c>
      <c r="R18" s="23">
        <f t="shared" si="0"/>
        <v>0</v>
      </c>
      <c r="S18" s="19"/>
      <c r="T18" s="19"/>
      <c r="U18" s="19"/>
    </row>
    <row r="19" spans="1:21">
      <c r="A19" s="18">
        <v>18</v>
      </c>
      <c r="B19" s="18"/>
      <c r="C19" s="19"/>
      <c r="D19" s="19"/>
      <c r="E19" s="19"/>
      <c r="F19" s="19"/>
      <c r="G19" s="19"/>
      <c r="H19" s="20"/>
      <c r="I19" s="20"/>
      <c r="J19" s="19"/>
      <c r="K19" s="19"/>
      <c r="L19" s="19"/>
      <c r="M19" s="20"/>
      <c r="N19" s="20"/>
      <c r="O19" s="20"/>
      <c r="P19" s="20"/>
      <c r="Q19" s="20">
        <f t="shared" si="1"/>
        <v>0</v>
      </c>
      <c r="R19" s="23">
        <f t="shared" si="0"/>
        <v>0</v>
      </c>
      <c r="S19" s="19"/>
      <c r="T19" s="19"/>
      <c r="U19" s="19"/>
    </row>
    <row r="20" spans="1:21">
      <c r="A20" s="18">
        <v>19</v>
      </c>
      <c r="B20" s="18"/>
      <c r="C20" s="19"/>
      <c r="D20" s="19"/>
      <c r="E20" s="19"/>
      <c r="F20" s="19"/>
      <c r="G20" s="19"/>
      <c r="H20" s="20"/>
      <c r="I20" s="20"/>
      <c r="J20" s="19"/>
      <c r="K20" s="19"/>
      <c r="L20" s="19"/>
      <c r="M20" s="20"/>
      <c r="N20" s="20"/>
      <c r="O20" s="20"/>
      <c r="P20" s="20"/>
      <c r="Q20" s="20">
        <f t="shared" si="1"/>
        <v>0</v>
      </c>
      <c r="R20" s="23">
        <f t="shared" si="0"/>
        <v>0</v>
      </c>
      <c r="S20" s="19"/>
      <c r="T20" s="19"/>
      <c r="U20" s="19"/>
    </row>
    <row r="21" spans="1:21">
      <c r="A21" s="18">
        <v>20</v>
      </c>
      <c r="B21" s="18"/>
      <c r="C21" s="19"/>
      <c r="D21" s="19"/>
      <c r="E21" s="19"/>
      <c r="F21" s="19"/>
      <c r="G21" s="19"/>
      <c r="H21" s="20"/>
      <c r="I21" s="20"/>
      <c r="J21" s="19"/>
      <c r="K21" s="19"/>
      <c r="L21" s="19"/>
      <c r="M21" s="20"/>
      <c r="N21" s="20"/>
      <c r="O21" s="20"/>
      <c r="P21" s="20"/>
      <c r="Q21" s="20">
        <f t="shared" si="1"/>
        <v>0</v>
      </c>
      <c r="R21" s="23">
        <f t="shared" si="0"/>
        <v>0</v>
      </c>
      <c r="S21" s="19"/>
      <c r="T21" s="19"/>
      <c r="U21" s="19"/>
    </row>
    <row r="23" spans="1:21">
      <c r="A23" s="24" t="s">
        <v>131</v>
      </c>
      <c r="B23" s="24"/>
      <c r="C23" s="24"/>
    </row>
    <row r="24" spans="1:21">
      <c r="A24" s="25" t="s">
        <v>132</v>
      </c>
      <c r="B24" s="26"/>
      <c r="C24" s="2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E19" sqref="E19"/>
    </sheetView>
  </sheetViews>
  <sheetFormatPr defaultRowHeight="15"/>
  <sheetData>
    <row r="1" spans="1:15">
      <c r="A1" s="35" t="s">
        <v>171</v>
      </c>
      <c r="B1" s="35" t="s">
        <v>172</v>
      </c>
      <c r="C1" s="35" t="s">
        <v>173</v>
      </c>
      <c r="D1" s="35" t="s">
        <v>174</v>
      </c>
      <c r="E1" s="35" t="s">
        <v>175</v>
      </c>
      <c r="F1" s="35" t="s">
        <v>70</v>
      </c>
      <c r="G1" s="36" t="s">
        <v>176</v>
      </c>
      <c r="H1" s="36" t="s">
        <v>177</v>
      </c>
      <c r="I1" s="35" t="s">
        <v>178</v>
      </c>
      <c r="J1" s="35" t="s">
        <v>179</v>
      </c>
      <c r="K1" s="36" t="s">
        <v>180</v>
      </c>
      <c r="L1" s="36" t="s">
        <v>181</v>
      </c>
      <c r="M1" s="35" t="s">
        <v>182</v>
      </c>
      <c r="N1" s="36" t="s">
        <v>183</v>
      </c>
      <c r="O1" s="37" t="s">
        <v>184</v>
      </c>
    </row>
    <row r="2" spans="1:15">
      <c r="A2" s="38">
        <v>1</v>
      </c>
      <c r="B2" s="39">
        <v>42476</v>
      </c>
      <c r="C2" s="40">
        <v>2016032801</v>
      </c>
      <c r="D2" s="39">
        <v>42457</v>
      </c>
      <c r="E2" s="40" t="s">
        <v>185</v>
      </c>
      <c r="F2" s="40" t="s">
        <v>186</v>
      </c>
      <c r="G2" s="41">
        <v>49.5</v>
      </c>
      <c r="H2" s="41">
        <v>225000</v>
      </c>
      <c r="I2" s="40">
        <v>2016040802</v>
      </c>
      <c r="J2" s="39">
        <v>42470</v>
      </c>
      <c r="K2" s="41">
        <v>49.65</v>
      </c>
      <c r="L2" s="41">
        <v>173775</v>
      </c>
      <c r="M2" s="42">
        <f>1-G2/K2</f>
        <v>3.0211480362537513E-3</v>
      </c>
      <c r="N2" s="41">
        <f>H2-L2</f>
        <v>51225</v>
      </c>
      <c r="O2" s="42">
        <f>N2/H2</f>
        <v>0.22766666666666666</v>
      </c>
    </row>
    <row r="3" spans="1:15">
      <c r="A3" s="38">
        <v>2</v>
      </c>
      <c r="B3" s="39">
        <v>42489</v>
      </c>
      <c r="C3" s="40">
        <v>2016040820</v>
      </c>
      <c r="D3" s="39">
        <v>42468</v>
      </c>
      <c r="E3" s="40" t="s">
        <v>187</v>
      </c>
      <c r="F3" s="40" t="s">
        <v>188</v>
      </c>
      <c r="G3" s="41">
        <v>28</v>
      </c>
      <c r="H3" s="41">
        <v>110085.47008547009</v>
      </c>
      <c r="I3" s="40">
        <v>2016042203</v>
      </c>
      <c r="J3" s="39">
        <v>42483</v>
      </c>
      <c r="K3" s="41">
        <v>28.05</v>
      </c>
      <c r="L3" s="41">
        <v>100419</v>
      </c>
      <c r="M3" s="42">
        <f t="shared" ref="M3:M13" si="0">1-G3/K3</f>
        <v>1.7825311942959443E-3</v>
      </c>
      <c r="N3" s="41">
        <f>H3-L3</f>
        <v>9666.4700854700932</v>
      </c>
      <c r="O3" s="42">
        <f t="shared" ref="O3:O13" si="1">N3/H3</f>
        <v>8.7808773291925532E-2</v>
      </c>
    </row>
    <row r="4" spans="1:15">
      <c r="A4" s="38">
        <v>3</v>
      </c>
      <c r="B4" s="40"/>
      <c r="C4" s="40"/>
      <c r="D4" s="40"/>
      <c r="E4" s="40"/>
      <c r="F4" s="40"/>
      <c r="G4" s="41"/>
      <c r="H4" s="41"/>
      <c r="I4" s="40"/>
      <c r="J4" s="40"/>
      <c r="K4" s="41"/>
      <c r="L4" s="41"/>
      <c r="M4" s="42" t="e">
        <f t="shared" si="0"/>
        <v>#DIV/0!</v>
      </c>
      <c r="N4" s="41"/>
      <c r="O4" s="42" t="e">
        <f t="shared" si="1"/>
        <v>#DIV/0!</v>
      </c>
    </row>
    <row r="5" spans="1:15">
      <c r="A5" s="38">
        <v>4</v>
      </c>
      <c r="B5" s="40"/>
      <c r="C5" s="40"/>
      <c r="D5" s="40"/>
      <c r="E5" s="40"/>
      <c r="F5" s="40"/>
      <c r="G5" s="41"/>
      <c r="H5" s="41"/>
      <c r="I5" s="40"/>
      <c r="J5" s="40"/>
      <c r="K5" s="41"/>
      <c r="L5" s="41"/>
      <c r="M5" s="42" t="e">
        <f t="shared" si="0"/>
        <v>#DIV/0!</v>
      </c>
      <c r="N5" s="41"/>
      <c r="O5" s="42" t="e">
        <f t="shared" si="1"/>
        <v>#DIV/0!</v>
      </c>
    </row>
    <row r="6" spans="1:15">
      <c r="A6" s="38">
        <v>5</v>
      </c>
      <c r="B6" s="40"/>
      <c r="C6" s="40"/>
      <c r="D6" s="40"/>
      <c r="E6" s="40"/>
      <c r="F6" s="40"/>
      <c r="G6" s="41"/>
      <c r="H6" s="41"/>
      <c r="I6" s="40"/>
      <c r="J6" s="40"/>
      <c r="K6" s="41"/>
      <c r="L6" s="41"/>
      <c r="M6" s="42" t="e">
        <f t="shared" si="0"/>
        <v>#DIV/0!</v>
      </c>
      <c r="N6" s="41"/>
      <c r="O6" s="42" t="e">
        <f t="shared" si="1"/>
        <v>#DIV/0!</v>
      </c>
    </row>
    <row r="7" spans="1:15">
      <c r="A7" s="38">
        <v>6</v>
      </c>
      <c r="B7" s="40"/>
      <c r="C7" s="40"/>
      <c r="D7" s="40"/>
      <c r="E7" s="40"/>
      <c r="F7" s="40"/>
      <c r="G7" s="41"/>
      <c r="H7" s="41"/>
      <c r="I7" s="40"/>
      <c r="J7" s="40"/>
      <c r="K7" s="41"/>
      <c r="L7" s="41"/>
      <c r="M7" s="42" t="e">
        <f t="shared" si="0"/>
        <v>#DIV/0!</v>
      </c>
      <c r="N7" s="41"/>
      <c r="O7" s="42" t="e">
        <f t="shared" si="1"/>
        <v>#DIV/0!</v>
      </c>
    </row>
    <row r="8" spans="1:15">
      <c r="A8" s="38">
        <v>7</v>
      </c>
      <c r="B8" s="40"/>
      <c r="C8" s="40"/>
      <c r="D8" s="40"/>
      <c r="E8" s="40"/>
      <c r="F8" s="40"/>
      <c r="G8" s="41"/>
      <c r="H8" s="41"/>
      <c r="I8" s="40"/>
      <c r="J8" s="40"/>
      <c r="K8" s="41"/>
      <c r="L8" s="41"/>
      <c r="M8" s="42" t="e">
        <f t="shared" si="0"/>
        <v>#DIV/0!</v>
      </c>
      <c r="N8" s="41"/>
      <c r="O8" s="42" t="e">
        <f t="shared" si="1"/>
        <v>#DIV/0!</v>
      </c>
    </row>
    <row r="9" spans="1:15">
      <c r="A9" s="38">
        <v>8</v>
      </c>
      <c r="B9" s="40"/>
      <c r="C9" s="40"/>
      <c r="D9" s="40"/>
      <c r="E9" s="40"/>
      <c r="F9" s="40"/>
      <c r="G9" s="41"/>
      <c r="H9" s="41"/>
      <c r="I9" s="40"/>
      <c r="J9" s="40"/>
      <c r="K9" s="41"/>
      <c r="L9" s="41"/>
      <c r="M9" s="42" t="e">
        <f t="shared" si="0"/>
        <v>#DIV/0!</v>
      </c>
      <c r="N9" s="41"/>
      <c r="O9" s="42" t="e">
        <f t="shared" si="1"/>
        <v>#DIV/0!</v>
      </c>
    </row>
    <row r="10" spans="1:15">
      <c r="A10" s="38">
        <v>9</v>
      </c>
      <c r="B10" s="40"/>
      <c r="C10" s="40"/>
      <c r="D10" s="40"/>
      <c r="E10" s="40"/>
      <c r="F10" s="40"/>
      <c r="G10" s="41"/>
      <c r="H10" s="41"/>
      <c r="I10" s="40"/>
      <c r="J10" s="40"/>
      <c r="K10" s="41"/>
      <c r="L10" s="41"/>
      <c r="M10" s="42" t="e">
        <f t="shared" si="0"/>
        <v>#DIV/0!</v>
      </c>
      <c r="N10" s="41"/>
      <c r="O10" s="42" t="e">
        <f t="shared" si="1"/>
        <v>#DIV/0!</v>
      </c>
    </row>
    <row r="11" spans="1:15">
      <c r="A11" s="38">
        <v>10</v>
      </c>
      <c r="B11" s="40"/>
      <c r="C11" s="40"/>
      <c r="D11" s="40"/>
      <c r="E11" s="40"/>
      <c r="F11" s="40"/>
      <c r="G11" s="41"/>
      <c r="H11" s="41"/>
      <c r="I11" s="40"/>
      <c r="J11" s="40"/>
      <c r="K11" s="41"/>
      <c r="L11" s="41"/>
      <c r="M11" s="42" t="e">
        <f t="shared" si="0"/>
        <v>#DIV/0!</v>
      </c>
      <c r="N11" s="41"/>
      <c r="O11" s="42" t="e">
        <f t="shared" si="1"/>
        <v>#DIV/0!</v>
      </c>
    </row>
    <row r="12" spans="1:15">
      <c r="A12" s="38">
        <v>11</v>
      </c>
      <c r="B12" s="40"/>
      <c r="C12" s="40"/>
      <c r="D12" s="40"/>
      <c r="E12" s="40"/>
      <c r="F12" s="40"/>
      <c r="G12" s="41"/>
      <c r="H12" s="41"/>
      <c r="I12" s="40"/>
      <c r="J12" s="40"/>
      <c r="K12" s="41"/>
      <c r="L12" s="41"/>
      <c r="M12" s="42" t="e">
        <f t="shared" si="0"/>
        <v>#DIV/0!</v>
      </c>
      <c r="N12" s="41"/>
      <c r="O12" s="42" t="e">
        <f t="shared" si="1"/>
        <v>#DIV/0!</v>
      </c>
    </row>
    <row r="13" spans="1:15">
      <c r="A13" s="38">
        <v>12</v>
      </c>
      <c r="B13" s="40"/>
      <c r="C13" s="40"/>
      <c r="D13" s="40"/>
      <c r="E13" s="40"/>
      <c r="F13" s="40"/>
      <c r="G13" s="41"/>
      <c r="H13" s="41"/>
      <c r="I13" s="40"/>
      <c r="J13" s="40"/>
      <c r="K13" s="41"/>
      <c r="L13" s="41"/>
      <c r="M13" s="42" t="e">
        <f t="shared" si="0"/>
        <v>#DIV/0!</v>
      </c>
      <c r="N13" s="41"/>
      <c r="O13" s="42" t="e">
        <f t="shared" si="1"/>
        <v>#DIV/0!</v>
      </c>
    </row>
    <row r="14" spans="1:15">
      <c r="A14" s="111" t="s">
        <v>189</v>
      </c>
      <c r="B14" s="111"/>
      <c r="C14" s="111"/>
      <c r="D14" s="111"/>
      <c r="E14" s="111"/>
      <c r="F14" s="111"/>
      <c r="G14" s="41">
        <f>SUM(G2:G13)</f>
        <v>77.5</v>
      </c>
      <c r="H14" s="41">
        <f>SUM(H2:H13)</f>
        <v>335085.47008547012</v>
      </c>
      <c r="I14" s="40"/>
      <c r="J14" s="40"/>
      <c r="K14" s="41">
        <f t="shared" ref="K14:L14" si="2">SUM(K2:K13)</f>
        <v>77.7</v>
      </c>
      <c r="L14" s="41">
        <f t="shared" si="2"/>
        <v>274194</v>
      </c>
      <c r="M14" s="42">
        <f>1-G14/K14</f>
        <v>2.5740025740026429E-3</v>
      </c>
      <c r="N14" s="41">
        <f>SUM(N2:N13)</f>
        <v>60891.470085470093</v>
      </c>
      <c r="O14" s="42">
        <f>N14/H14</f>
        <v>0.18171921948731029</v>
      </c>
    </row>
    <row r="15" spans="1:15">
      <c r="A15" s="43"/>
      <c r="B15" s="1" t="s">
        <v>190</v>
      </c>
      <c r="C15" s="1"/>
      <c r="D15" s="1" t="s">
        <v>191</v>
      </c>
      <c r="E15" s="1"/>
      <c r="F15" s="1" t="s">
        <v>192</v>
      </c>
      <c r="G15" s="2"/>
      <c r="H15" s="2"/>
      <c r="I15" s="1"/>
      <c r="J15" s="1"/>
      <c r="K15" s="2"/>
      <c r="L15" s="2"/>
      <c r="M15" s="1"/>
      <c r="N15" s="2"/>
      <c r="O15" s="44"/>
    </row>
    <row r="16" spans="1:15">
      <c r="A16" s="43"/>
      <c r="B16" s="1"/>
      <c r="C16" s="1" t="s">
        <v>193</v>
      </c>
      <c r="D16" s="1"/>
      <c r="E16" s="1" t="s">
        <v>194</v>
      </c>
      <c r="F16" s="1" t="s">
        <v>195</v>
      </c>
      <c r="G16" s="2"/>
      <c r="H16" s="2"/>
      <c r="I16" s="1"/>
      <c r="J16" s="1"/>
      <c r="K16" s="2"/>
      <c r="L16" s="2"/>
      <c r="M16" s="1"/>
      <c r="N16" s="2"/>
      <c r="O16" s="44"/>
    </row>
  </sheetData>
  <mergeCells count="1">
    <mergeCell ref="A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G3" sqref="G3:J3"/>
    </sheetView>
  </sheetViews>
  <sheetFormatPr defaultColWidth="9" defaultRowHeight="12.75"/>
  <cols>
    <col min="1" max="1" width="29.42578125" style="26" bestFit="1" customWidth="1"/>
    <col min="2" max="2" width="15.140625" style="26" bestFit="1" customWidth="1"/>
    <col min="3" max="3" width="14.42578125" style="48" bestFit="1" customWidth="1"/>
    <col min="4" max="4" width="17.42578125" style="48" bestFit="1" customWidth="1"/>
    <col min="5" max="5" width="10.28515625" style="49" bestFit="1" customWidth="1"/>
    <col min="6" max="6" width="8.7109375" style="26" customWidth="1"/>
    <col min="7" max="256" width="9" style="26"/>
    <col min="257" max="257" width="29.42578125" style="26" bestFit="1" customWidth="1"/>
    <col min="258" max="258" width="15.140625" style="26" bestFit="1" customWidth="1"/>
    <col min="259" max="259" width="14.42578125" style="26" bestFit="1" customWidth="1"/>
    <col min="260" max="260" width="17.42578125" style="26" bestFit="1" customWidth="1"/>
    <col min="261" max="261" width="10.28515625" style="26" bestFit="1" customWidth="1"/>
    <col min="262" max="262" width="8.7109375" style="26" customWidth="1"/>
    <col min="263" max="512" width="9" style="26"/>
    <col min="513" max="513" width="29.42578125" style="26" bestFit="1" customWidth="1"/>
    <col min="514" max="514" width="15.140625" style="26" bestFit="1" customWidth="1"/>
    <col min="515" max="515" width="14.42578125" style="26" bestFit="1" customWidth="1"/>
    <col min="516" max="516" width="17.42578125" style="26" bestFit="1" customWidth="1"/>
    <col min="517" max="517" width="10.28515625" style="26" bestFit="1" customWidth="1"/>
    <col min="518" max="518" width="8.7109375" style="26" customWidth="1"/>
    <col min="519" max="768" width="9" style="26"/>
    <col min="769" max="769" width="29.42578125" style="26" bestFit="1" customWidth="1"/>
    <col min="770" max="770" width="15.140625" style="26" bestFit="1" customWidth="1"/>
    <col min="771" max="771" width="14.42578125" style="26" bestFit="1" customWidth="1"/>
    <col min="772" max="772" width="17.42578125" style="26" bestFit="1" customWidth="1"/>
    <col min="773" max="773" width="10.28515625" style="26" bestFit="1" customWidth="1"/>
    <col min="774" max="774" width="8.7109375" style="26" customWidth="1"/>
    <col min="775" max="1024" width="9" style="26"/>
    <col min="1025" max="1025" width="29.42578125" style="26" bestFit="1" customWidth="1"/>
    <col min="1026" max="1026" width="15.140625" style="26" bestFit="1" customWidth="1"/>
    <col min="1027" max="1027" width="14.42578125" style="26" bestFit="1" customWidth="1"/>
    <col min="1028" max="1028" width="17.42578125" style="26" bestFit="1" customWidth="1"/>
    <col min="1029" max="1029" width="10.28515625" style="26" bestFit="1" customWidth="1"/>
    <col min="1030" max="1030" width="8.7109375" style="26" customWidth="1"/>
    <col min="1031" max="1280" width="9" style="26"/>
    <col min="1281" max="1281" width="29.42578125" style="26" bestFit="1" customWidth="1"/>
    <col min="1282" max="1282" width="15.140625" style="26" bestFit="1" customWidth="1"/>
    <col min="1283" max="1283" width="14.42578125" style="26" bestFit="1" customWidth="1"/>
    <col min="1284" max="1284" width="17.42578125" style="26" bestFit="1" customWidth="1"/>
    <col min="1285" max="1285" width="10.28515625" style="26" bestFit="1" customWidth="1"/>
    <col min="1286" max="1286" width="8.7109375" style="26" customWidth="1"/>
    <col min="1287" max="1536" width="9" style="26"/>
    <col min="1537" max="1537" width="29.42578125" style="26" bestFit="1" customWidth="1"/>
    <col min="1538" max="1538" width="15.140625" style="26" bestFit="1" customWidth="1"/>
    <col min="1539" max="1539" width="14.42578125" style="26" bestFit="1" customWidth="1"/>
    <col min="1540" max="1540" width="17.42578125" style="26" bestFit="1" customWidth="1"/>
    <col min="1541" max="1541" width="10.28515625" style="26" bestFit="1" customWidth="1"/>
    <col min="1542" max="1542" width="8.7109375" style="26" customWidth="1"/>
    <col min="1543" max="1792" width="9" style="26"/>
    <col min="1793" max="1793" width="29.42578125" style="26" bestFit="1" customWidth="1"/>
    <col min="1794" max="1794" width="15.140625" style="26" bestFit="1" customWidth="1"/>
    <col min="1795" max="1795" width="14.42578125" style="26" bestFit="1" customWidth="1"/>
    <col min="1796" max="1796" width="17.42578125" style="26" bestFit="1" customWidth="1"/>
    <col min="1797" max="1797" width="10.28515625" style="26" bestFit="1" customWidth="1"/>
    <col min="1798" max="1798" width="8.7109375" style="26" customWidth="1"/>
    <col min="1799" max="2048" width="9" style="26"/>
    <col min="2049" max="2049" width="29.42578125" style="26" bestFit="1" customWidth="1"/>
    <col min="2050" max="2050" width="15.140625" style="26" bestFit="1" customWidth="1"/>
    <col min="2051" max="2051" width="14.42578125" style="26" bestFit="1" customWidth="1"/>
    <col min="2052" max="2052" width="17.42578125" style="26" bestFit="1" customWidth="1"/>
    <col min="2053" max="2053" width="10.28515625" style="26" bestFit="1" customWidth="1"/>
    <col min="2054" max="2054" width="8.7109375" style="26" customWidth="1"/>
    <col min="2055" max="2304" width="9" style="26"/>
    <col min="2305" max="2305" width="29.42578125" style="26" bestFit="1" customWidth="1"/>
    <col min="2306" max="2306" width="15.140625" style="26" bestFit="1" customWidth="1"/>
    <col min="2307" max="2307" width="14.42578125" style="26" bestFit="1" customWidth="1"/>
    <col min="2308" max="2308" width="17.42578125" style="26" bestFit="1" customWidth="1"/>
    <col min="2309" max="2309" width="10.28515625" style="26" bestFit="1" customWidth="1"/>
    <col min="2310" max="2310" width="8.7109375" style="26" customWidth="1"/>
    <col min="2311" max="2560" width="9" style="26"/>
    <col min="2561" max="2561" width="29.42578125" style="26" bestFit="1" customWidth="1"/>
    <col min="2562" max="2562" width="15.140625" style="26" bestFit="1" customWidth="1"/>
    <col min="2563" max="2563" width="14.42578125" style="26" bestFit="1" customWidth="1"/>
    <col min="2564" max="2564" width="17.42578125" style="26" bestFit="1" customWidth="1"/>
    <col min="2565" max="2565" width="10.28515625" style="26" bestFit="1" customWidth="1"/>
    <col min="2566" max="2566" width="8.7109375" style="26" customWidth="1"/>
    <col min="2567" max="2816" width="9" style="26"/>
    <col min="2817" max="2817" width="29.42578125" style="26" bestFit="1" customWidth="1"/>
    <col min="2818" max="2818" width="15.140625" style="26" bestFit="1" customWidth="1"/>
    <col min="2819" max="2819" width="14.42578125" style="26" bestFit="1" customWidth="1"/>
    <col min="2820" max="2820" width="17.42578125" style="26" bestFit="1" customWidth="1"/>
    <col min="2821" max="2821" width="10.28515625" style="26" bestFit="1" customWidth="1"/>
    <col min="2822" max="2822" width="8.7109375" style="26" customWidth="1"/>
    <col min="2823" max="3072" width="9" style="26"/>
    <col min="3073" max="3073" width="29.42578125" style="26" bestFit="1" customWidth="1"/>
    <col min="3074" max="3074" width="15.140625" style="26" bestFit="1" customWidth="1"/>
    <col min="3075" max="3075" width="14.42578125" style="26" bestFit="1" customWidth="1"/>
    <col min="3076" max="3076" width="17.42578125" style="26" bestFit="1" customWidth="1"/>
    <col min="3077" max="3077" width="10.28515625" style="26" bestFit="1" customWidth="1"/>
    <col min="3078" max="3078" width="8.7109375" style="26" customWidth="1"/>
    <col min="3079" max="3328" width="9" style="26"/>
    <col min="3329" max="3329" width="29.42578125" style="26" bestFit="1" customWidth="1"/>
    <col min="3330" max="3330" width="15.140625" style="26" bestFit="1" customWidth="1"/>
    <col min="3331" max="3331" width="14.42578125" style="26" bestFit="1" customWidth="1"/>
    <col min="3332" max="3332" width="17.42578125" style="26" bestFit="1" customWidth="1"/>
    <col min="3333" max="3333" width="10.28515625" style="26" bestFit="1" customWidth="1"/>
    <col min="3334" max="3334" width="8.7109375" style="26" customWidth="1"/>
    <col min="3335" max="3584" width="9" style="26"/>
    <col min="3585" max="3585" width="29.42578125" style="26" bestFit="1" customWidth="1"/>
    <col min="3586" max="3586" width="15.140625" style="26" bestFit="1" customWidth="1"/>
    <col min="3587" max="3587" width="14.42578125" style="26" bestFit="1" customWidth="1"/>
    <col min="3588" max="3588" width="17.42578125" style="26" bestFit="1" customWidth="1"/>
    <col min="3589" max="3589" width="10.28515625" style="26" bestFit="1" customWidth="1"/>
    <col min="3590" max="3590" width="8.7109375" style="26" customWidth="1"/>
    <col min="3591" max="3840" width="9" style="26"/>
    <col min="3841" max="3841" width="29.42578125" style="26" bestFit="1" customWidth="1"/>
    <col min="3842" max="3842" width="15.140625" style="26" bestFit="1" customWidth="1"/>
    <col min="3843" max="3843" width="14.42578125" style="26" bestFit="1" customWidth="1"/>
    <col min="3844" max="3844" width="17.42578125" style="26" bestFit="1" customWidth="1"/>
    <col min="3845" max="3845" width="10.28515625" style="26" bestFit="1" customWidth="1"/>
    <col min="3846" max="3846" width="8.7109375" style="26" customWidth="1"/>
    <col min="3847" max="4096" width="9" style="26"/>
    <col min="4097" max="4097" width="29.42578125" style="26" bestFit="1" customWidth="1"/>
    <col min="4098" max="4098" width="15.140625" style="26" bestFit="1" customWidth="1"/>
    <col min="4099" max="4099" width="14.42578125" style="26" bestFit="1" customWidth="1"/>
    <col min="4100" max="4100" width="17.42578125" style="26" bestFit="1" customWidth="1"/>
    <col min="4101" max="4101" width="10.28515625" style="26" bestFit="1" customWidth="1"/>
    <col min="4102" max="4102" width="8.7109375" style="26" customWidth="1"/>
    <col min="4103" max="4352" width="9" style="26"/>
    <col min="4353" max="4353" width="29.42578125" style="26" bestFit="1" customWidth="1"/>
    <col min="4354" max="4354" width="15.140625" style="26" bestFit="1" customWidth="1"/>
    <col min="4355" max="4355" width="14.42578125" style="26" bestFit="1" customWidth="1"/>
    <col min="4356" max="4356" width="17.42578125" style="26" bestFit="1" customWidth="1"/>
    <col min="4357" max="4357" width="10.28515625" style="26" bestFit="1" customWidth="1"/>
    <col min="4358" max="4358" width="8.7109375" style="26" customWidth="1"/>
    <col min="4359" max="4608" width="9" style="26"/>
    <col min="4609" max="4609" width="29.42578125" style="26" bestFit="1" customWidth="1"/>
    <col min="4610" max="4610" width="15.140625" style="26" bestFit="1" customWidth="1"/>
    <col min="4611" max="4611" width="14.42578125" style="26" bestFit="1" customWidth="1"/>
    <col min="4612" max="4612" width="17.42578125" style="26" bestFit="1" customWidth="1"/>
    <col min="4613" max="4613" width="10.28515625" style="26" bestFit="1" customWidth="1"/>
    <col min="4614" max="4614" width="8.7109375" style="26" customWidth="1"/>
    <col min="4615" max="4864" width="9" style="26"/>
    <col min="4865" max="4865" width="29.42578125" style="26" bestFit="1" customWidth="1"/>
    <col min="4866" max="4866" width="15.140625" style="26" bestFit="1" customWidth="1"/>
    <col min="4867" max="4867" width="14.42578125" style="26" bestFit="1" customWidth="1"/>
    <col min="4868" max="4868" width="17.42578125" style="26" bestFit="1" customWidth="1"/>
    <col min="4869" max="4869" width="10.28515625" style="26" bestFit="1" customWidth="1"/>
    <col min="4870" max="4870" width="8.7109375" style="26" customWidth="1"/>
    <col min="4871" max="5120" width="9" style="26"/>
    <col min="5121" max="5121" width="29.42578125" style="26" bestFit="1" customWidth="1"/>
    <col min="5122" max="5122" width="15.140625" style="26" bestFit="1" customWidth="1"/>
    <col min="5123" max="5123" width="14.42578125" style="26" bestFit="1" customWidth="1"/>
    <col min="5124" max="5124" width="17.42578125" style="26" bestFit="1" customWidth="1"/>
    <col min="5125" max="5125" width="10.28515625" style="26" bestFit="1" customWidth="1"/>
    <col min="5126" max="5126" width="8.7109375" style="26" customWidth="1"/>
    <col min="5127" max="5376" width="9" style="26"/>
    <col min="5377" max="5377" width="29.42578125" style="26" bestFit="1" customWidth="1"/>
    <col min="5378" max="5378" width="15.140625" style="26" bestFit="1" customWidth="1"/>
    <col min="5379" max="5379" width="14.42578125" style="26" bestFit="1" customWidth="1"/>
    <col min="5380" max="5380" width="17.42578125" style="26" bestFit="1" customWidth="1"/>
    <col min="5381" max="5381" width="10.28515625" style="26" bestFit="1" customWidth="1"/>
    <col min="5382" max="5382" width="8.7109375" style="26" customWidth="1"/>
    <col min="5383" max="5632" width="9" style="26"/>
    <col min="5633" max="5633" width="29.42578125" style="26" bestFit="1" customWidth="1"/>
    <col min="5634" max="5634" width="15.140625" style="26" bestFit="1" customWidth="1"/>
    <col min="5635" max="5635" width="14.42578125" style="26" bestFit="1" customWidth="1"/>
    <col min="5636" max="5636" width="17.42578125" style="26" bestFit="1" customWidth="1"/>
    <col min="5637" max="5637" width="10.28515625" style="26" bestFit="1" customWidth="1"/>
    <col min="5638" max="5638" width="8.7109375" style="26" customWidth="1"/>
    <col min="5639" max="5888" width="9" style="26"/>
    <col min="5889" max="5889" width="29.42578125" style="26" bestFit="1" customWidth="1"/>
    <col min="5890" max="5890" width="15.140625" style="26" bestFit="1" customWidth="1"/>
    <col min="5891" max="5891" width="14.42578125" style="26" bestFit="1" customWidth="1"/>
    <col min="5892" max="5892" width="17.42578125" style="26" bestFit="1" customWidth="1"/>
    <col min="5893" max="5893" width="10.28515625" style="26" bestFit="1" customWidth="1"/>
    <col min="5894" max="5894" width="8.7109375" style="26" customWidth="1"/>
    <col min="5895" max="6144" width="9" style="26"/>
    <col min="6145" max="6145" width="29.42578125" style="26" bestFit="1" customWidth="1"/>
    <col min="6146" max="6146" width="15.140625" style="26" bestFit="1" customWidth="1"/>
    <col min="6147" max="6147" width="14.42578125" style="26" bestFit="1" customWidth="1"/>
    <col min="6148" max="6148" width="17.42578125" style="26" bestFit="1" customWidth="1"/>
    <col min="6149" max="6149" width="10.28515625" style="26" bestFit="1" customWidth="1"/>
    <col min="6150" max="6150" width="8.7109375" style="26" customWidth="1"/>
    <col min="6151" max="6400" width="9" style="26"/>
    <col min="6401" max="6401" width="29.42578125" style="26" bestFit="1" customWidth="1"/>
    <col min="6402" max="6402" width="15.140625" style="26" bestFit="1" customWidth="1"/>
    <col min="6403" max="6403" width="14.42578125" style="26" bestFit="1" customWidth="1"/>
    <col min="6404" max="6404" width="17.42578125" style="26" bestFit="1" customWidth="1"/>
    <col min="6405" max="6405" width="10.28515625" style="26" bestFit="1" customWidth="1"/>
    <col min="6406" max="6406" width="8.7109375" style="26" customWidth="1"/>
    <col min="6407" max="6656" width="9" style="26"/>
    <col min="6657" max="6657" width="29.42578125" style="26" bestFit="1" customWidth="1"/>
    <col min="6658" max="6658" width="15.140625" style="26" bestFit="1" customWidth="1"/>
    <col min="6659" max="6659" width="14.42578125" style="26" bestFit="1" customWidth="1"/>
    <col min="6660" max="6660" width="17.42578125" style="26" bestFit="1" customWidth="1"/>
    <col min="6661" max="6661" width="10.28515625" style="26" bestFit="1" customWidth="1"/>
    <col min="6662" max="6662" width="8.7109375" style="26" customWidth="1"/>
    <col min="6663" max="6912" width="9" style="26"/>
    <col min="6913" max="6913" width="29.42578125" style="26" bestFit="1" customWidth="1"/>
    <col min="6914" max="6914" width="15.140625" style="26" bestFit="1" customWidth="1"/>
    <col min="6915" max="6915" width="14.42578125" style="26" bestFit="1" customWidth="1"/>
    <col min="6916" max="6916" width="17.42578125" style="26" bestFit="1" customWidth="1"/>
    <col min="6917" max="6917" width="10.28515625" style="26" bestFit="1" customWidth="1"/>
    <col min="6918" max="6918" width="8.7109375" style="26" customWidth="1"/>
    <col min="6919" max="7168" width="9" style="26"/>
    <col min="7169" max="7169" width="29.42578125" style="26" bestFit="1" customWidth="1"/>
    <col min="7170" max="7170" width="15.140625" style="26" bestFit="1" customWidth="1"/>
    <col min="7171" max="7171" width="14.42578125" style="26" bestFit="1" customWidth="1"/>
    <col min="7172" max="7172" width="17.42578125" style="26" bestFit="1" customWidth="1"/>
    <col min="7173" max="7173" width="10.28515625" style="26" bestFit="1" customWidth="1"/>
    <col min="7174" max="7174" width="8.7109375" style="26" customWidth="1"/>
    <col min="7175" max="7424" width="9" style="26"/>
    <col min="7425" max="7425" width="29.42578125" style="26" bestFit="1" customWidth="1"/>
    <col min="7426" max="7426" width="15.140625" style="26" bestFit="1" customWidth="1"/>
    <col min="7427" max="7427" width="14.42578125" style="26" bestFit="1" customWidth="1"/>
    <col min="7428" max="7428" width="17.42578125" style="26" bestFit="1" customWidth="1"/>
    <col min="7429" max="7429" width="10.28515625" style="26" bestFit="1" customWidth="1"/>
    <col min="7430" max="7430" width="8.7109375" style="26" customWidth="1"/>
    <col min="7431" max="7680" width="9" style="26"/>
    <col min="7681" max="7681" width="29.42578125" style="26" bestFit="1" customWidth="1"/>
    <col min="7682" max="7682" width="15.140625" style="26" bestFit="1" customWidth="1"/>
    <col min="7683" max="7683" width="14.42578125" style="26" bestFit="1" customWidth="1"/>
    <col min="7684" max="7684" width="17.42578125" style="26" bestFit="1" customWidth="1"/>
    <col min="7685" max="7685" width="10.28515625" style="26" bestFit="1" customWidth="1"/>
    <col min="7686" max="7686" width="8.7109375" style="26" customWidth="1"/>
    <col min="7687" max="7936" width="9" style="26"/>
    <col min="7937" max="7937" width="29.42578125" style="26" bestFit="1" customWidth="1"/>
    <col min="7938" max="7938" width="15.140625" style="26" bestFit="1" customWidth="1"/>
    <col min="7939" max="7939" width="14.42578125" style="26" bestFit="1" customWidth="1"/>
    <col min="7940" max="7940" width="17.42578125" style="26" bestFit="1" customWidth="1"/>
    <col min="7941" max="7941" width="10.28515625" style="26" bestFit="1" customWidth="1"/>
    <col min="7942" max="7942" width="8.7109375" style="26" customWidth="1"/>
    <col min="7943" max="8192" width="9" style="26"/>
    <col min="8193" max="8193" width="29.42578125" style="26" bestFit="1" customWidth="1"/>
    <col min="8194" max="8194" width="15.140625" style="26" bestFit="1" customWidth="1"/>
    <col min="8195" max="8195" width="14.42578125" style="26" bestFit="1" customWidth="1"/>
    <col min="8196" max="8196" width="17.42578125" style="26" bestFit="1" customWidth="1"/>
    <col min="8197" max="8197" width="10.28515625" style="26" bestFit="1" customWidth="1"/>
    <col min="8198" max="8198" width="8.7109375" style="26" customWidth="1"/>
    <col min="8199" max="8448" width="9" style="26"/>
    <col min="8449" max="8449" width="29.42578125" style="26" bestFit="1" customWidth="1"/>
    <col min="8450" max="8450" width="15.140625" style="26" bestFit="1" customWidth="1"/>
    <col min="8451" max="8451" width="14.42578125" style="26" bestFit="1" customWidth="1"/>
    <col min="8452" max="8452" width="17.42578125" style="26" bestFit="1" customWidth="1"/>
    <col min="8453" max="8453" width="10.28515625" style="26" bestFit="1" customWidth="1"/>
    <col min="8454" max="8454" width="8.7109375" style="26" customWidth="1"/>
    <col min="8455" max="8704" width="9" style="26"/>
    <col min="8705" max="8705" width="29.42578125" style="26" bestFit="1" customWidth="1"/>
    <col min="8706" max="8706" width="15.140625" style="26" bestFit="1" customWidth="1"/>
    <col min="8707" max="8707" width="14.42578125" style="26" bestFit="1" customWidth="1"/>
    <col min="8708" max="8708" width="17.42578125" style="26" bestFit="1" customWidth="1"/>
    <col min="8709" max="8709" width="10.28515625" style="26" bestFit="1" customWidth="1"/>
    <col min="8710" max="8710" width="8.7109375" style="26" customWidth="1"/>
    <col min="8711" max="8960" width="9" style="26"/>
    <col min="8961" max="8961" width="29.42578125" style="26" bestFit="1" customWidth="1"/>
    <col min="8962" max="8962" width="15.140625" style="26" bestFit="1" customWidth="1"/>
    <col min="8963" max="8963" width="14.42578125" style="26" bestFit="1" customWidth="1"/>
    <col min="8964" max="8964" width="17.42578125" style="26" bestFit="1" customWidth="1"/>
    <col min="8965" max="8965" width="10.28515625" style="26" bestFit="1" customWidth="1"/>
    <col min="8966" max="8966" width="8.7109375" style="26" customWidth="1"/>
    <col min="8967" max="9216" width="9" style="26"/>
    <col min="9217" max="9217" width="29.42578125" style="26" bestFit="1" customWidth="1"/>
    <col min="9218" max="9218" width="15.140625" style="26" bestFit="1" customWidth="1"/>
    <col min="9219" max="9219" width="14.42578125" style="26" bestFit="1" customWidth="1"/>
    <col min="9220" max="9220" width="17.42578125" style="26" bestFit="1" customWidth="1"/>
    <col min="9221" max="9221" width="10.28515625" style="26" bestFit="1" customWidth="1"/>
    <col min="9222" max="9222" width="8.7109375" style="26" customWidth="1"/>
    <col min="9223" max="9472" width="9" style="26"/>
    <col min="9473" max="9473" width="29.42578125" style="26" bestFit="1" customWidth="1"/>
    <col min="9474" max="9474" width="15.140625" style="26" bestFit="1" customWidth="1"/>
    <col min="9475" max="9475" width="14.42578125" style="26" bestFit="1" customWidth="1"/>
    <col min="9476" max="9476" width="17.42578125" style="26" bestFit="1" customWidth="1"/>
    <col min="9477" max="9477" width="10.28515625" style="26" bestFit="1" customWidth="1"/>
    <col min="9478" max="9478" width="8.7109375" style="26" customWidth="1"/>
    <col min="9479" max="9728" width="9" style="26"/>
    <col min="9729" max="9729" width="29.42578125" style="26" bestFit="1" customWidth="1"/>
    <col min="9730" max="9730" width="15.140625" style="26" bestFit="1" customWidth="1"/>
    <col min="9731" max="9731" width="14.42578125" style="26" bestFit="1" customWidth="1"/>
    <col min="9732" max="9732" width="17.42578125" style="26" bestFit="1" customWidth="1"/>
    <col min="9733" max="9733" width="10.28515625" style="26" bestFit="1" customWidth="1"/>
    <col min="9734" max="9734" width="8.7109375" style="26" customWidth="1"/>
    <col min="9735" max="9984" width="9" style="26"/>
    <col min="9985" max="9985" width="29.42578125" style="26" bestFit="1" customWidth="1"/>
    <col min="9986" max="9986" width="15.140625" style="26" bestFit="1" customWidth="1"/>
    <col min="9987" max="9987" width="14.42578125" style="26" bestFit="1" customWidth="1"/>
    <col min="9988" max="9988" width="17.42578125" style="26" bestFit="1" customWidth="1"/>
    <col min="9989" max="9989" width="10.28515625" style="26" bestFit="1" customWidth="1"/>
    <col min="9990" max="9990" width="8.7109375" style="26" customWidth="1"/>
    <col min="9991" max="10240" width="9" style="26"/>
    <col min="10241" max="10241" width="29.42578125" style="26" bestFit="1" customWidth="1"/>
    <col min="10242" max="10242" width="15.140625" style="26" bestFit="1" customWidth="1"/>
    <col min="10243" max="10243" width="14.42578125" style="26" bestFit="1" customWidth="1"/>
    <col min="10244" max="10244" width="17.42578125" style="26" bestFit="1" customWidth="1"/>
    <col min="10245" max="10245" width="10.28515625" style="26" bestFit="1" customWidth="1"/>
    <col min="10246" max="10246" width="8.7109375" style="26" customWidth="1"/>
    <col min="10247" max="10496" width="9" style="26"/>
    <col min="10497" max="10497" width="29.42578125" style="26" bestFit="1" customWidth="1"/>
    <col min="10498" max="10498" width="15.140625" style="26" bestFit="1" customWidth="1"/>
    <col min="10499" max="10499" width="14.42578125" style="26" bestFit="1" customWidth="1"/>
    <col min="10500" max="10500" width="17.42578125" style="26" bestFit="1" customWidth="1"/>
    <col min="10501" max="10501" width="10.28515625" style="26" bestFit="1" customWidth="1"/>
    <col min="10502" max="10502" width="8.7109375" style="26" customWidth="1"/>
    <col min="10503" max="10752" width="9" style="26"/>
    <col min="10753" max="10753" width="29.42578125" style="26" bestFit="1" customWidth="1"/>
    <col min="10754" max="10754" width="15.140625" style="26" bestFit="1" customWidth="1"/>
    <col min="10755" max="10755" width="14.42578125" style="26" bestFit="1" customWidth="1"/>
    <col min="10756" max="10756" width="17.42578125" style="26" bestFit="1" customWidth="1"/>
    <col min="10757" max="10757" width="10.28515625" style="26" bestFit="1" customWidth="1"/>
    <col min="10758" max="10758" width="8.7109375" style="26" customWidth="1"/>
    <col min="10759" max="11008" width="9" style="26"/>
    <col min="11009" max="11009" width="29.42578125" style="26" bestFit="1" customWidth="1"/>
    <col min="11010" max="11010" width="15.140625" style="26" bestFit="1" customWidth="1"/>
    <col min="11011" max="11011" width="14.42578125" style="26" bestFit="1" customWidth="1"/>
    <col min="11012" max="11012" width="17.42578125" style="26" bestFit="1" customWidth="1"/>
    <col min="11013" max="11013" width="10.28515625" style="26" bestFit="1" customWidth="1"/>
    <col min="11014" max="11014" width="8.7109375" style="26" customWidth="1"/>
    <col min="11015" max="11264" width="9" style="26"/>
    <col min="11265" max="11265" width="29.42578125" style="26" bestFit="1" customWidth="1"/>
    <col min="11266" max="11266" width="15.140625" style="26" bestFit="1" customWidth="1"/>
    <col min="11267" max="11267" width="14.42578125" style="26" bestFit="1" customWidth="1"/>
    <col min="11268" max="11268" width="17.42578125" style="26" bestFit="1" customWidth="1"/>
    <col min="11269" max="11269" width="10.28515625" style="26" bestFit="1" customWidth="1"/>
    <col min="11270" max="11270" width="8.7109375" style="26" customWidth="1"/>
    <col min="11271" max="11520" width="9" style="26"/>
    <col min="11521" max="11521" width="29.42578125" style="26" bestFit="1" customWidth="1"/>
    <col min="11522" max="11522" width="15.140625" style="26" bestFit="1" customWidth="1"/>
    <col min="11523" max="11523" width="14.42578125" style="26" bestFit="1" customWidth="1"/>
    <col min="11524" max="11524" width="17.42578125" style="26" bestFit="1" customWidth="1"/>
    <col min="11525" max="11525" width="10.28515625" style="26" bestFit="1" customWidth="1"/>
    <col min="11526" max="11526" width="8.7109375" style="26" customWidth="1"/>
    <col min="11527" max="11776" width="9" style="26"/>
    <col min="11777" max="11777" width="29.42578125" style="26" bestFit="1" customWidth="1"/>
    <col min="11778" max="11778" width="15.140625" style="26" bestFit="1" customWidth="1"/>
    <col min="11779" max="11779" width="14.42578125" style="26" bestFit="1" customWidth="1"/>
    <col min="11780" max="11780" width="17.42578125" style="26" bestFit="1" customWidth="1"/>
    <col min="11781" max="11781" width="10.28515625" style="26" bestFit="1" customWidth="1"/>
    <col min="11782" max="11782" width="8.7109375" style="26" customWidth="1"/>
    <col min="11783" max="12032" width="9" style="26"/>
    <col min="12033" max="12033" width="29.42578125" style="26" bestFit="1" customWidth="1"/>
    <col min="12034" max="12034" width="15.140625" style="26" bestFit="1" customWidth="1"/>
    <col min="12035" max="12035" width="14.42578125" style="26" bestFit="1" customWidth="1"/>
    <col min="12036" max="12036" width="17.42578125" style="26" bestFit="1" customWidth="1"/>
    <col min="12037" max="12037" width="10.28515625" style="26" bestFit="1" customWidth="1"/>
    <col min="12038" max="12038" width="8.7109375" style="26" customWidth="1"/>
    <col min="12039" max="12288" width="9" style="26"/>
    <col min="12289" max="12289" width="29.42578125" style="26" bestFit="1" customWidth="1"/>
    <col min="12290" max="12290" width="15.140625" style="26" bestFit="1" customWidth="1"/>
    <col min="12291" max="12291" width="14.42578125" style="26" bestFit="1" customWidth="1"/>
    <col min="12292" max="12292" width="17.42578125" style="26" bestFit="1" customWidth="1"/>
    <col min="12293" max="12293" width="10.28515625" style="26" bestFit="1" customWidth="1"/>
    <col min="12294" max="12294" width="8.7109375" style="26" customWidth="1"/>
    <col min="12295" max="12544" width="9" style="26"/>
    <col min="12545" max="12545" width="29.42578125" style="26" bestFit="1" customWidth="1"/>
    <col min="12546" max="12546" width="15.140625" style="26" bestFit="1" customWidth="1"/>
    <col min="12547" max="12547" width="14.42578125" style="26" bestFit="1" customWidth="1"/>
    <col min="12548" max="12548" width="17.42578125" style="26" bestFit="1" customWidth="1"/>
    <col min="12549" max="12549" width="10.28515625" style="26" bestFit="1" customWidth="1"/>
    <col min="12550" max="12550" width="8.7109375" style="26" customWidth="1"/>
    <col min="12551" max="12800" width="9" style="26"/>
    <col min="12801" max="12801" width="29.42578125" style="26" bestFit="1" customWidth="1"/>
    <col min="12802" max="12802" width="15.140625" style="26" bestFit="1" customWidth="1"/>
    <col min="12803" max="12803" width="14.42578125" style="26" bestFit="1" customWidth="1"/>
    <col min="12804" max="12804" width="17.42578125" style="26" bestFit="1" customWidth="1"/>
    <col min="12805" max="12805" width="10.28515625" style="26" bestFit="1" customWidth="1"/>
    <col min="12806" max="12806" width="8.7109375" style="26" customWidth="1"/>
    <col min="12807" max="13056" width="9" style="26"/>
    <col min="13057" max="13057" width="29.42578125" style="26" bestFit="1" customWidth="1"/>
    <col min="13058" max="13058" width="15.140625" style="26" bestFit="1" customWidth="1"/>
    <col min="13059" max="13059" width="14.42578125" style="26" bestFit="1" customWidth="1"/>
    <col min="13060" max="13060" width="17.42578125" style="26" bestFit="1" customWidth="1"/>
    <col min="13061" max="13061" width="10.28515625" style="26" bestFit="1" customWidth="1"/>
    <col min="13062" max="13062" width="8.7109375" style="26" customWidth="1"/>
    <col min="13063" max="13312" width="9" style="26"/>
    <col min="13313" max="13313" width="29.42578125" style="26" bestFit="1" customWidth="1"/>
    <col min="13314" max="13314" width="15.140625" style="26" bestFit="1" customWidth="1"/>
    <col min="13315" max="13315" width="14.42578125" style="26" bestFit="1" customWidth="1"/>
    <col min="13316" max="13316" width="17.42578125" style="26" bestFit="1" customWidth="1"/>
    <col min="13317" max="13317" width="10.28515625" style="26" bestFit="1" customWidth="1"/>
    <col min="13318" max="13318" width="8.7109375" style="26" customWidth="1"/>
    <col min="13319" max="13568" width="9" style="26"/>
    <col min="13569" max="13569" width="29.42578125" style="26" bestFit="1" customWidth="1"/>
    <col min="13570" max="13570" width="15.140625" style="26" bestFit="1" customWidth="1"/>
    <col min="13571" max="13571" width="14.42578125" style="26" bestFit="1" customWidth="1"/>
    <col min="13572" max="13572" width="17.42578125" style="26" bestFit="1" customWidth="1"/>
    <col min="13573" max="13573" width="10.28515625" style="26" bestFit="1" customWidth="1"/>
    <col min="13574" max="13574" width="8.7109375" style="26" customWidth="1"/>
    <col min="13575" max="13824" width="9" style="26"/>
    <col min="13825" max="13825" width="29.42578125" style="26" bestFit="1" customWidth="1"/>
    <col min="13826" max="13826" width="15.140625" style="26" bestFit="1" customWidth="1"/>
    <col min="13827" max="13827" width="14.42578125" style="26" bestFit="1" customWidth="1"/>
    <col min="13828" max="13828" width="17.42578125" style="26" bestFit="1" customWidth="1"/>
    <col min="13829" max="13829" width="10.28515625" style="26" bestFit="1" customWidth="1"/>
    <col min="13830" max="13830" width="8.7109375" style="26" customWidth="1"/>
    <col min="13831" max="14080" width="9" style="26"/>
    <col min="14081" max="14081" width="29.42578125" style="26" bestFit="1" customWidth="1"/>
    <col min="14082" max="14082" width="15.140625" style="26" bestFit="1" customWidth="1"/>
    <col min="14083" max="14083" width="14.42578125" style="26" bestFit="1" customWidth="1"/>
    <col min="14084" max="14084" width="17.42578125" style="26" bestFit="1" customWidth="1"/>
    <col min="14085" max="14085" width="10.28515625" style="26" bestFit="1" customWidth="1"/>
    <col min="14086" max="14086" width="8.7109375" style="26" customWidth="1"/>
    <col min="14087" max="14336" width="9" style="26"/>
    <col min="14337" max="14337" width="29.42578125" style="26" bestFit="1" customWidth="1"/>
    <col min="14338" max="14338" width="15.140625" style="26" bestFit="1" customWidth="1"/>
    <col min="14339" max="14339" width="14.42578125" style="26" bestFit="1" customWidth="1"/>
    <col min="14340" max="14340" width="17.42578125" style="26" bestFit="1" customWidth="1"/>
    <col min="14341" max="14341" width="10.28515625" style="26" bestFit="1" customWidth="1"/>
    <col min="14342" max="14342" width="8.7109375" style="26" customWidth="1"/>
    <col min="14343" max="14592" width="9" style="26"/>
    <col min="14593" max="14593" width="29.42578125" style="26" bestFit="1" customWidth="1"/>
    <col min="14594" max="14594" width="15.140625" style="26" bestFit="1" customWidth="1"/>
    <col min="14595" max="14595" width="14.42578125" style="26" bestFit="1" customWidth="1"/>
    <col min="14596" max="14596" width="17.42578125" style="26" bestFit="1" customWidth="1"/>
    <col min="14597" max="14597" width="10.28515625" style="26" bestFit="1" customWidth="1"/>
    <col min="14598" max="14598" width="8.7109375" style="26" customWidth="1"/>
    <col min="14599" max="14848" width="9" style="26"/>
    <col min="14849" max="14849" width="29.42578125" style="26" bestFit="1" customWidth="1"/>
    <col min="14850" max="14850" width="15.140625" style="26" bestFit="1" customWidth="1"/>
    <col min="14851" max="14851" width="14.42578125" style="26" bestFit="1" customWidth="1"/>
    <col min="14852" max="14852" width="17.42578125" style="26" bestFit="1" customWidth="1"/>
    <col min="14853" max="14853" width="10.28515625" style="26" bestFit="1" customWidth="1"/>
    <col min="14854" max="14854" width="8.7109375" style="26" customWidth="1"/>
    <col min="14855" max="15104" width="9" style="26"/>
    <col min="15105" max="15105" width="29.42578125" style="26" bestFit="1" customWidth="1"/>
    <col min="15106" max="15106" width="15.140625" style="26" bestFit="1" customWidth="1"/>
    <col min="15107" max="15107" width="14.42578125" style="26" bestFit="1" customWidth="1"/>
    <col min="15108" max="15108" width="17.42578125" style="26" bestFit="1" customWidth="1"/>
    <col min="15109" max="15109" width="10.28515625" style="26" bestFit="1" customWidth="1"/>
    <col min="15110" max="15110" width="8.7109375" style="26" customWidth="1"/>
    <col min="15111" max="15360" width="9" style="26"/>
    <col min="15361" max="15361" width="29.42578125" style="26" bestFit="1" customWidth="1"/>
    <col min="15362" max="15362" width="15.140625" style="26" bestFit="1" customWidth="1"/>
    <col min="15363" max="15363" width="14.42578125" style="26" bestFit="1" customWidth="1"/>
    <col min="15364" max="15364" width="17.42578125" style="26" bestFit="1" customWidth="1"/>
    <col min="15365" max="15365" width="10.28515625" style="26" bestFit="1" customWidth="1"/>
    <col min="15366" max="15366" width="8.7109375" style="26" customWidth="1"/>
    <col min="15367" max="15616" width="9" style="26"/>
    <col min="15617" max="15617" width="29.42578125" style="26" bestFit="1" customWidth="1"/>
    <col min="15618" max="15618" width="15.140625" style="26" bestFit="1" customWidth="1"/>
    <col min="15619" max="15619" width="14.42578125" style="26" bestFit="1" customWidth="1"/>
    <col min="15620" max="15620" width="17.42578125" style="26" bestFit="1" customWidth="1"/>
    <col min="15621" max="15621" width="10.28515625" style="26" bestFit="1" customWidth="1"/>
    <col min="15622" max="15622" width="8.7109375" style="26" customWidth="1"/>
    <col min="15623" max="15872" width="9" style="26"/>
    <col min="15873" max="15873" width="29.42578125" style="26" bestFit="1" customWidth="1"/>
    <col min="15874" max="15874" width="15.140625" style="26" bestFit="1" customWidth="1"/>
    <col min="15875" max="15875" width="14.42578125" style="26" bestFit="1" customWidth="1"/>
    <col min="15876" max="15876" width="17.42578125" style="26" bestFit="1" customWidth="1"/>
    <col min="15877" max="15877" width="10.28515625" style="26" bestFit="1" customWidth="1"/>
    <col min="15878" max="15878" width="8.7109375" style="26" customWidth="1"/>
    <col min="15879" max="16128" width="9" style="26"/>
    <col min="16129" max="16129" width="29.42578125" style="26" bestFit="1" customWidth="1"/>
    <col min="16130" max="16130" width="15.140625" style="26" bestFit="1" customWidth="1"/>
    <col min="16131" max="16131" width="14.42578125" style="26" bestFit="1" customWidth="1"/>
    <col min="16132" max="16132" width="17.42578125" style="26" bestFit="1" customWidth="1"/>
    <col min="16133" max="16133" width="10.28515625" style="26" bestFit="1" customWidth="1"/>
    <col min="16134" max="16134" width="8.7109375" style="26" customWidth="1"/>
    <col min="16135" max="16384" width="9" style="26"/>
  </cols>
  <sheetData>
    <row r="1" spans="1:7" s="45" customFormat="1">
      <c r="A1" s="45" t="s">
        <v>70</v>
      </c>
      <c r="B1" s="45" t="s">
        <v>196</v>
      </c>
      <c r="C1" s="46" t="s">
        <v>197</v>
      </c>
      <c r="D1" s="46" t="s">
        <v>198</v>
      </c>
      <c r="E1" s="47" t="s">
        <v>199</v>
      </c>
      <c r="F1" s="45" t="s">
        <v>200</v>
      </c>
    </row>
    <row r="2" spans="1:7">
      <c r="A2" s="25" t="s">
        <v>55</v>
      </c>
      <c r="B2" s="25" t="s">
        <v>56</v>
      </c>
      <c r="C2" s="48">
        <v>105.425</v>
      </c>
      <c r="D2" s="48">
        <v>105.425</v>
      </c>
      <c r="E2" s="49">
        <f>1-C2/D2</f>
        <v>0</v>
      </c>
      <c r="F2" s="50">
        <f>D2-C2</f>
        <v>0</v>
      </c>
    </row>
    <row r="3" spans="1:7">
      <c r="B3" s="25" t="s">
        <v>69</v>
      </c>
      <c r="C3" s="48">
        <v>45.27</v>
      </c>
      <c r="D3" s="48">
        <v>45.269999999999996</v>
      </c>
      <c r="E3" s="49">
        <f t="shared" ref="E3:E66" si="0">1-C3/D3</f>
        <v>0</v>
      </c>
      <c r="F3" s="50">
        <f t="shared" ref="F3:F66" si="1">D3-C3</f>
        <v>0</v>
      </c>
      <c r="G3" s="51" t="s">
        <v>201</v>
      </c>
    </row>
    <row r="4" spans="1:7">
      <c r="B4" s="25" t="s">
        <v>57</v>
      </c>
      <c r="C4" s="48">
        <v>89.84</v>
      </c>
      <c r="D4" s="48">
        <v>90.287000000000006</v>
      </c>
      <c r="E4" s="49">
        <f t="shared" si="0"/>
        <v>4.9508788640668655E-3</v>
      </c>
      <c r="F4" s="50">
        <f t="shared" si="1"/>
        <v>0.44700000000000273</v>
      </c>
    </row>
    <row r="5" spans="1:7">
      <c r="B5" s="25" t="s">
        <v>58</v>
      </c>
      <c r="C5" s="48">
        <v>57.051000000000002</v>
      </c>
      <c r="D5" s="48">
        <v>57.051000000000002</v>
      </c>
      <c r="E5" s="49">
        <f t="shared" si="0"/>
        <v>0</v>
      </c>
      <c r="F5" s="50">
        <f t="shared" si="1"/>
        <v>0</v>
      </c>
    </row>
    <row r="6" spans="1:7">
      <c r="B6" s="25" t="s">
        <v>59</v>
      </c>
      <c r="C6" s="48">
        <v>16.123999999999999</v>
      </c>
      <c r="D6" s="48">
        <v>16.123999999999999</v>
      </c>
      <c r="E6" s="49">
        <f t="shared" si="0"/>
        <v>0</v>
      </c>
      <c r="F6" s="50">
        <f t="shared" si="1"/>
        <v>0</v>
      </c>
    </row>
    <row r="7" spans="1:7">
      <c r="B7" s="25" t="s">
        <v>60</v>
      </c>
      <c r="C7" s="48">
        <v>32.636000000000003</v>
      </c>
      <c r="D7" s="48">
        <v>32.636000000000003</v>
      </c>
      <c r="E7" s="49">
        <f t="shared" si="0"/>
        <v>0</v>
      </c>
      <c r="F7" s="50">
        <f t="shared" si="1"/>
        <v>0</v>
      </c>
    </row>
    <row r="8" spans="1:7">
      <c r="B8" s="25" t="s">
        <v>61</v>
      </c>
      <c r="C8" s="48">
        <v>5.6219999999999999</v>
      </c>
      <c r="D8" s="48">
        <v>5.6219999999999999</v>
      </c>
      <c r="E8" s="49">
        <f t="shared" si="0"/>
        <v>0</v>
      </c>
      <c r="F8" s="50">
        <f t="shared" si="1"/>
        <v>0</v>
      </c>
    </row>
    <row r="9" spans="1:7">
      <c r="B9" s="25" t="s">
        <v>202</v>
      </c>
      <c r="C9" s="48">
        <v>167.858</v>
      </c>
      <c r="D9" s="48">
        <v>167.858</v>
      </c>
      <c r="E9" s="49">
        <f t="shared" si="0"/>
        <v>0</v>
      </c>
      <c r="F9" s="50">
        <f t="shared" si="1"/>
        <v>0</v>
      </c>
    </row>
    <row r="10" spans="1:7">
      <c r="B10" s="25" t="s">
        <v>62</v>
      </c>
      <c r="C10" s="48">
        <v>22.341999999999999</v>
      </c>
      <c r="D10" s="48">
        <v>21.89536</v>
      </c>
      <c r="E10" s="49">
        <f t="shared" si="0"/>
        <v>-2.0398842494482761E-2</v>
      </c>
      <c r="F10" s="50">
        <f t="shared" si="1"/>
        <v>-0.44663999999999859</v>
      </c>
    </row>
    <row r="11" spans="1:7">
      <c r="B11" s="25" t="s">
        <v>203</v>
      </c>
      <c r="C11" s="48">
        <v>98.441000000000003</v>
      </c>
      <c r="D11" s="48">
        <v>98.441000000000003</v>
      </c>
      <c r="E11" s="49">
        <f t="shared" si="0"/>
        <v>0</v>
      </c>
      <c r="F11" s="50">
        <f t="shared" si="1"/>
        <v>0</v>
      </c>
    </row>
    <row r="12" spans="1:7">
      <c r="B12" s="25" t="s">
        <v>63</v>
      </c>
      <c r="C12" s="48">
        <v>90.114999999999995</v>
      </c>
      <c r="D12" s="48">
        <v>90.115000000000009</v>
      </c>
      <c r="E12" s="49">
        <f t="shared" si="0"/>
        <v>0</v>
      </c>
      <c r="F12" s="50">
        <f t="shared" si="1"/>
        <v>0</v>
      </c>
    </row>
    <row r="13" spans="1:7">
      <c r="B13" s="25" t="s">
        <v>64</v>
      </c>
      <c r="C13" s="48">
        <v>81.861999999999995</v>
      </c>
      <c r="D13" s="48">
        <v>81.861999999999995</v>
      </c>
      <c r="E13" s="49">
        <f t="shared" si="0"/>
        <v>0</v>
      </c>
      <c r="F13" s="50">
        <f t="shared" si="1"/>
        <v>0</v>
      </c>
    </row>
    <row r="14" spans="1:7">
      <c r="B14" s="25" t="s">
        <v>204</v>
      </c>
      <c r="C14" s="48">
        <v>135.09</v>
      </c>
      <c r="D14" s="48">
        <v>135.09</v>
      </c>
      <c r="E14" s="49">
        <f t="shared" si="0"/>
        <v>0</v>
      </c>
      <c r="F14" s="50">
        <f t="shared" si="1"/>
        <v>0</v>
      </c>
    </row>
    <row r="15" spans="1:7">
      <c r="B15" s="25" t="s">
        <v>65</v>
      </c>
      <c r="C15" s="48">
        <v>45.509</v>
      </c>
      <c r="D15" s="48">
        <v>45.509</v>
      </c>
      <c r="E15" s="49">
        <f t="shared" si="0"/>
        <v>0</v>
      </c>
      <c r="F15" s="50">
        <f t="shared" si="1"/>
        <v>0</v>
      </c>
    </row>
    <row r="16" spans="1:7">
      <c r="B16" s="25" t="s">
        <v>205</v>
      </c>
      <c r="C16" s="48">
        <v>71.36</v>
      </c>
      <c r="D16" s="48">
        <v>71.36</v>
      </c>
      <c r="E16" s="49">
        <f t="shared" si="0"/>
        <v>0</v>
      </c>
      <c r="F16" s="50">
        <f t="shared" si="1"/>
        <v>0</v>
      </c>
    </row>
    <row r="17" spans="1:6">
      <c r="B17" s="25" t="s">
        <v>66</v>
      </c>
      <c r="C17" s="48">
        <v>87.259</v>
      </c>
      <c r="D17" s="48">
        <v>87.259</v>
      </c>
      <c r="E17" s="49">
        <f t="shared" si="0"/>
        <v>0</v>
      </c>
      <c r="F17" s="50">
        <f t="shared" si="1"/>
        <v>0</v>
      </c>
    </row>
    <row r="18" spans="1:6">
      <c r="B18" s="25" t="s">
        <v>67</v>
      </c>
      <c r="C18" s="48">
        <v>34.020000000000003</v>
      </c>
      <c r="D18" s="48">
        <v>34.020000000000003</v>
      </c>
      <c r="E18" s="49">
        <f t="shared" si="0"/>
        <v>0</v>
      </c>
      <c r="F18" s="50">
        <f t="shared" si="1"/>
        <v>0</v>
      </c>
    </row>
    <row r="19" spans="1:6">
      <c r="B19" s="25" t="s">
        <v>68</v>
      </c>
      <c r="C19" s="48">
        <v>40.701000000000001</v>
      </c>
      <c r="D19" s="48">
        <v>40.701000000000001</v>
      </c>
      <c r="E19" s="49">
        <f t="shared" si="0"/>
        <v>0</v>
      </c>
      <c r="F19" s="50">
        <f t="shared" si="1"/>
        <v>0</v>
      </c>
    </row>
    <row r="20" spans="1:6">
      <c r="B20" s="25" t="s">
        <v>206</v>
      </c>
      <c r="C20" s="48">
        <v>100.5</v>
      </c>
      <c r="D20" s="48">
        <v>100.5</v>
      </c>
      <c r="E20" s="49">
        <f t="shared" si="0"/>
        <v>0</v>
      </c>
      <c r="F20" s="50">
        <f t="shared" si="1"/>
        <v>0</v>
      </c>
    </row>
    <row r="21" spans="1:6">
      <c r="B21" s="25" t="s">
        <v>207</v>
      </c>
      <c r="C21" s="48">
        <v>40.962000000000003</v>
      </c>
      <c r="D21" s="48">
        <v>41.626840000000001</v>
      </c>
      <c r="E21" s="49">
        <f t="shared" si="0"/>
        <v>1.5971426127950106E-2</v>
      </c>
      <c r="F21" s="50">
        <f t="shared" si="1"/>
        <v>0.6648399999999981</v>
      </c>
    </row>
    <row r="22" spans="1:6">
      <c r="B22" s="25" t="s">
        <v>208</v>
      </c>
      <c r="C22" s="48">
        <v>86.350070000000002</v>
      </c>
      <c r="D22" s="48">
        <v>86.350070000000002</v>
      </c>
      <c r="E22" s="49">
        <f t="shared" si="0"/>
        <v>0</v>
      </c>
      <c r="F22" s="50">
        <f t="shared" si="1"/>
        <v>0</v>
      </c>
    </row>
    <row r="23" spans="1:6">
      <c r="B23" s="25" t="s">
        <v>209</v>
      </c>
      <c r="C23" s="48">
        <v>90.222999999999999</v>
      </c>
      <c r="D23" s="48">
        <v>90.223000000000013</v>
      </c>
      <c r="E23" s="49">
        <f t="shared" si="0"/>
        <v>0</v>
      </c>
      <c r="F23" s="50">
        <f t="shared" si="1"/>
        <v>0</v>
      </c>
    </row>
    <row r="24" spans="1:6">
      <c r="B24" s="25" t="s">
        <v>210</v>
      </c>
      <c r="C24" s="48">
        <v>30.925999999999998</v>
      </c>
      <c r="D24" s="48">
        <v>30.926000000000002</v>
      </c>
      <c r="E24" s="49">
        <f t="shared" si="0"/>
        <v>0</v>
      </c>
      <c r="F24" s="50">
        <f t="shared" si="1"/>
        <v>0</v>
      </c>
    </row>
    <row r="25" spans="1:6" s="51" customFormat="1">
      <c r="B25" s="52" t="s">
        <v>211</v>
      </c>
      <c r="C25" s="53">
        <f>SUM(C2:C24)</f>
        <v>1575.4860699999999</v>
      </c>
      <c r="D25" s="53">
        <f>SUM(D2:D24)</f>
        <v>1576.1512699999998</v>
      </c>
      <c r="E25" s="54">
        <f>1-C25/D25</f>
        <v>4.2204070932860827E-4</v>
      </c>
      <c r="F25" s="55">
        <f>D25-C25</f>
        <v>0.66519999999991342</v>
      </c>
    </row>
    <row r="26" spans="1:6">
      <c r="A26" s="25" t="s">
        <v>212</v>
      </c>
      <c r="B26" s="25" t="s">
        <v>213</v>
      </c>
      <c r="C26" s="48">
        <v>27.64</v>
      </c>
      <c r="D26" s="48">
        <v>28</v>
      </c>
      <c r="E26" s="49">
        <f t="shared" si="0"/>
        <v>1.2857142857142789E-2</v>
      </c>
      <c r="F26" s="50">
        <f t="shared" si="1"/>
        <v>0.35999999999999943</v>
      </c>
    </row>
    <row r="27" spans="1:6">
      <c r="B27" s="25" t="s">
        <v>214</v>
      </c>
      <c r="C27" s="48">
        <v>35</v>
      </c>
      <c r="D27" s="48">
        <v>35.299999999999997</v>
      </c>
      <c r="E27" s="49">
        <f t="shared" si="0"/>
        <v>8.4985835694050271E-3</v>
      </c>
      <c r="F27" s="50">
        <f t="shared" si="1"/>
        <v>0.29999999999999716</v>
      </c>
    </row>
    <row r="28" spans="1:6">
      <c r="B28" s="25" t="s">
        <v>215</v>
      </c>
      <c r="C28" s="48">
        <v>40</v>
      </c>
      <c r="D28" s="48">
        <v>40.5</v>
      </c>
      <c r="E28" s="49">
        <f t="shared" si="0"/>
        <v>1.2345679012345734E-2</v>
      </c>
      <c r="F28" s="50">
        <f t="shared" si="1"/>
        <v>0.5</v>
      </c>
    </row>
    <row r="29" spans="1:6">
      <c r="B29" s="25" t="s">
        <v>216</v>
      </c>
      <c r="C29" s="48">
        <v>5</v>
      </c>
      <c r="D29" s="48">
        <v>4.5000590000000003</v>
      </c>
      <c r="E29" s="49">
        <f t="shared" si="0"/>
        <v>-0.11109654340087527</v>
      </c>
      <c r="F29" s="50">
        <f t="shared" si="1"/>
        <v>-0.49994099999999975</v>
      </c>
    </row>
    <row r="30" spans="1:6">
      <c r="B30" s="25" t="s">
        <v>217</v>
      </c>
      <c r="C30" s="48">
        <v>20</v>
      </c>
      <c r="D30" s="48">
        <v>20.5</v>
      </c>
      <c r="E30" s="49">
        <f t="shared" si="0"/>
        <v>2.4390243902439046E-2</v>
      </c>
      <c r="F30" s="50">
        <f t="shared" si="1"/>
        <v>0.5</v>
      </c>
    </row>
    <row r="31" spans="1:6">
      <c r="B31" s="25" t="s">
        <v>218</v>
      </c>
      <c r="C31" s="48">
        <v>35</v>
      </c>
      <c r="D31" s="48">
        <v>35.4</v>
      </c>
      <c r="E31" s="49">
        <f t="shared" si="0"/>
        <v>1.1299435028248594E-2</v>
      </c>
      <c r="F31" s="50">
        <f t="shared" si="1"/>
        <v>0.39999999999999858</v>
      </c>
    </row>
    <row r="32" spans="1:6">
      <c r="B32" s="25" t="s">
        <v>219</v>
      </c>
      <c r="C32" s="48">
        <v>35</v>
      </c>
      <c r="D32" s="48">
        <v>35</v>
      </c>
      <c r="E32" s="49">
        <f t="shared" si="0"/>
        <v>0</v>
      </c>
      <c r="F32" s="50">
        <f t="shared" si="1"/>
        <v>0</v>
      </c>
    </row>
    <row r="33" spans="1:6">
      <c r="B33" s="25" t="s">
        <v>220</v>
      </c>
      <c r="C33" s="48">
        <v>10</v>
      </c>
      <c r="D33" s="48">
        <v>9.9999999999999982</v>
      </c>
      <c r="E33" s="49">
        <f t="shared" si="0"/>
        <v>0</v>
      </c>
      <c r="F33" s="50">
        <f t="shared" si="1"/>
        <v>0</v>
      </c>
    </row>
    <row r="34" spans="1:6">
      <c r="B34" s="25" t="s">
        <v>221</v>
      </c>
      <c r="C34" s="48">
        <v>50</v>
      </c>
      <c r="D34" s="48">
        <v>50</v>
      </c>
      <c r="E34" s="49">
        <f t="shared" si="0"/>
        <v>0</v>
      </c>
      <c r="F34" s="50">
        <f t="shared" si="1"/>
        <v>0</v>
      </c>
    </row>
    <row r="35" spans="1:6">
      <c r="B35" s="25" t="s">
        <v>222</v>
      </c>
      <c r="C35" s="48">
        <v>60</v>
      </c>
      <c r="D35" s="48">
        <v>60.1</v>
      </c>
      <c r="E35" s="49">
        <f t="shared" si="0"/>
        <v>1.6638935108153063E-3</v>
      </c>
      <c r="F35" s="50">
        <f t="shared" si="1"/>
        <v>0.10000000000000142</v>
      </c>
    </row>
    <row r="36" spans="1:6">
      <c r="B36" s="25" t="s">
        <v>223</v>
      </c>
      <c r="C36" s="48">
        <v>10</v>
      </c>
      <c r="D36" s="48">
        <v>10.100000000000001</v>
      </c>
      <c r="E36" s="49">
        <f t="shared" si="0"/>
        <v>9.9009900990100208E-3</v>
      </c>
      <c r="F36" s="50">
        <f t="shared" si="1"/>
        <v>0.10000000000000142</v>
      </c>
    </row>
    <row r="37" spans="1:6">
      <c r="B37" s="25" t="s">
        <v>224</v>
      </c>
      <c r="C37" s="48">
        <v>40</v>
      </c>
      <c r="D37" s="48">
        <v>40</v>
      </c>
      <c r="E37" s="49">
        <f t="shared" si="0"/>
        <v>0</v>
      </c>
      <c r="F37" s="50">
        <f t="shared" si="1"/>
        <v>0</v>
      </c>
    </row>
    <row r="38" spans="1:6">
      <c r="A38" s="25" t="s">
        <v>225</v>
      </c>
      <c r="B38" s="25" t="s">
        <v>226</v>
      </c>
      <c r="C38" s="48">
        <v>20</v>
      </c>
      <c r="D38" s="48">
        <v>19.899999999999999</v>
      </c>
      <c r="E38" s="49">
        <f t="shared" si="0"/>
        <v>-5.0251256281408363E-3</v>
      </c>
      <c r="F38" s="50">
        <f t="shared" si="1"/>
        <v>-0.10000000000000142</v>
      </c>
    </row>
    <row r="39" spans="1:6">
      <c r="B39" s="25" t="s">
        <v>227</v>
      </c>
      <c r="C39" s="48">
        <v>40</v>
      </c>
      <c r="D39" s="48">
        <v>40.057579400000002</v>
      </c>
      <c r="E39" s="49">
        <f t="shared" si="0"/>
        <v>1.4374158614287591E-3</v>
      </c>
      <c r="F39" s="50">
        <f t="shared" si="1"/>
        <v>5.7579400000001613E-2</v>
      </c>
    </row>
    <row r="40" spans="1:6">
      <c r="B40" s="25" t="s">
        <v>228</v>
      </c>
      <c r="C40" s="48">
        <v>20</v>
      </c>
      <c r="D40" s="48">
        <v>20</v>
      </c>
      <c r="E40" s="49">
        <f t="shared" si="0"/>
        <v>0</v>
      </c>
      <c r="F40" s="50">
        <f t="shared" si="1"/>
        <v>0</v>
      </c>
    </row>
    <row r="41" spans="1:6">
      <c r="B41" s="25" t="s">
        <v>229</v>
      </c>
      <c r="C41" s="48">
        <v>40</v>
      </c>
      <c r="D41" s="48">
        <v>40</v>
      </c>
      <c r="E41" s="49">
        <f t="shared" si="0"/>
        <v>0</v>
      </c>
      <c r="F41" s="50">
        <f t="shared" si="1"/>
        <v>0</v>
      </c>
    </row>
    <row r="42" spans="1:6">
      <c r="A42" s="25" t="s">
        <v>230</v>
      </c>
      <c r="B42" s="25" t="s">
        <v>231</v>
      </c>
      <c r="C42" s="48">
        <v>0</v>
      </c>
      <c r="D42" s="48">
        <v>0</v>
      </c>
      <c r="F42" s="50">
        <f t="shared" si="1"/>
        <v>0</v>
      </c>
    </row>
    <row r="43" spans="1:6">
      <c r="B43" s="25" t="s">
        <v>232</v>
      </c>
      <c r="C43" s="48">
        <v>0</v>
      </c>
      <c r="D43" s="48">
        <v>0</v>
      </c>
      <c r="F43" s="50">
        <f t="shared" si="1"/>
        <v>0</v>
      </c>
    </row>
    <row r="44" spans="1:6">
      <c r="B44" s="25" t="s">
        <v>233</v>
      </c>
      <c r="C44" s="48">
        <v>65.760000000000005</v>
      </c>
      <c r="D44" s="48">
        <v>65.650001579999994</v>
      </c>
      <c r="E44" s="49">
        <f t="shared" si="0"/>
        <v>-1.675528063254772E-3</v>
      </c>
      <c r="F44" s="50">
        <f t="shared" si="1"/>
        <v>-0.10999842000001081</v>
      </c>
    </row>
    <row r="45" spans="1:6">
      <c r="B45" s="25" t="s">
        <v>234</v>
      </c>
      <c r="C45" s="48">
        <v>93.44</v>
      </c>
      <c r="D45" s="48">
        <v>93.120002159999999</v>
      </c>
      <c r="E45" s="49">
        <f t="shared" si="0"/>
        <v>-3.4364028412519065E-3</v>
      </c>
      <c r="F45" s="50">
        <f t="shared" si="1"/>
        <v>-0.3199978399999992</v>
      </c>
    </row>
    <row r="46" spans="1:6">
      <c r="B46" s="25" t="s">
        <v>235</v>
      </c>
      <c r="C46" s="48">
        <v>81.64</v>
      </c>
      <c r="D46" s="48">
        <v>81.260001950000003</v>
      </c>
      <c r="E46" s="49">
        <f t="shared" si="0"/>
        <v>-4.6763234171938173E-3</v>
      </c>
      <c r="F46" s="50">
        <f t="shared" si="1"/>
        <v>-0.37999804999999753</v>
      </c>
    </row>
    <row r="47" spans="1:6">
      <c r="B47" s="25" t="s">
        <v>236</v>
      </c>
      <c r="C47" s="48">
        <v>34.76</v>
      </c>
      <c r="D47" s="48">
        <v>34.600000829999999</v>
      </c>
      <c r="E47" s="49">
        <f t="shared" si="0"/>
        <v>-4.6242533572793398E-3</v>
      </c>
      <c r="F47" s="50">
        <f t="shared" si="1"/>
        <v>-0.15999916999999897</v>
      </c>
    </row>
    <row r="48" spans="1:6">
      <c r="B48" s="25" t="s">
        <v>237</v>
      </c>
      <c r="C48" s="48">
        <v>10</v>
      </c>
      <c r="D48" s="48">
        <v>10.03000024</v>
      </c>
      <c r="E48" s="49">
        <f t="shared" si="0"/>
        <v>2.9910507758871274E-3</v>
      </c>
      <c r="F48" s="50">
        <f t="shared" si="1"/>
        <v>3.0000239999999678E-2</v>
      </c>
    </row>
    <row r="49" spans="2:6">
      <c r="B49" s="25" t="s">
        <v>238</v>
      </c>
      <c r="C49" s="48">
        <v>36.6</v>
      </c>
      <c r="D49" s="48">
        <v>36.750000880000002</v>
      </c>
      <c r="E49" s="49">
        <f t="shared" si="0"/>
        <v>4.0816565009018646E-3</v>
      </c>
      <c r="F49" s="50">
        <f t="shared" si="1"/>
        <v>0.15000088000000034</v>
      </c>
    </row>
    <row r="50" spans="2:6">
      <c r="B50" s="25" t="s">
        <v>239</v>
      </c>
      <c r="C50" s="48">
        <v>8</v>
      </c>
      <c r="D50" s="48">
        <v>8.20440009</v>
      </c>
      <c r="E50" s="49">
        <f t="shared" si="0"/>
        <v>2.4913471766099593E-2</v>
      </c>
      <c r="F50" s="50">
        <f t="shared" si="1"/>
        <v>0.20440009000000003</v>
      </c>
    </row>
    <row r="51" spans="2:6">
      <c r="B51" s="25" t="s">
        <v>240</v>
      </c>
      <c r="C51" s="48">
        <v>5</v>
      </c>
      <c r="D51" s="48">
        <v>5.0000001300000001</v>
      </c>
      <c r="E51" s="49">
        <f t="shared" si="0"/>
        <v>2.5999999375692084E-8</v>
      </c>
      <c r="F51" s="50">
        <f t="shared" si="1"/>
        <v>1.3000000009810719E-7</v>
      </c>
    </row>
    <row r="52" spans="2:6">
      <c r="B52" s="25" t="s">
        <v>241</v>
      </c>
      <c r="C52" s="48">
        <v>40</v>
      </c>
      <c r="D52" s="48">
        <v>40.000000460000003</v>
      </c>
      <c r="E52" s="49">
        <f t="shared" si="0"/>
        <v>1.1499999952313544E-8</v>
      </c>
      <c r="F52" s="50">
        <f t="shared" si="1"/>
        <v>4.6000000253343387E-7</v>
      </c>
    </row>
    <row r="53" spans="2:6">
      <c r="B53" s="25" t="s">
        <v>242</v>
      </c>
      <c r="C53" s="48">
        <v>23.8</v>
      </c>
      <c r="D53" s="48">
        <v>23.20000057</v>
      </c>
      <c r="E53" s="49">
        <f t="shared" si="0"/>
        <v>-2.586204376114809E-2</v>
      </c>
      <c r="F53" s="50">
        <f t="shared" si="1"/>
        <v>-0.59999943000000044</v>
      </c>
    </row>
    <row r="54" spans="2:6">
      <c r="B54" s="25" t="s">
        <v>243</v>
      </c>
      <c r="C54" s="48">
        <v>5</v>
      </c>
      <c r="D54" s="48">
        <v>5.0000001300000001</v>
      </c>
      <c r="E54" s="49">
        <f t="shared" si="0"/>
        <v>2.5999999375692084E-8</v>
      </c>
      <c r="F54" s="50">
        <f t="shared" si="1"/>
        <v>1.3000000009810719E-7</v>
      </c>
    </row>
    <row r="55" spans="2:6">
      <c r="B55" s="25" t="s">
        <v>244</v>
      </c>
      <c r="C55" s="48">
        <v>8</v>
      </c>
      <c r="D55" s="48">
        <v>8.1300001900000005</v>
      </c>
      <c r="E55" s="49">
        <f t="shared" si="0"/>
        <v>1.5990182898138472E-2</v>
      </c>
      <c r="F55" s="50">
        <f t="shared" si="1"/>
        <v>0.13000019000000052</v>
      </c>
    </row>
    <row r="56" spans="2:6">
      <c r="B56" s="25" t="s">
        <v>245</v>
      </c>
      <c r="C56" s="48">
        <v>51.44</v>
      </c>
      <c r="D56" s="48">
        <v>51.440001219999999</v>
      </c>
      <c r="E56" s="49">
        <f t="shared" si="0"/>
        <v>2.3716951291774535E-8</v>
      </c>
      <c r="F56" s="50">
        <f t="shared" si="1"/>
        <v>1.2200000014672696E-6</v>
      </c>
    </row>
    <row r="57" spans="2:6">
      <c r="B57" s="25" t="s">
        <v>246</v>
      </c>
      <c r="C57" s="48">
        <v>10</v>
      </c>
      <c r="D57" s="48">
        <v>10.00000024</v>
      </c>
      <c r="E57" s="49">
        <f t="shared" si="0"/>
        <v>2.3999999432255947E-8</v>
      </c>
      <c r="F57" s="50">
        <f t="shared" si="1"/>
        <v>2.4000000031776381E-7</v>
      </c>
    </row>
    <row r="58" spans="2:6">
      <c r="B58" s="25" t="s">
        <v>247</v>
      </c>
      <c r="C58" s="48">
        <v>42.24</v>
      </c>
      <c r="D58" s="48">
        <v>42.500001019999999</v>
      </c>
      <c r="E58" s="49">
        <f t="shared" si="0"/>
        <v>6.1176709119993289E-3</v>
      </c>
      <c r="F58" s="50">
        <f t="shared" si="1"/>
        <v>0.26000101999999714</v>
      </c>
    </row>
    <row r="59" spans="2:6">
      <c r="B59" s="25" t="s">
        <v>248</v>
      </c>
      <c r="C59" s="48">
        <v>1</v>
      </c>
      <c r="D59" s="48">
        <v>1.0000000200000001</v>
      </c>
      <c r="E59" s="49">
        <f t="shared" si="0"/>
        <v>1.9999999656405976E-8</v>
      </c>
      <c r="F59" s="50">
        <f t="shared" si="1"/>
        <v>2.0000000100495186E-8</v>
      </c>
    </row>
    <row r="60" spans="2:6">
      <c r="B60" s="25" t="s">
        <v>249</v>
      </c>
      <c r="C60" s="48">
        <v>69.08</v>
      </c>
      <c r="D60" s="48">
        <v>68.581266479999996</v>
      </c>
      <c r="E60" s="49">
        <f t="shared" si="0"/>
        <v>-7.2721538343920589E-3</v>
      </c>
      <c r="F60" s="50">
        <f t="shared" si="1"/>
        <v>-0.49873352000000182</v>
      </c>
    </row>
    <row r="61" spans="2:6">
      <c r="B61" s="25" t="s">
        <v>250</v>
      </c>
      <c r="C61" s="48">
        <v>5.28</v>
      </c>
      <c r="D61" s="48">
        <v>5.2737353200000001</v>
      </c>
      <c r="E61" s="49">
        <f t="shared" si="0"/>
        <v>-1.1879018608009773E-3</v>
      </c>
      <c r="F61" s="50">
        <f t="shared" si="1"/>
        <v>-6.2646800000001335E-3</v>
      </c>
    </row>
    <row r="62" spans="2:6">
      <c r="B62" s="25" t="s">
        <v>251</v>
      </c>
      <c r="C62" s="48">
        <v>40</v>
      </c>
      <c r="D62" s="48">
        <v>40.200000559999999</v>
      </c>
      <c r="E62" s="49">
        <f t="shared" si="0"/>
        <v>4.9751382391522991E-3</v>
      </c>
      <c r="F62" s="50">
        <f t="shared" si="1"/>
        <v>0.20000055999999944</v>
      </c>
    </row>
    <row r="63" spans="2:6">
      <c r="B63" s="25" t="s">
        <v>252</v>
      </c>
      <c r="C63" s="48">
        <v>7.32</v>
      </c>
      <c r="D63" s="48">
        <v>7.5000001699999999</v>
      </c>
      <c r="E63" s="49">
        <f t="shared" si="0"/>
        <v>2.4000022122666054E-2</v>
      </c>
      <c r="F63" s="50">
        <f t="shared" si="1"/>
        <v>0.18000016999999957</v>
      </c>
    </row>
    <row r="64" spans="2:6">
      <c r="B64" s="25" t="s">
        <v>253</v>
      </c>
      <c r="C64" s="48">
        <v>40</v>
      </c>
      <c r="D64" s="48">
        <v>36.285000959999998</v>
      </c>
      <c r="E64" s="49">
        <f t="shared" si="0"/>
        <v>-0.10238387602897836</v>
      </c>
      <c r="F64" s="50">
        <f t="shared" si="1"/>
        <v>-3.7149990400000021</v>
      </c>
    </row>
    <row r="65" spans="2:6">
      <c r="B65" s="25" t="s">
        <v>254</v>
      </c>
      <c r="C65" s="48">
        <v>12</v>
      </c>
      <c r="D65" s="48">
        <v>12.000000289999999</v>
      </c>
      <c r="E65" s="49">
        <f t="shared" si="0"/>
        <v>2.4166666001690373E-8</v>
      </c>
      <c r="F65" s="50">
        <f t="shared" si="1"/>
        <v>2.8999999912571184E-7</v>
      </c>
    </row>
    <row r="66" spans="2:6">
      <c r="B66" s="25" t="s">
        <v>255</v>
      </c>
      <c r="C66" s="48">
        <v>4</v>
      </c>
      <c r="D66" s="48">
        <v>4.0000000900000003</v>
      </c>
      <c r="E66" s="49">
        <f t="shared" si="0"/>
        <v>2.2499999530189996E-8</v>
      </c>
      <c r="F66" s="50">
        <f t="shared" si="1"/>
        <v>9.0000000341206032E-8</v>
      </c>
    </row>
    <row r="67" spans="2:6">
      <c r="B67" s="25" t="s">
        <v>256</v>
      </c>
      <c r="C67" s="48">
        <v>86</v>
      </c>
      <c r="D67" s="48">
        <v>86.29000207</v>
      </c>
      <c r="E67" s="49">
        <f t="shared" ref="E67:E131" si="2">1-C67/D67</f>
        <v>3.3607841353943124E-3</v>
      </c>
      <c r="F67" s="50">
        <f t="shared" ref="F67:F131" si="3">D67-C67</f>
        <v>0.29000206999999989</v>
      </c>
    </row>
    <row r="68" spans="2:6">
      <c r="B68" s="25" t="s">
        <v>257</v>
      </c>
      <c r="C68" s="48">
        <v>18.68</v>
      </c>
      <c r="D68" s="48">
        <v>18.700000459999998</v>
      </c>
      <c r="E68" s="49">
        <f t="shared" si="2"/>
        <v>1.0695432891982826E-3</v>
      </c>
      <c r="F68" s="50">
        <f t="shared" si="3"/>
        <v>2.0000459999998554E-2</v>
      </c>
    </row>
    <row r="69" spans="2:6">
      <c r="B69" s="25" t="s">
        <v>258</v>
      </c>
      <c r="C69" s="48">
        <v>10</v>
      </c>
      <c r="D69" s="48">
        <v>10.03000024</v>
      </c>
      <c r="E69" s="49">
        <f t="shared" si="2"/>
        <v>2.9910507758871274E-3</v>
      </c>
      <c r="F69" s="50">
        <f t="shared" si="3"/>
        <v>3.0000239999999678E-2</v>
      </c>
    </row>
    <row r="70" spans="2:6">
      <c r="B70" s="25" t="s">
        <v>259</v>
      </c>
      <c r="C70" s="48">
        <v>62.12</v>
      </c>
      <c r="D70" s="48">
        <v>61.385001490000008</v>
      </c>
      <c r="E70" s="49">
        <f t="shared" si="2"/>
        <v>-1.1973584624246136E-2</v>
      </c>
      <c r="F70" s="50">
        <f t="shared" si="3"/>
        <v>-0.73499850999998984</v>
      </c>
    </row>
    <row r="71" spans="2:6">
      <c r="B71" s="25" t="s">
        <v>260</v>
      </c>
      <c r="C71" s="48">
        <v>10</v>
      </c>
      <c r="D71" s="48">
        <v>9.7000002399999996</v>
      </c>
      <c r="E71" s="49">
        <f t="shared" si="2"/>
        <v>-3.0927809544054163E-2</v>
      </c>
      <c r="F71" s="50">
        <f t="shared" si="3"/>
        <v>-0.29999976000000039</v>
      </c>
    </row>
    <row r="72" spans="2:6">
      <c r="B72" s="25" t="s">
        <v>261</v>
      </c>
      <c r="C72" s="48">
        <v>26.84</v>
      </c>
      <c r="D72" s="48">
        <v>26.900000640000002</v>
      </c>
      <c r="E72" s="49">
        <f t="shared" si="2"/>
        <v>2.230507010129279E-3</v>
      </c>
      <c r="F72" s="50">
        <f t="shared" si="3"/>
        <v>6.0000640000001937E-2</v>
      </c>
    </row>
    <row r="73" spans="2:6">
      <c r="B73" s="25" t="s">
        <v>262</v>
      </c>
      <c r="C73" s="48">
        <v>5</v>
      </c>
      <c r="D73" s="48">
        <v>5.0000001300000001</v>
      </c>
      <c r="E73" s="49">
        <f t="shared" si="2"/>
        <v>2.5999999375692084E-8</v>
      </c>
      <c r="F73" s="50">
        <f t="shared" si="3"/>
        <v>1.3000000009810719E-7</v>
      </c>
    </row>
    <row r="74" spans="2:6">
      <c r="B74" s="25" t="s">
        <v>263</v>
      </c>
      <c r="C74" s="48">
        <v>34</v>
      </c>
      <c r="D74" s="48">
        <v>34.020000809999999</v>
      </c>
      <c r="E74" s="49">
        <f t="shared" si="2"/>
        <v>5.8791327230423018E-4</v>
      </c>
      <c r="F74" s="50">
        <f t="shared" si="3"/>
        <v>2.0000809999999092E-2</v>
      </c>
    </row>
    <row r="75" spans="2:6">
      <c r="B75" s="25" t="s">
        <v>264</v>
      </c>
      <c r="C75" s="48">
        <v>77.319999999999993</v>
      </c>
      <c r="D75" s="48">
        <v>77.345001850000003</v>
      </c>
      <c r="E75" s="49">
        <f t="shared" si="2"/>
        <v>3.2325101043373383E-4</v>
      </c>
      <c r="F75" s="50">
        <f t="shared" si="3"/>
        <v>2.500185000000954E-2</v>
      </c>
    </row>
    <row r="76" spans="2:6">
      <c r="B76" s="25" t="s">
        <v>265</v>
      </c>
      <c r="C76" s="48">
        <v>10</v>
      </c>
      <c r="D76" s="48">
        <v>10.00000024</v>
      </c>
      <c r="E76" s="49">
        <f t="shared" si="2"/>
        <v>2.3999999432255947E-8</v>
      </c>
      <c r="F76" s="50">
        <f t="shared" si="3"/>
        <v>2.4000000031776381E-7</v>
      </c>
    </row>
    <row r="77" spans="2:6">
      <c r="B77" s="25" t="s">
        <v>266</v>
      </c>
      <c r="C77" s="48">
        <v>8.84</v>
      </c>
      <c r="D77" s="48">
        <v>8.8000002200000011</v>
      </c>
      <c r="E77" s="49">
        <f t="shared" si="2"/>
        <v>-4.5454294318185706E-3</v>
      </c>
      <c r="F77" s="50">
        <f t="shared" si="3"/>
        <v>-3.9999779999998708E-2</v>
      </c>
    </row>
    <row r="78" spans="2:6">
      <c r="B78" s="25" t="s">
        <v>267</v>
      </c>
      <c r="C78" s="48">
        <v>10</v>
      </c>
      <c r="D78" s="48">
        <v>10.070000240000001</v>
      </c>
      <c r="E78" s="49">
        <f t="shared" si="2"/>
        <v>6.9513642831849909E-3</v>
      </c>
      <c r="F78" s="50">
        <f t="shared" si="3"/>
        <v>7.0000240000000602E-2</v>
      </c>
    </row>
    <row r="79" spans="2:6">
      <c r="B79" s="25" t="s">
        <v>268</v>
      </c>
      <c r="C79" s="48">
        <v>1.4</v>
      </c>
      <c r="D79" s="48">
        <v>1.40000002</v>
      </c>
      <c r="E79" s="49">
        <f t="shared" si="2"/>
        <v>1.4285714167172614E-8</v>
      </c>
      <c r="F79" s="50">
        <f t="shared" si="3"/>
        <v>2.0000000100495186E-8</v>
      </c>
    </row>
    <row r="80" spans="2:6">
      <c r="B80" s="25" t="s">
        <v>269</v>
      </c>
      <c r="C80" s="48">
        <v>10</v>
      </c>
      <c r="D80" s="48">
        <v>10.00000024</v>
      </c>
      <c r="E80" s="49">
        <f t="shared" si="2"/>
        <v>2.3999999432255947E-8</v>
      </c>
      <c r="F80" s="50">
        <f t="shared" si="3"/>
        <v>2.4000000031776381E-7</v>
      </c>
    </row>
    <row r="81" spans="1:6">
      <c r="B81" s="25" t="s">
        <v>270</v>
      </c>
      <c r="C81" s="48">
        <v>24</v>
      </c>
      <c r="D81" s="48">
        <v>24.00200057</v>
      </c>
      <c r="E81" s="49">
        <f t="shared" si="2"/>
        <v>8.3350135509085987E-5</v>
      </c>
      <c r="F81" s="50">
        <f t="shared" si="3"/>
        <v>2.0005699999998683E-3</v>
      </c>
    </row>
    <row r="82" spans="1:6">
      <c r="B82" s="25" t="s">
        <v>271</v>
      </c>
      <c r="C82" s="48">
        <v>10</v>
      </c>
      <c r="D82" s="48">
        <v>10.00000024</v>
      </c>
      <c r="E82" s="49">
        <f t="shared" si="2"/>
        <v>2.3999999432255947E-8</v>
      </c>
      <c r="F82" s="50">
        <f t="shared" si="3"/>
        <v>2.4000000031776381E-7</v>
      </c>
    </row>
    <row r="83" spans="1:6">
      <c r="B83" s="25" t="s">
        <v>272</v>
      </c>
      <c r="C83" s="48">
        <v>40</v>
      </c>
      <c r="D83" s="48">
        <v>40.350000960000003</v>
      </c>
      <c r="E83" s="49">
        <f t="shared" si="2"/>
        <v>8.6741251963530219E-3</v>
      </c>
      <c r="F83" s="50">
        <f t="shared" si="3"/>
        <v>0.35000096000000269</v>
      </c>
    </row>
    <row r="84" spans="1:6">
      <c r="B84" s="25" t="s">
        <v>273</v>
      </c>
      <c r="C84" s="48">
        <v>10</v>
      </c>
      <c r="D84" s="48">
        <v>10.00000024</v>
      </c>
      <c r="E84" s="49">
        <f t="shared" si="2"/>
        <v>2.3999999432255947E-8</v>
      </c>
      <c r="F84" s="50">
        <f t="shared" si="3"/>
        <v>2.4000000031776381E-7</v>
      </c>
    </row>
    <row r="85" spans="1:6">
      <c r="B85" s="25" t="s">
        <v>274</v>
      </c>
      <c r="C85" s="48">
        <v>40</v>
      </c>
      <c r="D85" s="48">
        <v>40.000000960000001</v>
      </c>
      <c r="E85" s="49">
        <f t="shared" si="2"/>
        <v>2.3999999432255947E-8</v>
      </c>
      <c r="F85" s="50">
        <f t="shared" si="3"/>
        <v>9.6000000127105523E-7</v>
      </c>
    </row>
    <row r="86" spans="1:6">
      <c r="B86" s="25" t="s">
        <v>275</v>
      </c>
      <c r="C86" s="48">
        <v>46.72</v>
      </c>
      <c r="D86" s="48">
        <v>46.415001120000007</v>
      </c>
      <c r="E86" s="49">
        <f t="shared" si="2"/>
        <v>-6.5711272786885822E-3</v>
      </c>
      <c r="F86" s="50">
        <f t="shared" si="3"/>
        <v>-0.30499887999999231</v>
      </c>
    </row>
    <row r="87" spans="1:6">
      <c r="A87" s="25" t="s">
        <v>276</v>
      </c>
      <c r="B87" s="25" t="s">
        <v>277</v>
      </c>
      <c r="C87" s="48">
        <v>35</v>
      </c>
      <c r="D87" s="48">
        <v>35.100000550000004</v>
      </c>
      <c r="E87" s="49">
        <f t="shared" si="2"/>
        <v>2.8490184738758639E-3</v>
      </c>
      <c r="F87" s="50">
        <f t="shared" si="3"/>
        <v>0.1000005500000043</v>
      </c>
    </row>
    <row r="88" spans="1:6">
      <c r="B88" s="25" t="s">
        <v>278</v>
      </c>
      <c r="C88" s="48">
        <v>43</v>
      </c>
      <c r="D88" s="48">
        <v>43.263266340000001</v>
      </c>
      <c r="E88" s="49">
        <f t="shared" si="2"/>
        <v>6.0852164497018357E-3</v>
      </c>
      <c r="F88" s="50">
        <f t="shared" si="3"/>
        <v>0.26326634000000126</v>
      </c>
    </row>
    <row r="89" spans="1:6">
      <c r="B89" s="25" t="s">
        <v>279</v>
      </c>
      <c r="C89" s="48">
        <v>10</v>
      </c>
      <c r="D89" s="48">
        <v>10.50000024</v>
      </c>
      <c r="E89" s="49">
        <f t="shared" si="2"/>
        <v>4.761906938775462E-2</v>
      </c>
      <c r="F89" s="50">
        <f t="shared" si="3"/>
        <v>0.50000024000000032</v>
      </c>
    </row>
    <row r="90" spans="1:6">
      <c r="B90" s="25" t="s">
        <v>280</v>
      </c>
      <c r="C90" s="48">
        <v>10</v>
      </c>
      <c r="D90" s="48">
        <v>10.00000024</v>
      </c>
      <c r="E90" s="49">
        <f t="shared" si="2"/>
        <v>2.3999999432255947E-8</v>
      </c>
      <c r="F90" s="50">
        <f t="shared" si="3"/>
        <v>2.4000000031776381E-7</v>
      </c>
    </row>
    <row r="91" spans="1:6">
      <c r="B91" s="25" t="s">
        <v>281</v>
      </c>
      <c r="C91" s="48">
        <v>10</v>
      </c>
      <c r="D91" s="48">
        <v>10.300000239999999</v>
      </c>
      <c r="E91" s="49">
        <f t="shared" si="2"/>
        <v>2.9126236214534251E-2</v>
      </c>
      <c r="F91" s="50">
        <f t="shared" si="3"/>
        <v>0.30000023999999925</v>
      </c>
    </row>
    <row r="92" spans="1:6">
      <c r="B92" s="25" t="s">
        <v>282</v>
      </c>
      <c r="C92" s="48">
        <v>15</v>
      </c>
      <c r="D92" s="48">
        <v>15.00000037</v>
      </c>
      <c r="E92" s="49">
        <f t="shared" si="2"/>
        <v>2.4666666043060559E-8</v>
      </c>
      <c r="F92" s="50">
        <f t="shared" si="3"/>
        <v>3.70000000415871E-7</v>
      </c>
    </row>
    <row r="93" spans="1:6">
      <c r="B93" s="25" t="s">
        <v>283</v>
      </c>
      <c r="C93" s="48">
        <v>40</v>
      </c>
      <c r="D93" s="48">
        <v>40.400000500000004</v>
      </c>
      <c r="E93" s="49">
        <f t="shared" si="2"/>
        <v>9.9010023527105195E-3</v>
      </c>
      <c r="F93" s="50">
        <f t="shared" si="3"/>
        <v>0.40000050000000442</v>
      </c>
    </row>
    <row r="94" spans="1:6">
      <c r="B94" s="25" t="s">
        <v>284</v>
      </c>
      <c r="C94" s="48">
        <v>20</v>
      </c>
      <c r="D94" s="48">
        <v>20.400000240000001</v>
      </c>
      <c r="E94" s="49">
        <f t="shared" si="2"/>
        <v>1.9607854671280123E-2</v>
      </c>
      <c r="F94" s="50">
        <f t="shared" si="3"/>
        <v>0.40000024000000067</v>
      </c>
    </row>
    <row r="95" spans="1:6">
      <c r="B95" s="25" t="s">
        <v>285</v>
      </c>
      <c r="C95" s="48">
        <v>41.52</v>
      </c>
      <c r="D95" s="48">
        <v>40.330000480000002</v>
      </c>
      <c r="E95" s="49">
        <f t="shared" si="2"/>
        <v>-2.9506558537983008E-2</v>
      </c>
      <c r="F95" s="50">
        <f t="shared" si="3"/>
        <v>-1.1899995200000006</v>
      </c>
    </row>
    <row r="96" spans="1:6">
      <c r="B96" s="25" t="s">
        <v>286</v>
      </c>
      <c r="C96" s="48">
        <v>30</v>
      </c>
      <c r="D96" s="48">
        <v>30.10000045</v>
      </c>
      <c r="E96" s="49">
        <f t="shared" si="2"/>
        <v>3.3222740367101489E-3</v>
      </c>
      <c r="F96" s="50">
        <f t="shared" si="3"/>
        <v>0.10000044999999957</v>
      </c>
    </row>
    <row r="97" spans="1:7">
      <c r="B97" s="25" t="s">
        <v>287</v>
      </c>
      <c r="C97" s="48">
        <v>5.04</v>
      </c>
      <c r="D97" s="48">
        <v>5.0006001300000005</v>
      </c>
      <c r="E97" s="49">
        <f t="shared" si="2"/>
        <v>-7.8790283117478044E-3</v>
      </c>
      <c r="F97" s="50">
        <f t="shared" si="3"/>
        <v>-3.9399869999999559E-2</v>
      </c>
    </row>
    <row r="98" spans="1:7">
      <c r="B98" s="25" t="s">
        <v>288</v>
      </c>
      <c r="C98" s="48">
        <v>10</v>
      </c>
      <c r="D98" s="48">
        <v>9.7000002399999996</v>
      </c>
      <c r="E98" s="49">
        <f t="shared" si="2"/>
        <v>-3.0927809544054163E-2</v>
      </c>
      <c r="F98" s="50">
        <f t="shared" si="3"/>
        <v>-0.29999976000000039</v>
      </c>
    </row>
    <row r="99" spans="1:7">
      <c r="B99" s="25" t="s">
        <v>289</v>
      </c>
      <c r="C99" s="48">
        <v>10</v>
      </c>
      <c r="D99" s="48">
        <v>10.00000024</v>
      </c>
      <c r="E99" s="49">
        <f t="shared" si="2"/>
        <v>2.3999999432255947E-8</v>
      </c>
      <c r="F99" s="50">
        <f t="shared" si="3"/>
        <v>2.4000000031776381E-7</v>
      </c>
    </row>
    <row r="100" spans="1:7">
      <c r="B100" s="25" t="s">
        <v>290</v>
      </c>
      <c r="C100" s="48">
        <v>10</v>
      </c>
      <c r="D100" s="48">
        <v>10.00000024</v>
      </c>
      <c r="E100" s="49">
        <f t="shared" si="2"/>
        <v>2.3999999432255947E-8</v>
      </c>
      <c r="F100" s="50">
        <f t="shared" si="3"/>
        <v>2.4000000031776381E-7</v>
      </c>
    </row>
    <row r="101" spans="1:7">
      <c r="B101" s="25" t="s">
        <v>291</v>
      </c>
      <c r="C101" s="48">
        <v>6</v>
      </c>
      <c r="D101" s="48">
        <v>6.0367348400000003</v>
      </c>
      <c r="E101" s="49">
        <f t="shared" si="2"/>
        <v>6.0852167560171422E-3</v>
      </c>
      <c r="F101" s="50">
        <f t="shared" si="3"/>
        <v>3.6734840000000268E-2</v>
      </c>
    </row>
    <row r="102" spans="1:7">
      <c r="B102" s="25" t="s">
        <v>292</v>
      </c>
      <c r="C102" s="48">
        <v>4</v>
      </c>
      <c r="D102" s="48">
        <v>4.0080000900000003</v>
      </c>
      <c r="E102" s="49">
        <f t="shared" si="2"/>
        <v>1.9960303943008517E-3</v>
      </c>
      <c r="F102" s="50">
        <f t="shared" si="3"/>
        <v>8.0000900000003483E-3</v>
      </c>
    </row>
    <row r="103" spans="1:7" s="51" customFormat="1">
      <c r="B103" s="52" t="s">
        <v>293</v>
      </c>
      <c r="C103" s="53">
        <f>SUM(C26:C102)-3.48</f>
        <v>2018.9999999999995</v>
      </c>
      <c r="D103" s="53">
        <f>SUM(D26:D102)-3.48+13.87</f>
        <v>2030.0176723899995</v>
      </c>
      <c r="E103" s="54">
        <f>1-C103/D103</f>
        <v>5.4273775740230068E-3</v>
      </c>
      <c r="F103" s="55">
        <f>D103-C103</f>
        <v>11.017672389999916</v>
      </c>
      <c r="G103" s="51" t="s">
        <v>294</v>
      </c>
    </row>
    <row r="104" spans="1:7">
      <c r="A104" s="25" t="s">
        <v>25</v>
      </c>
      <c r="B104" s="25" t="s">
        <v>26</v>
      </c>
      <c r="C104" s="48">
        <v>45</v>
      </c>
      <c r="D104" s="48">
        <v>45.27000108</v>
      </c>
      <c r="E104" s="49">
        <f t="shared" si="2"/>
        <v>5.96423842630045E-3</v>
      </c>
      <c r="F104" s="50">
        <f t="shared" si="3"/>
        <v>0.27000108000000012</v>
      </c>
    </row>
    <row r="105" spans="1:7">
      <c r="B105" s="25" t="s">
        <v>27</v>
      </c>
      <c r="C105" s="48">
        <v>39</v>
      </c>
      <c r="D105" s="48">
        <v>44.560005000000004</v>
      </c>
      <c r="E105" s="49">
        <f t="shared" si="2"/>
        <v>0.12477568169034103</v>
      </c>
      <c r="F105" s="50">
        <f t="shared" si="3"/>
        <v>5.5600050000000039</v>
      </c>
    </row>
    <row r="106" spans="1:7">
      <c r="B106" s="25" t="s">
        <v>18</v>
      </c>
      <c r="C106" s="48">
        <v>14</v>
      </c>
      <c r="D106" s="48">
        <v>15.74576085</v>
      </c>
      <c r="E106" s="49">
        <f t="shared" si="2"/>
        <v>0.11087180013914666</v>
      </c>
      <c r="F106" s="50">
        <f t="shared" si="3"/>
        <v>1.7457608499999999</v>
      </c>
    </row>
    <row r="107" spans="1:7">
      <c r="B107" s="25" t="s">
        <v>11</v>
      </c>
      <c r="C107" s="48">
        <v>39.65</v>
      </c>
      <c r="D107" s="48">
        <v>44.594244150000002</v>
      </c>
      <c r="E107" s="49">
        <f t="shared" si="2"/>
        <v>0.11087180070524871</v>
      </c>
      <c r="F107" s="50">
        <f t="shared" si="3"/>
        <v>4.9442441500000029</v>
      </c>
    </row>
    <row r="108" spans="1:7">
      <c r="B108" s="25" t="s">
        <v>28</v>
      </c>
      <c r="C108" s="48">
        <v>79.05</v>
      </c>
      <c r="D108" s="48">
        <v>89.390004999999988</v>
      </c>
      <c r="E108" s="49">
        <f t="shared" si="2"/>
        <v>0.1156729435242787</v>
      </c>
      <c r="F108" s="50">
        <f t="shared" si="3"/>
        <v>10.340004999999991</v>
      </c>
    </row>
    <row r="109" spans="1:7">
      <c r="B109" s="25" t="s">
        <v>29</v>
      </c>
      <c r="C109" s="48">
        <v>50.8</v>
      </c>
      <c r="D109" s="48">
        <v>56.770005000000005</v>
      </c>
      <c r="E109" s="49">
        <f t="shared" si="2"/>
        <v>0.10516125549046551</v>
      </c>
      <c r="F109" s="50">
        <f t="shared" si="3"/>
        <v>5.9700050000000076</v>
      </c>
    </row>
    <row r="110" spans="1:7">
      <c r="B110" s="25" t="s">
        <v>23</v>
      </c>
      <c r="C110" s="48">
        <v>14.25</v>
      </c>
      <c r="D110" s="48">
        <v>16.400005</v>
      </c>
      <c r="E110" s="49">
        <f t="shared" si="2"/>
        <v>0.13109782588480923</v>
      </c>
      <c r="F110" s="50">
        <f t="shared" si="3"/>
        <v>2.1500050000000002</v>
      </c>
    </row>
    <row r="111" spans="1:7">
      <c r="B111" s="25" t="s">
        <v>12</v>
      </c>
      <c r="C111" s="48">
        <v>1.5</v>
      </c>
      <c r="D111" s="48">
        <v>1.68000025</v>
      </c>
      <c r="E111" s="49">
        <f t="shared" si="2"/>
        <v>0.1071429900084836</v>
      </c>
      <c r="F111" s="50">
        <f t="shared" si="3"/>
        <v>0.18000024999999997</v>
      </c>
    </row>
    <row r="112" spans="1:7">
      <c r="B112" s="25" t="s">
        <v>13</v>
      </c>
      <c r="C112" s="48">
        <v>27.5</v>
      </c>
      <c r="D112" s="48">
        <v>30.800004749999999</v>
      </c>
      <c r="E112" s="49">
        <f t="shared" si="2"/>
        <v>0.10714299483996015</v>
      </c>
      <c r="F112" s="50">
        <f t="shared" si="3"/>
        <v>3.3000047499999994</v>
      </c>
    </row>
    <row r="113" spans="2:6">
      <c r="B113" s="25" t="s">
        <v>19</v>
      </c>
      <c r="C113" s="48">
        <v>5</v>
      </c>
      <c r="D113" s="48">
        <v>5.6100050000000001</v>
      </c>
      <c r="E113" s="49">
        <f t="shared" si="2"/>
        <v>0.10873519720570657</v>
      </c>
      <c r="F113" s="50">
        <f t="shared" si="3"/>
        <v>0.61000500000000013</v>
      </c>
    </row>
    <row r="114" spans="2:6">
      <c r="B114" s="25" t="s">
        <v>30</v>
      </c>
      <c r="C114" s="48">
        <v>69.5</v>
      </c>
      <c r="D114" s="48">
        <v>77.612209660000005</v>
      </c>
      <c r="E114" s="49">
        <f t="shared" si="2"/>
        <v>0.10452233863122307</v>
      </c>
      <c r="F114" s="50">
        <f t="shared" si="3"/>
        <v>8.1122096600000049</v>
      </c>
    </row>
    <row r="115" spans="2:6">
      <c r="B115" s="25" t="s">
        <v>31</v>
      </c>
      <c r="C115" s="48">
        <v>80</v>
      </c>
      <c r="D115" s="48">
        <v>89.33779534</v>
      </c>
      <c r="E115" s="49">
        <f t="shared" si="2"/>
        <v>0.1045223391114859</v>
      </c>
      <c r="F115" s="50">
        <f t="shared" si="3"/>
        <v>9.3377953399999996</v>
      </c>
    </row>
    <row r="116" spans="2:6">
      <c r="B116" s="25" t="s">
        <v>32</v>
      </c>
      <c r="C116" s="48">
        <v>19.649999999999999</v>
      </c>
      <c r="D116" s="48">
        <v>22.342005</v>
      </c>
      <c r="E116" s="49">
        <f t="shared" si="2"/>
        <v>0.12049075273235332</v>
      </c>
      <c r="F116" s="50">
        <f t="shared" si="3"/>
        <v>2.6920050000000018</v>
      </c>
    </row>
    <row r="117" spans="2:6">
      <c r="B117" s="25" t="s">
        <v>33</v>
      </c>
      <c r="C117" s="48">
        <v>16.5</v>
      </c>
      <c r="D117" s="48">
        <v>18.950863810000001</v>
      </c>
      <c r="E117" s="49">
        <f t="shared" si="2"/>
        <v>0.12932728737709187</v>
      </c>
      <c r="F117" s="50">
        <f t="shared" si="3"/>
        <v>2.4508638100000013</v>
      </c>
    </row>
    <row r="118" spans="2:6">
      <c r="B118" s="25" t="s">
        <v>34</v>
      </c>
      <c r="C118" s="48">
        <v>71</v>
      </c>
      <c r="D118" s="48">
        <v>81.546141189999986</v>
      </c>
      <c r="E118" s="49">
        <f t="shared" si="2"/>
        <v>0.12932728681088423</v>
      </c>
      <c r="F118" s="50">
        <f t="shared" si="3"/>
        <v>10.546141189999986</v>
      </c>
    </row>
    <row r="119" spans="2:6">
      <c r="B119" s="25" t="s">
        <v>35</v>
      </c>
      <c r="C119" s="48">
        <v>83</v>
      </c>
      <c r="D119" s="48">
        <v>90.114999999999995</v>
      </c>
      <c r="E119" s="49">
        <f t="shared" si="2"/>
        <v>7.8954669034012048E-2</v>
      </c>
      <c r="F119" s="50">
        <f t="shared" si="3"/>
        <v>7.1149999999999949</v>
      </c>
    </row>
    <row r="120" spans="2:6">
      <c r="B120" s="25" t="s">
        <v>36</v>
      </c>
      <c r="C120" s="48">
        <v>71</v>
      </c>
      <c r="D120" s="48">
        <v>81.862006999999991</v>
      </c>
      <c r="E120" s="49">
        <f t="shared" si="2"/>
        <v>0.13268679083326151</v>
      </c>
      <c r="F120" s="50">
        <f t="shared" si="3"/>
        <v>10.862006999999991</v>
      </c>
    </row>
    <row r="121" spans="2:6">
      <c r="B121" s="25" t="s">
        <v>37</v>
      </c>
      <c r="C121" s="48">
        <v>64</v>
      </c>
      <c r="D121" s="48">
        <v>72.653448080000004</v>
      </c>
      <c r="E121" s="49">
        <f t="shared" si="2"/>
        <v>0.11910581408980803</v>
      </c>
      <c r="F121" s="50">
        <f t="shared" si="3"/>
        <v>8.653448080000004</v>
      </c>
    </row>
    <row r="122" spans="2:6">
      <c r="B122" s="25" t="s">
        <v>38</v>
      </c>
      <c r="C122" s="48">
        <v>50.5</v>
      </c>
      <c r="D122" s="48">
        <v>57.32811134</v>
      </c>
      <c r="E122" s="49">
        <f t="shared" si="2"/>
        <v>0.11910581354240024</v>
      </c>
      <c r="F122" s="50">
        <f t="shared" si="3"/>
        <v>6.8281113399999995</v>
      </c>
    </row>
    <row r="123" spans="2:6">
      <c r="B123" s="25" t="s">
        <v>39</v>
      </c>
      <c r="C123" s="48">
        <v>4.5</v>
      </c>
      <c r="D123" s="48">
        <v>5.1084455799999997</v>
      </c>
      <c r="E123" s="49">
        <f t="shared" si="2"/>
        <v>0.11910581613751858</v>
      </c>
      <c r="F123" s="50">
        <f t="shared" si="3"/>
        <v>0.60844557999999971</v>
      </c>
    </row>
    <row r="124" spans="2:6">
      <c r="B124" s="25" t="s">
        <v>40</v>
      </c>
      <c r="C124" s="48">
        <v>40</v>
      </c>
      <c r="D124" s="48">
        <v>45.509004000000004</v>
      </c>
      <c r="E124" s="49">
        <f t="shared" si="2"/>
        <v>0.12105305578649894</v>
      </c>
      <c r="F124" s="50">
        <f t="shared" si="3"/>
        <v>5.5090040000000045</v>
      </c>
    </row>
    <row r="125" spans="2:6">
      <c r="B125" s="25" t="s">
        <v>41</v>
      </c>
      <c r="C125" s="48">
        <v>66</v>
      </c>
      <c r="D125" s="48">
        <v>71.360005000000001</v>
      </c>
      <c r="E125" s="49">
        <f t="shared" si="2"/>
        <v>7.5112172427678536E-2</v>
      </c>
      <c r="F125" s="50">
        <f t="shared" si="3"/>
        <v>5.360005000000001</v>
      </c>
    </row>
    <row r="126" spans="2:6">
      <c r="B126" s="25" t="s">
        <v>42</v>
      </c>
      <c r="C126" s="48">
        <v>47.5</v>
      </c>
      <c r="D126" s="48">
        <v>52.800034899999993</v>
      </c>
      <c r="E126" s="49">
        <f t="shared" si="2"/>
        <v>0.10037938251438527</v>
      </c>
      <c r="F126" s="50">
        <f t="shared" si="3"/>
        <v>5.3000348999999929</v>
      </c>
    </row>
    <row r="127" spans="2:6">
      <c r="B127" s="25" t="s">
        <v>43</v>
      </c>
      <c r="C127" s="48">
        <v>31</v>
      </c>
      <c r="D127" s="48">
        <v>34.458970100000002</v>
      </c>
      <c r="E127" s="49">
        <f t="shared" si="2"/>
        <v>0.10037938133269986</v>
      </c>
      <c r="F127" s="50">
        <f t="shared" si="3"/>
        <v>3.4589701000000019</v>
      </c>
    </row>
    <row r="128" spans="2:6">
      <c r="B128" s="25" t="s">
        <v>44</v>
      </c>
      <c r="C128" s="48">
        <v>30</v>
      </c>
      <c r="D128" s="48">
        <v>34.020005000000005</v>
      </c>
      <c r="E128" s="49">
        <f t="shared" si="2"/>
        <v>0.11816591443769642</v>
      </c>
      <c r="F128" s="50">
        <f t="shared" si="3"/>
        <v>4.0200050000000047</v>
      </c>
    </row>
    <row r="129" spans="1:7">
      <c r="B129" s="25" t="s">
        <v>295</v>
      </c>
      <c r="C129" s="48">
        <v>39</v>
      </c>
      <c r="D129" s="48">
        <v>40.701005000000002</v>
      </c>
      <c r="E129" s="49">
        <f t="shared" si="2"/>
        <v>4.1792702661764825E-2</v>
      </c>
      <c r="F129" s="50">
        <f t="shared" si="3"/>
        <v>1.7010050000000021</v>
      </c>
    </row>
    <row r="130" spans="1:7">
      <c r="B130" s="25" t="s">
        <v>20</v>
      </c>
      <c r="C130" s="48">
        <v>40</v>
      </c>
      <c r="D130" s="48">
        <v>50.962001000000001</v>
      </c>
      <c r="E130" s="49">
        <f t="shared" si="2"/>
        <v>0.21510146353947135</v>
      </c>
      <c r="F130" s="50">
        <f t="shared" si="3"/>
        <v>10.962001000000001</v>
      </c>
    </row>
    <row r="131" spans="1:7">
      <c r="B131" s="25" t="s">
        <v>45</v>
      </c>
      <c r="C131" s="48">
        <v>76</v>
      </c>
      <c r="D131" s="48">
        <v>90.223001874999994</v>
      </c>
      <c r="E131" s="49">
        <f t="shared" si="2"/>
        <v>0.15764274718663585</v>
      </c>
      <c r="F131" s="50">
        <f t="shared" si="3"/>
        <v>14.223001874999994</v>
      </c>
    </row>
    <row r="132" spans="1:7">
      <c r="B132" s="25" t="s">
        <v>46</v>
      </c>
      <c r="C132" s="48">
        <v>3</v>
      </c>
      <c r="D132" s="48">
        <v>5.0151050000000006E-3</v>
      </c>
      <c r="E132" s="49">
        <f t="shared" ref="E132:E138" si="4">1-C132/D132</f>
        <v>-597.19285937183759</v>
      </c>
      <c r="F132" s="50">
        <f t="shared" ref="F132:F138" si="5">D132-C132</f>
        <v>-2.994984895</v>
      </c>
    </row>
    <row r="133" spans="1:7">
      <c r="B133" s="25" t="s">
        <v>47</v>
      </c>
      <c r="C133" s="48">
        <v>24.5</v>
      </c>
      <c r="D133" s="48">
        <v>9.0299113574999996</v>
      </c>
      <c r="E133" s="49">
        <f t="shared" si="4"/>
        <v>-1.7132049286010944</v>
      </c>
      <c r="F133" s="50">
        <f t="shared" si="5"/>
        <v>-15.4700886425</v>
      </c>
    </row>
    <row r="134" spans="1:7" s="51" customFormat="1">
      <c r="B134" s="52" t="s">
        <v>296</v>
      </c>
      <c r="C134" s="53">
        <f>SUM(C104:C133)-19</f>
        <v>1223.4000000000001</v>
      </c>
      <c r="D134" s="53">
        <f>SUM(D104:D133)+8.048-19</f>
        <v>1365.7930164174998</v>
      </c>
      <c r="E134" s="54">
        <f>1-C134/D134</f>
        <v>0.10425665873662116</v>
      </c>
      <c r="F134" s="55">
        <f>D134-C134</f>
        <v>142.39301641749967</v>
      </c>
      <c r="G134" s="51" t="s">
        <v>297</v>
      </c>
    </row>
    <row r="135" spans="1:7">
      <c r="A135" s="25" t="s">
        <v>49</v>
      </c>
      <c r="B135" s="25" t="s">
        <v>50</v>
      </c>
      <c r="C135" s="48">
        <v>6</v>
      </c>
      <c r="D135" s="48">
        <v>7.1344000000000003</v>
      </c>
      <c r="E135" s="49">
        <f t="shared" si="4"/>
        <v>0.15900426104507737</v>
      </c>
      <c r="F135" s="50">
        <f t="shared" si="5"/>
        <v>1.1344000000000003</v>
      </c>
    </row>
    <row r="136" spans="1:7">
      <c r="B136" s="25" t="s">
        <v>51</v>
      </c>
      <c r="C136" s="48">
        <v>2</v>
      </c>
      <c r="D136" s="48">
        <v>2.3781300000000001</v>
      </c>
      <c r="E136" s="49">
        <f t="shared" si="4"/>
        <v>0.15900308225370352</v>
      </c>
      <c r="F136" s="50">
        <f t="shared" si="5"/>
        <v>0.37813000000000008</v>
      </c>
    </row>
    <row r="137" spans="1:7">
      <c r="B137" s="25" t="s">
        <v>52</v>
      </c>
      <c r="C137" s="48">
        <v>10.32</v>
      </c>
      <c r="D137" s="48">
        <v>12.27117</v>
      </c>
      <c r="E137" s="49">
        <f t="shared" si="4"/>
        <v>0.15900439811362721</v>
      </c>
      <c r="F137" s="50">
        <f t="shared" si="5"/>
        <v>1.9511699999999994</v>
      </c>
    </row>
    <row r="138" spans="1:7">
      <c r="B138" s="25" t="s">
        <v>53</v>
      </c>
      <c r="C138" s="48">
        <v>10.4</v>
      </c>
      <c r="D138" s="48">
        <v>12.366289999999999</v>
      </c>
      <c r="E138" s="49">
        <f t="shared" si="4"/>
        <v>0.15900403435468513</v>
      </c>
      <c r="F138" s="50">
        <f t="shared" si="5"/>
        <v>1.966289999999999</v>
      </c>
    </row>
    <row r="139" spans="1:7" s="51" customFormat="1">
      <c r="B139" s="52" t="s">
        <v>298</v>
      </c>
      <c r="C139" s="53">
        <f>SUM(C135:C138)-2.24</f>
        <v>26.479999999999997</v>
      </c>
      <c r="D139" s="53">
        <f>SUM(D135:D138)-2.24</f>
        <v>31.909990000000001</v>
      </c>
      <c r="E139" s="54">
        <f>1-C139/D139</f>
        <v>0.17016583207954639</v>
      </c>
      <c r="F139" s="55">
        <f>D139-C139</f>
        <v>5.4299900000000036</v>
      </c>
      <c r="G139" s="51" t="s">
        <v>299</v>
      </c>
    </row>
    <row r="140" spans="1:7">
      <c r="A140" s="25" t="s">
        <v>4</v>
      </c>
      <c r="B140" s="25" t="s">
        <v>300</v>
      </c>
      <c r="C140" s="48">
        <f>15914.55/1000</f>
        <v>15.914549999999998</v>
      </c>
      <c r="D140" s="48">
        <v>15.95255</v>
      </c>
      <c r="E140" s="49">
        <f>1-C140/D140</f>
        <v>2.3820643094678573E-3</v>
      </c>
      <c r="F140" s="50">
        <f>D140-C140</f>
        <v>3.8000000000002032E-2</v>
      </c>
    </row>
    <row r="141" spans="1:7">
      <c r="A141" s="25"/>
      <c r="F141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workbookViewId="0">
      <selection activeCell="N5" sqref="N5"/>
    </sheetView>
  </sheetViews>
  <sheetFormatPr defaultRowHeight="15"/>
  <sheetData>
    <row r="1" spans="1:25" ht="38.25">
      <c r="A1" s="56" t="s">
        <v>0</v>
      </c>
      <c r="B1" s="57" t="s">
        <v>1</v>
      </c>
      <c r="C1" s="56" t="s">
        <v>301</v>
      </c>
      <c r="D1" s="57" t="s">
        <v>302</v>
      </c>
      <c r="E1" s="56" t="s">
        <v>303</v>
      </c>
      <c r="F1" s="57" t="s">
        <v>304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>
      <c r="A2" s="59" t="s">
        <v>305</v>
      </c>
      <c r="B2" s="59" t="s">
        <v>110</v>
      </c>
      <c r="C2" s="59" t="s">
        <v>2</v>
      </c>
      <c r="D2" s="59" t="s">
        <v>306</v>
      </c>
      <c r="E2" s="59" t="s">
        <v>307</v>
      </c>
      <c r="F2" s="59" t="s">
        <v>308</v>
      </c>
      <c r="G2" s="59" t="s">
        <v>309</v>
      </c>
      <c r="H2" s="59" t="s">
        <v>310</v>
      </c>
      <c r="I2" s="59" t="s">
        <v>311</v>
      </c>
      <c r="J2" s="59" t="s">
        <v>312</v>
      </c>
      <c r="K2" s="59" t="s">
        <v>313</v>
      </c>
      <c r="L2" s="59" t="s">
        <v>182</v>
      </c>
      <c r="M2" s="59" t="s">
        <v>314</v>
      </c>
      <c r="N2" s="59" t="s">
        <v>315</v>
      </c>
      <c r="O2" s="59" t="s">
        <v>316</v>
      </c>
      <c r="P2" s="59" t="s">
        <v>317</v>
      </c>
      <c r="Q2" s="59" t="s">
        <v>318</v>
      </c>
      <c r="R2" s="59" t="s">
        <v>319</v>
      </c>
      <c r="S2" s="59" t="s">
        <v>320</v>
      </c>
      <c r="T2" s="59" t="s">
        <v>321</v>
      </c>
      <c r="U2" s="59" t="s">
        <v>322</v>
      </c>
      <c r="V2" s="59" t="s">
        <v>323</v>
      </c>
      <c r="W2" s="59" t="s">
        <v>324</v>
      </c>
      <c r="X2" s="59" t="s">
        <v>325</v>
      </c>
      <c r="Y2" s="59" t="s">
        <v>326</v>
      </c>
    </row>
    <row r="3" spans="1:25" ht="48.75">
      <c r="A3" s="60" t="s">
        <v>54</v>
      </c>
      <c r="B3" s="60" t="s">
        <v>327</v>
      </c>
      <c r="C3" s="60"/>
      <c r="D3" s="60"/>
      <c r="E3" s="60"/>
      <c r="F3" s="60"/>
      <c r="G3" s="61">
        <v>7676.3149999999996</v>
      </c>
      <c r="H3" s="61">
        <v>7646.8050000000003</v>
      </c>
      <c r="I3" s="61">
        <v>17836102.063099999</v>
      </c>
      <c r="J3" s="61">
        <v>0</v>
      </c>
      <c r="K3" s="61">
        <v>0</v>
      </c>
      <c r="L3" s="61"/>
      <c r="M3" s="61">
        <v>5003.3919999999998</v>
      </c>
      <c r="N3" s="61">
        <v>31.767019999999999</v>
      </c>
      <c r="O3" s="61">
        <v>730296.14480000001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</row>
    <row r="4" spans="1:25" ht="48.75">
      <c r="A4" s="60" t="s">
        <v>54</v>
      </c>
      <c r="B4" s="60" t="s">
        <v>328</v>
      </c>
      <c r="C4" s="60"/>
      <c r="D4" s="60"/>
      <c r="E4" s="60"/>
      <c r="F4" s="60"/>
      <c r="G4" s="62">
        <v>1496.4860699999999</v>
      </c>
      <c r="H4" s="62">
        <v>1383.1503600000001</v>
      </c>
      <c r="I4" s="62">
        <v>3256802.8141000001</v>
      </c>
      <c r="J4" s="62">
        <v>0</v>
      </c>
      <c r="K4" s="62">
        <v>0</v>
      </c>
      <c r="L4" s="63"/>
      <c r="M4" s="62">
        <v>1637.1854000000001</v>
      </c>
      <c r="N4" s="62">
        <v>6.1508399999999996</v>
      </c>
      <c r="O4" s="62">
        <v>44338.955699999999</v>
      </c>
      <c r="P4" s="62">
        <v>0</v>
      </c>
      <c r="Q4" s="62">
        <v>0</v>
      </c>
      <c r="R4" s="62">
        <v>394915.13299999997</v>
      </c>
      <c r="S4" s="62">
        <v>0</v>
      </c>
      <c r="T4" s="62">
        <v>0</v>
      </c>
      <c r="U4" s="62">
        <v>0</v>
      </c>
      <c r="V4" s="62">
        <v>0</v>
      </c>
      <c r="W4" s="62">
        <v>0</v>
      </c>
      <c r="X4" s="62">
        <v>0</v>
      </c>
      <c r="Y4" s="62">
        <v>0</v>
      </c>
    </row>
    <row r="5" spans="1:25" ht="38.25">
      <c r="A5" s="60" t="s">
        <v>5</v>
      </c>
      <c r="B5" s="60" t="s">
        <v>6</v>
      </c>
      <c r="C5" s="60"/>
      <c r="D5" s="60"/>
      <c r="E5" s="60"/>
      <c r="F5" s="60"/>
      <c r="G5" s="61">
        <v>950.80499999999995</v>
      </c>
      <c r="H5" s="61">
        <v>1101.3320000000001</v>
      </c>
      <c r="I5" s="61">
        <v>2287835.2768999999</v>
      </c>
      <c r="J5" s="61">
        <v>0</v>
      </c>
      <c r="K5" s="61">
        <v>0</v>
      </c>
      <c r="L5" s="61"/>
      <c r="M5" s="61">
        <v>305951.2145</v>
      </c>
      <c r="N5" s="61">
        <v>0</v>
      </c>
      <c r="O5" s="61">
        <v>0</v>
      </c>
      <c r="P5" s="61">
        <v>28186.147499999999</v>
      </c>
      <c r="Q5" s="61">
        <v>595.30970000000002</v>
      </c>
      <c r="R5" s="61">
        <v>0</v>
      </c>
      <c r="S5" s="61">
        <v>68905.706900000005</v>
      </c>
      <c r="T5" s="61">
        <v>7786.3527999999997</v>
      </c>
      <c r="U5" s="61">
        <v>42366.482499999998</v>
      </c>
      <c r="V5" s="61">
        <v>11599.009599999999</v>
      </c>
      <c r="W5" s="61">
        <v>89723.975099999996</v>
      </c>
      <c r="X5" s="61">
        <v>69822.415599999993</v>
      </c>
      <c r="Y5" s="61">
        <v>14943.186299999999</v>
      </c>
    </row>
    <row r="6" spans="1:25" ht="38.25">
      <c r="A6" s="60" t="s">
        <v>7</v>
      </c>
      <c r="B6" s="60" t="s">
        <v>8</v>
      </c>
      <c r="C6" s="60"/>
      <c r="D6" s="60"/>
      <c r="E6" s="60"/>
      <c r="F6" s="60"/>
      <c r="G6" s="61">
        <v>100</v>
      </c>
      <c r="H6" s="61">
        <v>198.03100000000001</v>
      </c>
      <c r="I6" s="61">
        <v>439602.36479999998</v>
      </c>
      <c r="J6" s="61">
        <v>0</v>
      </c>
      <c r="K6" s="61">
        <v>0</v>
      </c>
      <c r="L6" s="61"/>
      <c r="M6" s="61">
        <v>42964.667500000003</v>
      </c>
      <c r="N6" s="61">
        <v>0</v>
      </c>
      <c r="O6" s="61">
        <v>0</v>
      </c>
      <c r="P6" s="61">
        <v>5481.5703999999996</v>
      </c>
      <c r="Q6" s="61">
        <v>376.07029999999997</v>
      </c>
      <c r="R6" s="61">
        <v>0</v>
      </c>
      <c r="S6" s="61">
        <v>12775.853800000001</v>
      </c>
      <c r="T6" s="61">
        <v>1443.6731</v>
      </c>
      <c r="U6" s="61">
        <v>7854.1346000000003</v>
      </c>
      <c r="V6" s="61">
        <v>2150.1554000000001</v>
      </c>
      <c r="W6" s="61">
        <v>16633.530500000001</v>
      </c>
      <c r="X6" s="61">
        <v>12947.651900000001</v>
      </c>
      <c r="Y6" s="61">
        <v>2770.6262999999999</v>
      </c>
    </row>
    <row r="7" spans="1:25" ht="51">
      <c r="A7" s="60" t="s">
        <v>9</v>
      </c>
      <c r="B7" s="60" t="s">
        <v>10</v>
      </c>
      <c r="C7" s="60"/>
      <c r="D7" s="60"/>
      <c r="E7" s="60"/>
      <c r="F7" s="60"/>
      <c r="G7" s="61">
        <v>227.3</v>
      </c>
      <c r="H7" s="61">
        <v>248.80600000000001</v>
      </c>
      <c r="I7" s="61">
        <v>556689.68709999998</v>
      </c>
      <c r="J7" s="61">
        <v>0</v>
      </c>
      <c r="K7" s="61">
        <v>0</v>
      </c>
      <c r="L7" s="61"/>
      <c r="M7" s="61">
        <v>53395.597999999998</v>
      </c>
      <c r="N7" s="61">
        <v>0</v>
      </c>
      <c r="O7" s="61">
        <v>0</v>
      </c>
      <c r="P7" s="61">
        <v>5242.8203999999996</v>
      </c>
      <c r="Q7" s="61">
        <v>94.9696</v>
      </c>
      <c r="R7" s="61">
        <v>0</v>
      </c>
      <c r="S7" s="61">
        <v>12910.040499999999</v>
      </c>
      <c r="T7" s="61">
        <v>1769.701</v>
      </c>
      <c r="U7" s="61">
        <v>13289.5358</v>
      </c>
      <c r="V7" s="61">
        <v>3022.1635999999999</v>
      </c>
      <c r="W7" s="61">
        <v>22451.123200000002</v>
      </c>
      <c r="X7" s="61">
        <v>19356.757300000001</v>
      </c>
      <c r="Y7" s="61">
        <v>3990.3811999999998</v>
      </c>
    </row>
    <row r="8" spans="1:25" ht="51">
      <c r="A8" s="60" t="s">
        <v>14</v>
      </c>
      <c r="B8" s="60" t="s">
        <v>15</v>
      </c>
      <c r="C8" s="60"/>
      <c r="D8" s="60"/>
      <c r="E8" s="60"/>
      <c r="F8" s="60"/>
      <c r="G8" s="61">
        <v>380.6</v>
      </c>
      <c r="H8" s="61">
        <v>443.69499999999999</v>
      </c>
      <c r="I8" s="61">
        <v>1001308.0069</v>
      </c>
      <c r="J8" s="61">
        <v>0</v>
      </c>
      <c r="K8" s="61">
        <v>0</v>
      </c>
      <c r="L8" s="61"/>
      <c r="M8" s="61">
        <v>107972.7729</v>
      </c>
      <c r="N8" s="61">
        <v>0</v>
      </c>
      <c r="O8" s="61">
        <v>0</v>
      </c>
      <c r="P8" s="61">
        <v>9893.5504999999994</v>
      </c>
      <c r="Q8" s="61">
        <v>172.40459999999999</v>
      </c>
      <c r="R8" s="61">
        <v>0</v>
      </c>
      <c r="S8" s="61">
        <v>22751.157800000001</v>
      </c>
      <c r="T8" s="61">
        <v>3118.7157999999999</v>
      </c>
      <c r="U8" s="61">
        <v>23419.035899999999</v>
      </c>
      <c r="V8" s="61">
        <v>5326.9646000000002</v>
      </c>
      <c r="W8" s="61">
        <v>39563.733800000002</v>
      </c>
      <c r="X8" s="61">
        <v>29851.021700000001</v>
      </c>
      <c r="Y8" s="61">
        <v>7032.1850000000004</v>
      </c>
    </row>
    <row r="9" spans="1:25" ht="51">
      <c r="A9" s="60" t="s">
        <v>16</v>
      </c>
      <c r="B9" s="60" t="s">
        <v>17</v>
      </c>
      <c r="C9" s="60"/>
      <c r="D9" s="60"/>
      <c r="E9" s="60"/>
      <c r="F9" s="60"/>
      <c r="G9" s="61">
        <v>1153.2</v>
      </c>
      <c r="H9" s="61">
        <v>1260.944</v>
      </c>
      <c r="I9" s="61">
        <v>2775051.6164000002</v>
      </c>
      <c r="J9" s="61">
        <v>10</v>
      </c>
      <c r="K9" s="61">
        <v>27701.7539</v>
      </c>
      <c r="L9" s="61"/>
      <c r="M9" s="61">
        <v>287702.83689999999</v>
      </c>
      <c r="N9" s="61">
        <v>0</v>
      </c>
      <c r="O9" s="61">
        <v>0</v>
      </c>
      <c r="P9" s="61">
        <v>37615.909699999997</v>
      </c>
      <c r="Q9" s="61">
        <v>646.20119999999997</v>
      </c>
      <c r="R9" s="61">
        <v>0</v>
      </c>
      <c r="S9" s="61">
        <v>66651.945000000007</v>
      </c>
      <c r="T9" s="61">
        <v>8997.1704000000009</v>
      </c>
      <c r="U9" s="61">
        <v>52970.551899999999</v>
      </c>
      <c r="V9" s="61">
        <v>12190.9853</v>
      </c>
      <c r="W9" s="61">
        <v>90707.918000000005</v>
      </c>
      <c r="X9" s="61">
        <v>84488.8033</v>
      </c>
      <c r="Y9" s="61">
        <v>20067.463299999999</v>
      </c>
    </row>
    <row r="10" spans="1:25" ht="51">
      <c r="A10" s="60" t="s">
        <v>21</v>
      </c>
      <c r="B10" s="60" t="s">
        <v>22</v>
      </c>
      <c r="C10" s="60"/>
      <c r="D10" s="60"/>
      <c r="E10" s="60"/>
      <c r="F10" s="60"/>
      <c r="G10" s="61">
        <v>4251.88</v>
      </c>
      <c r="H10" s="61">
        <v>4958.43</v>
      </c>
      <c r="I10" s="61">
        <v>10792625.315300001</v>
      </c>
      <c r="J10" s="61">
        <v>131.30500000000001</v>
      </c>
      <c r="K10" s="61">
        <v>414710.11660000001</v>
      </c>
      <c r="L10" s="61"/>
      <c r="M10" s="61">
        <v>1318802.8111</v>
      </c>
      <c r="N10" s="61">
        <v>0</v>
      </c>
      <c r="O10" s="61">
        <v>0</v>
      </c>
      <c r="P10" s="61">
        <v>171393.70269999999</v>
      </c>
      <c r="Q10" s="61">
        <v>3533.8995</v>
      </c>
      <c r="R10" s="61">
        <v>653.48119999999994</v>
      </c>
      <c r="S10" s="61">
        <v>318306.31050000002</v>
      </c>
      <c r="T10" s="61">
        <v>36427.338100000001</v>
      </c>
      <c r="U10" s="61">
        <v>233758.2346</v>
      </c>
      <c r="V10" s="61">
        <v>57511.048799999997</v>
      </c>
      <c r="W10" s="61">
        <v>485409.70679999999</v>
      </c>
      <c r="X10" s="61">
        <v>404460.83010000002</v>
      </c>
      <c r="Y10" s="61">
        <v>70786.100600000005</v>
      </c>
    </row>
    <row r="11" spans="1:25" ht="63.75">
      <c r="A11" s="60" t="s">
        <v>24</v>
      </c>
      <c r="B11" s="60" t="s">
        <v>25</v>
      </c>
      <c r="C11" s="60"/>
      <c r="D11" s="60"/>
      <c r="E11" s="60"/>
      <c r="F11" s="60"/>
      <c r="G11" s="61">
        <v>1242.4000000000001</v>
      </c>
      <c r="H11" s="64">
        <f>[1]上海生产成本!H9</f>
        <v>297.65859999999998</v>
      </c>
      <c r="I11" s="64">
        <f>[1]上海生产成本!I9</f>
        <v>779362.40619999997</v>
      </c>
      <c r="J11" s="64">
        <f>[1]上海生产成本!J9</f>
        <v>2.48</v>
      </c>
      <c r="K11" s="64">
        <f>[1]上海生产成本!K9</f>
        <v>8105.2016000000003</v>
      </c>
      <c r="L11" s="64">
        <f>[1]上海生产成本!L9</f>
        <v>0</v>
      </c>
      <c r="M11" s="64">
        <f>[1]上海生产成本!M9</f>
        <v>1403.3483000000001</v>
      </c>
      <c r="N11" s="64">
        <f>[1]上海生产成本!N9</f>
        <v>0</v>
      </c>
      <c r="O11" s="64">
        <f>[1]上海生产成本!O9</f>
        <v>0</v>
      </c>
      <c r="P11" s="61">
        <v>39483.896999999997</v>
      </c>
      <c r="Q11" s="61">
        <v>692.04340000000002</v>
      </c>
      <c r="R11" s="61">
        <v>0</v>
      </c>
      <c r="S11" s="61">
        <v>77384.306500000006</v>
      </c>
      <c r="T11" s="61">
        <v>10607.7963</v>
      </c>
      <c r="U11" s="61">
        <v>57879.388200000001</v>
      </c>
      <c r="V11" s="61">
        <v>14150.2433</v>
      </c>
      <c r="W11" s="61">
        <v>97780.486199999999</v>
      </c>
      <c r="X11" s="61">
        <v>100915.3518</v>
      </c>
      <c r="Y11" s="61">
        <v>23918.816299999999</v>
      </c>
    </row>
    <row r="12" spans="1:25" ht="38.25">
      <c r="A12" s="60" t="s">
        <v>48</v>
      </c>
      <c r="B12" s="60" t="s">
        <v>49</v>
      </c>
      <c r="C12" s="60"/>
      <c r="D12" s="60"/>
      <c r="E12" s="60"/>
      <c r="F12" s="60"/>
      <c r="G12" s="61">
        <v>28.72</v>
      </c>
      <c r="H12" s="64">
        <f>[1]上海生产成本!H10</f>
        <v>1357.7409299999999</v>
      </c>
      <c r="I12" s="64">
        <f>[1]上海生产成本!I10</f>
        <v>2911576.6771999998</v>
      </c>
      <c r="J12" s="64">
        <f>[1]上海生产成本!J10</f>
        <v>19.004000000000001</v>
      </c>
      <c r="K12" s="64">
        <f>[1]上海生产成本!K10</f>
        <v>63035.306900000003</v>
      </c>
      <c r="L12" s="64">
        <f>[1]上海生产成本!L10</f>
        <v>0</v>
      </c>
      <c r="M12" s="64">
        <f>[1]上海生产成本!M10</f>
        <v>322913.01679999998</v>
      </c>
      <c r="N12" s="64">
        <f>[1]上海生产成本!N10</f>
        <v>0</v>
      </c>
      <c r="O12" s="64">
        <f>[1]上海生产成本!O10</f>
        <v>0</v>
      </c>
      <c r="P12" s="61">
        <v>1595.5555999999999</v>
      </c>
      <c r="Q12" s="61">
        <v>19.6373</v>
      </c>
      <c r="R12" s="61">
        <v>0</v>
      </c>
      <c r="S12" s="61">
        <v>1937.961</v>
      </c>
      <c r="T12" s="61">
        <v>265.65460000000002</v>
      </c>
      <c r="U12" s="61">
        <v>1758.9844000000001</v>
      </c>
      <c r="V12" s="61">
        <v>403.32060000000001</v>
      </c>
      <c r="W12" s="61">
        <v>2971.5992000000001</v>
      </c>
      <c r="X12" s="61">
        <v>2954.1642000000002</v>
      </c>
      <c r="Y12" s="61">
        <v>599.00689999999997</v>
      </c>
    </row>
    <row r="13" spans="1: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65" t="e">
        <f>(N3+'[1]盐城生产成本-'!N4)/('[1]盐城生产成本-'!G4+'[1]盐城生产成本-'!G3)</f>
        <v>#VALUE!</v>
      </c>
      <c r="O13" s="66" t="e">
        <f>(O3+'[1]盐城生产成本-'!O4)/('[1]盐城生产成本-'!N4+'[1]盐城生产成本-'!N3)</f>
        <v>#VALUE!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 spans="1:25">
      <c r="A14" s="67" t="s">
        <v>329</v>
      </c>
      <c r="B14" s="58"/>
      <c r="C14" s="58"/>
      <c r="D14" s="58"/>
      <c r="E14" s="58"/>
      <c r="F14" s="58"/>
      <c r="G14" s="58" t="s">
        <v>330</v>
      </c>
      <c r="H14" s="58"/>
      <c r="I14" s="66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pans="1:25">
      <c r="A15" s="68" t="s">
        <v>305</v>
      </c>
      <c r="B15" s="68" t="s">
        <v>110</v>
      </c>
      <c r="C15" s="68" t="s">
        <v>2</v>
      </c>
      <c r="D15" s="68" t="s">
        <v>306</v>
      </c>
      <c r="E15" s="68" t="s">
        <v>307</v>
      </c>
      <c r="F15" s="68" t="s">
        <v>308</v>
      </c>
      <c r="G15" s="68" t="s">
        <v>309</v>
      </c>
      <c r="H15" s="68" t="s">
        <v>310</v>
      </c>
      <c r="I15" s="68" t="s">
        <v>311</v>
      </c>
      <c r="J15" s="69" t="s">
        <v>331</v>
      </c>
      <c r="K15" s="69" t="s">
        <v>332</v>
      </c>
      <c r="L15" s="68" t="s">
        <v>182</v>
      </c>
      <c r="M15" s="68" t="s">
        <v>314</v>
      </c>
      <c r="N15" s="68" t="s">
        <v>315</v>
      </c>
      <c r="O15" s="68" t="s">
        <v>316</v>
      </c>
      <c r="P15" s="68" t="s">
        <v>317</v>
      </c>
      <c r="Q15" s="68" t="s">
        <v>318</v>
      </c>
      <c r="R15" s="68" t="s">
        <v>319</v>
      </c>
      <c r="S15" s="68" t="s">
        <v>320</v>
      </c>
      <c r="T15" s="68" t="s">
        <v>321</v>
      </c>
      <c r="U15" s="68" t="s">
        <v>322</v>
      </c>
      <c r="V15" s="68" t="s">
        <v>323</v>
      </c>
      <c r="W15" s="68" t="s">
        <v>324</v>
      </c>
      <c r="X15" s="68" t="s">
        <v>325</v>
      </c>
      <c r="Y15" s="68" t="s">
        <v>326</v>
      </c>
    </row>
    <row r="16" spans="1:25">
      <c r="A16" s="70"/>
      <c r="B16" s="71" t="str">
        <f>B5</f>
        <v>发酵豆粕-勃乐(50%)-40kg/袋</v>
      </c>
      <c r="C16" s="70"/>
      <c r="D16" s="70"/>
      <c r="E16" s="70"/>
      <c r="F16" s="70"/>
      <c r="G16" s="70">
        <f t="shared" ref="G16:G21" si="0">G5-J5</f>
        <v>950.80499999999995</v>
      </c>
      <c r="H16" s="72">
        <f t="shared" ref="H16:H21" si="1">H5</f>
        <v>1101.3320000000001</v>
      </c>
      <c r="I16" s="73">
        <f t="shared" ref="I16:I22" si="2">(I5+M5-O16)</f>
        <v>2593786.4913999997</v>
      </c>
      <c r="J16" s="73">
        <f>I16*0.13</f>
        <v>337192.24388199998</v>
      </c>
      <c r="K16" s="73">
        <f>J16+I16</f>
        <v>2930978.7352819997</v>
      </c>
      <c r="L16" s="74">
        <f>1-G16/H16</f>
        <v>0.13667722358017398</v>
      </c>
      <c r="M16" s="73">
        <f>K16*L16</f>
        <v>400598.03591087344</v>
      </c>
      <c r="N16" s="72">
        <f t="shared" ref="N16:N22" si="3">$L$31/($G$24+$G$25)*G16</f>
        <v>0</v>
      </c>
      <c r="O16" s="73">
        <f t="shared" ref="O16:O21" si="4">N16*$O$29</f>
        <v>0</v>
      </c>
      <c r="P16" s="72">
        <f t="shared" ref="P16:Q20" si="5">P5*1.17</f>
        <v>32977.792574999999</v>
      </c>
      <c r="Q16" s="72">
        <f t="shared" si="5"/>
        <v>696.51234899999997</v>
      </c>
      <c r="R16" s="70">
        <f t="shared" ref="R16:U22" si="6">R5</f>
        <v>0</v>
      </c>
      <c r="S16" s="72">
        <f t="shared" si="6"/>
        <v>68905.706900000005</v>
      </c>
      <c r="T16" s="72">
        <f t="shared" si="6"/>
        <v>7786.3527999999997</v>
      </c>
      <c r="U16" s="72">
        <f t="shared" si="6"/>
        <v>42366.482499999998</v>
      </c>
      <c r="V16" s="72">
        <f>V5*1.06</f>
        <v>12294.950176</v>
      </c>
      <c r="W16" s="72">
        <f t="shared" ref="W16:X20" si="7">W5*1.17</f>
        <v>104977.05086699998</v>
      </c>
      <c r="X16" s="72">
        <f t="shared" si="7"/>
        <v>81692.226251999993</v>
      </c>
      <c r="Y16" s="72">
        <f>Y5*1.05</f>
        <v>15690.345615</v>
      </c>
    </row>
    <row r="17" spans="1:25">
      <c r="A17" s="70"/>
      <c r="B17" s="71" t="str">
        <f t="shared" ref="B17:B22" si="8">B6</f>
        <v>发酵豆粕-勃乐(出口)-40kg/袋</v>
      </c>
      <c r="C17" s="70"/>
      <c r="D17" s="70"/>
      <c r="E17" s="70"/>
      <c r="F17" s="70"/>
      <c r="G17" s="70">
        <f t="shared" si="0"/>
        <v>100</v>
      </c>
      <c r="H17" s="72">
        <f t="shared" si="1"/>
        <v>198.03100000000001</v>
      </c>
      <c r="I17" s="73">
        <f t="shared" si="2"/>
        <v>482567.03229999996</v>
      </c>
      <c r="J17" s="73">
        <f t="shared" ref="J17:J22" si="9">I17*0.13</f>
        <v>62733.714198999995</v>
      </c>
      <c r="K17" s="73">
        <f t="shared" ref="K17:K22" si="10">J17+I17</f>
        <v>545300.746499</v>
      </c>
      <c r="L17" s="74">
        <f t="shared" ref="L17:L22" si="11">1-G17/H17</f>
        <v>0.49502855613515062</v>
      </c>
      <c r="M17" s="73">
        <f t="shared" ref="M17:M24" si="12">K17*L17</f>
        <v>269939.44119881978</v>
      </c>
      <c r="N17" s="72">
        <f t="shared" si="3"/>
        <v>0</v>
      </c>
      <c r="O17" s="73">
        <f t="shared" si="4"/>
        <v>0</v>
      </c>
      <c r="P17" s="72">
        <f t="shared" si="5"/>
        <v>6413.437367999999</v>
      </c>
      <c r="Q17" s="72">
        <f t="shared" si="5"/>
        <v>440.00225099999994</v>
      </c>
      <c r="R17" s="70">
        <f t="shared" si="6"/>
        <v>0</v>
      </c>
      <c r="S17" s="72">
        <f t="shared" si="6"/>
        <v>12775.853800000001</v>
      </c>
      <c r="T17" s="72">
        <f t="shared" si="6"/>
        <v>1443.6731</v>
      </c>
      <c r="U17" s="72">
        <f t="shared" si="6"/>
        <v>7854.1346000000003</v>
      </c>
      <c r="V17" s="72">
        <f>V6*1.06</f>
        <v>2279.1647240000002</v>
      </c>
      <c r="W17" s="72">
        <f t="shared" si="7"/>
        <v>19461.230684999999</v>
      </c>
      <c r="X17" s="72">
        <f t="shared" si="7"/>
        <v>15148.752723</v>
      </c>
      <c r="Y17" s="72">
        <f>Y6*1.05</f>
        <v>2909.1576150000001</v>
      </c>
    </row>
    <row r="18" spans="1:25">
      <c r="A18" s="70"/>
      <c r="B18" s="71" t="str">
        <f t="shared" si="8"/>
        <v>发酵豆粕-活力蛋白(46%)-50kg/袋</v>
      </c>
      <c r="C18" s="70"/>
      <c r="D18" s="70"/>
      <c r="E18" s="70"/>
      <c r="F18" s="70"/>
      <c r="G18" s="70">
        <f t="shared" si="0"/>
        <v>227.3</v>
      </c>
      <c r="H18" s="72">
        <f t="shared" si="1"/>
        <v>248.80600000000001</v>
      </c>
      <c r="I18" s="73">
        <f t="shared" si="2"/>
        <v>610085.28509999998</v>
      </c>
      <c r="J18" s="73">
        <f t="shared" si="9"/>
        <v>79311.087062999999</v>
      </c>
      <c r="K18" s="73">
        <f t="shared" si="10"/>
        <v>689396.37216299993</v>
      </c>
      <c r="L18" s="74">
        <f t="shared" si="11"/>
        <v>8.6436822263128654E-2</v>
      </c>
      <c r="M18" s="73">
        <f t="shared" si="12"/>
        <v>59589.23168949892</v>
      </c>
      <c r="N18" s="72">
        <f t="shared" si="3"/>
        <v>0</v>
      </c>
      <c r="O18" s="73">
        <f t="shared" si="4"/>
        <v>0</v>
      </c>
      <c r="P18" s="72">
        <f t="shared" si="5"/>
        <v>6134.0998679999993</v>
      </c>
      <c r="Q18" s="72">
        <f t="shared" si="5"/>
        <v>111.11443199999999</v>
      </c>
      <c r="R18" s="70">
        <f t="shared" si="6"/>
        <v>0</v>
      </c>
      <c r="S18" s="72">
        <f t="shared" si="6"/>
        <v>12910.040499999999</v>
      </c>
      <c r="T18" s="72">
        <f t="shared" si="6"/>
        <v>1769.701</v>
      </c>
      <c r="U18" s="72">
        <f t="shared" si="6"/>
        <v>13289.5358</v>
      </c>
      <c r="V18" s="72">
        <f>V7*1.06</f>
        <v>3203.4934159999998</v>
      </c>
      <c r="W18" s="72">
        <f t="shared" si="7"/>
        <v>26267.814144</v>
      </c>
      <c r="X18" s="72">
        <f t="shared" si="7"/>
        <v>22647.406040999998</v>
      </c>
      <c r="Y18" s="72">
        <f>Y7*1.05</f>
        <v>4189.9002600000003</v>
      </c>
    </row>
    <row r="19" spans="1:25">
      <c r="A19" s="70"/>
      <c r="B19" s="71" t="str">
        <f t="shared" si="8"/>
        <v>发酵豆粕-活力蛋白(48%)-50kg/袋</v>
      </c>
      <c r="C19" s="70"/>
      <c r="D19" s="70"/>
      <c r="E19" s="70"/>
      <c r="F19" s="70"/>
      <c r="G19" s="70">
        <f t="shared" si="0"/>
        <v>380.6</v>
      </c>
      <c r="H19" s="72">
        <f t="shared" si="1"/>
        <v>443.69499999999999</v>
      </c>
      <c r="I19" s="73">
        <f t="shared" si="2"/>
        <v>1109280.7798000001</v>
      </c>
      <c r="J19" s="73">
        <f t="shared" si="9"/>
        <v>144206.50137400001</v>
      </c>
      <c r="K19" s="73">
        <f t="shared" si="10"/>
        <v>1253487.2811740001</v>
      </c>
      <c r="L19" s="74">
        <f t="shared" si="11"/>
        <v>0.14220354072053998</v>
      </c>
      <c r="M19" s="73">
        <f t="shared" si="12"/>
        <v>178250.32963110588</v>
      </c>
      <c r="N19" s="72">
        <f t="shared" si="3"/>
        <v>0</v>
      </c>
      <c r="O19" s="73">
        <f t="shared" si="4"/>
        <v>0</v>
      </c>
      <c r="P19" s="72">
        <f t="shared" si="5"/>
        <v>11575.454084999999</v>
      </c>
      <c r="Q19" s="72">
        <f t="shared" si="5"/>
        <v>201.71338199999997</v>
      </c>
      <c r="R19" s="70">
        <f t="shared" si="6"/>
        <v>0</v>
      </c>
      <c r="S19" s="72">
        <f t="shared" si="6"/>
        <v>22751.157800000001</v>
      </c>
      <c r="T19" s="72">
        <f t="shared" si="6"/>
        <v>3118.7157999999999</v>
      </c>
      <c r="U19" s="72">
        <f t="shared" si="6"/>
        <v>23419.035899999999</v>
      </c>
      <c r="V19" s="72">
        <f>V8*1.06</f>
        <v>5646.5824760000005</v>
      </c>
      <c r="W19" s="72">
        <f t="shared" si="7"/>
        <v>46289.568546000002</v>
      </c>
      <c r="X19" s="72">
        <f t="shared" si="7"/>
        <v>34925.695389</v>
      </c>
      <c r="Y19" s="72">
        <f>Y8*1.05</f>
        <v>7383.7942500000008</v>
      </c>
    </row>
    <row r="20" spans="1:25">
      <c r="A20" s="70"/>
      <c r="B20" s="71" t="str">
        <f t="shared" si="8"/>
        <v>发酵豆粕-粕甲蛋(50%)-40kg/袋</v>
      </c>
      <c r="C20" s="70"/>
      <c r="D20" s="70"/>
      <c r="E20" s="70"/>
      <c r="F20" s="70"/>
      <c r="G20" s="70">
        <f t="shared" si="0"/>
        <v>1143.2</v>
      </c>
      <c r="H20" s="72">
        <f t="shared" si="1"/>
        <v>1260.944</v>
      </c>
      <c r="I20" s="73">
        <f t="shared" si="2"/>
        <v>3062754.4533000002</v>
      </c>
      <c r="J20" s="73">
        <f t="shared" si="9"/>
        <v>398158.07892900001</v>
      </c>
      <c r="K20" s="73">
        <f t="shared" si="10"/>
        <v>3460912.5322290002</v>
      </c>
      <c r="L20" s="74">
        <f t="shared" si="11"/>
        <v>9.3377659911938915E-2</v>
      </c>
      <c r="M20" s="73">
        <f t="shared" si="12"/>
        <v>323171.91341944691</v>
      </c>
      <c r="N20" s="72">
        <f t="shared" si="3"/>
        <v>0</v>
      </c>
      <c r="O20" s="73">
        <f t="shared" si="4"/>
        <v>0</v>
      </c>
      <c r="P20" s="72">
        <f t="shared" si="5"/>
        <v>44010.614348999996</v>
      </c>
      <c r="Q20" s="72">
        <f t="shared" si="5"/>
        <v>756.05540399999995</v>
      </c>
      <c r="R20" s="70">
        <f t="shared" si="6"/>
        <v>0</v>
      </c>
      <c r="S20" s="72">
        <f t="shared" si="6"/>
        <v>66651.945000000007</v>
      </c>
      <c r="T20" s="72">
        <f t="shared" si="6"/>
        <v>8997.1704000000009</v>
      </c>
      <c r="U20" s="72">
        <f t="shared" si="6"/>
        <v>52970.551899999999</v>
      </c>
      <c r="V20" s="72">
        <f>V9*1.06</f>
        <v>12922.444418000001</v>
      </c>
      <c r="W20" s="72">
        <f t="shared" si="7"/>
        <v>106128.26406</v>
      </c>
      <c r="X20" s="72">
        <f t="shared" si="7"/>
        <v>98851.899860999998</v>
      </c>
      <c r="Y20" s="72">
        <f>Y9*1.05</f>
        <v>21070.836465</v>
      </c>
    </row>
    <row r="21" spans="1:25">
      <c r="A21" s="70"/>
      <c r="B21" s="71" t="str">
        <f t="shared" si="8"/>
        <v>猪浓缩饲料-勃乐-III(50%)-40kg/袋</v>
      </c>
      <c r="C21" s="70"/>
      <c r="D21" s="70"/>
      <c r="E21" s="70"/>
      <c r="F21" s="70"/>
      <c r="G21" s="70">
        <f t="shared" si="0"/>
        <v>4120.5749999999998</v>
      </c>
      <c r="H21" s="72">
        <f t="shared" si="1"/>
        <v>4958.43</v>
      </c>
      <c r="I21" s="73">
        <f t="shared" si="2"/>
        <v>12111428.126400001</v>
      </c>
      <c r="J21" s="73">
        <f t="shared" si="9"/>
        <v>1574485.6564320002</v>
      </c>
      <c r="K21" s="73">
        <f t="shared" si="10"/>
        <v>13685913.782832002</v>
      </c>
      <c r="L21" s="74">
        <f t="shared" si="11"/>
        <v>0.16897586534447406</v>
      </c>
      <c r="M21" s="73">
        <f t="shared" si="12"/>
        <v>2312589.124483902</v>
      </c>
      <c r="N21" s="72">
        <f t="shared" si="3"/>
        <v>0</v>
      </c>
      <c r="O21" s="73">
        <f t="shared" si="4"/>
        <v>0</v>
      </c>
      <c r="P21" s="72">
        <f>P10</f>
        <v>171393.70269999999</v>
      </c>
      <c r="Q21" s="72">
        <f>Q10</f>
        <v>3533.8995</v>
      </c>
      <c r="R21" s="70">
        <f t="shared" si="6"/>
        <v>653.48119999999994</v>
      </c>
      <c r="S21" s="72">
        <f t="shared" si="6"/>
        <v>318306.31050000002</v>
      </c>
      <c r="T21" s="72">
        <f t="shared" si="6"/>
        <v>36427.338100000001</v>
      </c>
      <c r="U21" s="72">
        <f t="shared" si="6"/>
        <v>233758.2346</v>
      </c>
      <c r="V21" s="72">
        <f>V10</f>
        <v>57511.048799999997</v>
      </c>
      <c r="W21" s="72">
        <f>W10</f>
        <v>485409.70679999999</v>
      </c>
      <c r="X21" s="72">
        <f>X10</f>
        <v>404460.83010000002</v>
      </c>
      <c r="Y21" s="72">
        <f>Y10</f>
        <v>70786.100600000005</v>
      </c>
    </row>
    <row r="22" spans="1:25">
      <c r="A22" s="70"/>
      <c r="B22" s="71" t="str">
        <f t="shared" si="8"/>
        <v>猪浓缩饲料-粕甲蛋V(50%)-50kg/袋</v>
      </c>
      <c r="C22" s="70"/>
      <c r="D22" s="70"/>
      <c r="E22" s="70"/>
      <c r="F22" s="70"/>
      <c r="G22" s="70">
        <f>[1]上海生产成本!G9-[1]上海生产成本!J9</f>
        <v>297.08</v>
      </c>
      <c r="H22" s="72">
        <f>[1]上海生产成本!H9+H25</f>
        <v>305.70659999999998</v>
      </c>
      <c r="I22" s="73">
        <f t="shared" si="2"/>
        <v>780765.75449999992</v>
      </c>
      <c r="J22" s="73">
        <f t="shared" si="9"/>
        <v>101499.54808499999</v>
      </c>
      <c r="K22" s="73">
        <f t="shared" si="10"/>
        <v>882265.30258499994</v>
      </c>
      <c r="L22" s="74">
        <f t="shared" si="11"/>
        <v>2.8218559887159822E-2</v>
      </c>
      <c r="M22" s="73">
        <f t="shared" si="12"/>
        <v>24896.256277358003</v>
      </c>
      <c r="N22" s="72">
        <f t="shared" si="3"/>
        <v>0</v>
      </c>
      <c r="O22" s="73">
        <f>N22*$O$30</f>
        <v>0</v>
      </c>
      <c r="P22" s="72">
        <f>P11*1.17</f>
        <v>46196.159489999991</v>
      </c>
      <c r="Q22" s="72">
        <f>Q11*1.17</f>
        <v>809.69077800000002</v>
      </c>
      <c r="R22" s="70">
        <f t="shared" si="6"/>
        <v>0</v>
      </c>
      <c r="S22" s="72">
        <f t="shared" si="6"/>
        <v>77384.306500000006</v>
      </c>
      <c r="T22" s="72">
        <f t="shared" si="6"/>
        <v>10607.7963</v>
      </c>
      <c r="U22" s="72">
        <f t="shared" si="6"/>
        <v>57879.388200000001</v>
      </c>
      <c r="V22" s="72">
        <f>V11*1.06</f>
        <v>14999.257898000002</v>
      </c>
      <c r="W22" s="72">
        <f>W11*1.17</f>
        <v>114403.16885399999</v>
      </c>
      <c r="X22" s="72">
        <f>X11*1.17</f>
        <v>118070.961606</v>
      </c>
      <c r="Y22" s="72">
        <f>Y11*1.05</f>
        <v>25114.757115</v>
      </c>
    </row>
    <row r="23" spans="1:25">
      <c r="A23" s="75"/>
      <c r="B23" s="76" t="s">
        <v>333</v>
      </c>
      <c r="C23" s="75"/>
      <c r="D23" s="75"/>
      <c r="E23" s="75"/>
      <c r="F23" s="75"/>
      <c r="G23" s="75">
        <f>SUM(G16:G22)</f>
        <v>7219.5599999999995</v>
      </c>
      <c r="H23" s="77">
        <f>SUM(H16:H22)</f>
        <v>8516.9446000000007</v>
      </c>
      <c r="I23" s="77">
        <f>SUM(I16:I22)</f>
        <v>20750667.922800004</v>
      </c>
      <c r="J23" s="77">
        <f>SUM(J16:J22)</f>
        <v>2697586.8299640003</v>
      </c>
      <c r="K23" s="77">
        <f>SUM(K16:K22)+18627.14</f>
        <v>23466881.892764002</v>
      </c>
      <c r="L23" s="78">
        <f>1-G23/H23</f>
        <v>0.15232981555380798</v>
      </c>
      <c r="M23" s="79">
        <f>K23*L23</f>
        <v>3574705.7903477368</v>
      </c>
      <c r="N23" s="77">
        <f>SUM(N16:N22)</f>
        <v>0</v>
      </c>
      <c r="O23" s="77">
        <f>SUM(O16:O22)</f>
        <v>0</v>
      </c>
      <c r="P23" s="77">
        <f>SUM(P16:P22)</f>
        <v>318701.26043499995</v>
      </c>
      <c r="Q23" s="77">
        <f>SUM(Q16:Q22)</f>
        <v>6548.988096</v>
      </c>
      <c r="R23" s="77">
        <f>SUM(R16:R22)</f>
        <v>653.48119999999994</v>
      </c>
      <c r="S23" s="77">
        <f>SUM(S16:S22)-S12*2</f>
        <v>575809.39899999998</v>
      </c>
      <c r="T23" s="77">
        <f>SUM(T16:T22)-T12*2-19190.79</f>
        <v>50428.648299999993</v>
      </c>
      <c r="U23" s="77">
        <f>SUM(U16:U22)-U12*2</f>
        <v>428019.3947</v>
      </c>
      <c r="V23" s="77">
        <f>SUM(V16:V22)</f>
        <v>108856.94190799999</v>
      </c>
      <c r="W23" s="77">
        <f>SUM(W16:W22)</f>
        <v>902936.8039559999</v>
      </c>
      <c r="X23" s="77">
        <f>SUM(X16:X22)</f>
        <v>775797.77197200002</v>
      </c>
      <c r="Y23" s="77">
        <f>SUM(Y16:Y22)-Y12*1.17*3</f>
        <v>145042.37770100002</v>
      </c>
    </row>
    <row r="24" spans="1:25">
      <c r="A24" s="70"/>
      <c r="B24" s="71" t="str">
        <f>B12</f>
        <v>猪浓缩饲料-酸酸乳-40kg/袋</v>
      </c>
      <c r="C24" s="70"/>
      <c r="D24" s="70"/>
      <c r="E24" s="70"/>
      <c r="F24" s="70"/>
      <c r="G24" s="70">
        <f>[1]上海生产成本!G10-[1]上海生产成本!J10</f>
        <v>1123.3960000000002</v>
      </c>
      <c r="H24" s="72">
        <f>[1]上海生产成本!H10</f>
        <v>1357.7409299999999</v>
      </c>
      <c r="I24" s="73">
        <f>(I12+M12-O24)</f>
        <v>3234489.6939999997</v>
      </c>
      <c r="J24" s="73"/>
      <c r="K24" s="73">
        <f>J24+I24</f>
        <v>3234489.6939999997</v>
      </c>
      <c r="L24" s="74">
        <f>1-G24/H24</f>
        <v>0.17259914967725087</v>
      </c>
      <c r="M24" s="73">
        <f t="shared" si="12"/>
        <v>558270.17082423135</v>
      </c>
      <c r="N24" s="72">
        <f>$L$31/($G$24+$G$25)*G24</f>
        <v>0</v>
      </c>
      <c r="O24" s="73">
        <f>N24*$O$30</f>
        <v>0</v>
      </c>
      <c r="P24" s="72">
        <f>P12*1.17</f>
        <v>1866.8000519999998</v>
      </c>
      <c r="Q24" s="72">
        <f>Q12*1.17</f>
        <v>22.975641</v>
      </c>
      <c r="R24" s="70">
        <f>R12</f>
        <v>0</v>
      </c>
      <c r="S24" s="70">
        <f>S12*3</f>
        <v>5813.8829999999998</v>
      </c>
      <c r="T24" s="70">
        <f>T12*3</f>
        <v>796.96379999999999</v>
      </c>
      <c r="U24" s="70">
        <f>U12*3</f>
        <v>5276.9531999999999</v>
      </c>
      <c r="V24" s="72">
        <f>V12*1.06</f>
        <v>427.51983600000005</v>
      </c>
      <c r="W24" s="72">
        <f>W12*1.17</f>
        <v>3476.771064</v>
      </c>
      <c r="X24" s="72">
        <f>X12*1.17</f>
        <v>3456.3721139999998</v>
      </c>
      <c r="Y24" s="72">
        <f>Y12*1.17*4</f>
        <v>2803.3522919999996</v>
      </c>
    </row>
    <row r="25" spans="1:25">
      <c r="A25" s="80"/>
      <c r="B25" s="80" t="s">
        <v>334</v>
      </c>
      <c r="C25" s="80"/>
      <c r="D25" s="80"/>
      <c r="E25" s="80"/>
      <c r="F25" s="80"/>
      <c r="G25" s="80"/>
      <c r="H25" s="80">
        <v>8.048</v>
      </c>
      <c r="I25" s="80"/>
      <c r="J25" s="80"/>
      <c r="K25" s="80"/>
      <c r="L25" s="81"/>
      <c r="M25" s="80"/>
      <c r="N25" s="80"/>
      <c r="O25" s="80"/>
      <c r="P25" s="82">
        <v>181.46</v>
      </c>
      <c r="Q25" s="82">
        <v>4.95</v>
      </c>
      <c r="R25" s="82"/>
      <c r="S25" s="82"/>
      <c r="T25" s="82"/>
      <c r="U25" s="82">
        <f>27000+3057.45</f>
        <v>30057.45</v>
      </c>
      <c r="V25" s="82">
        <v>321.33999999999997</v>
      </c>
      <c r="W25" s="82">
        <v>6937.56</v>
      </c>
      <c r="X25" s="82">
        <v>5575.48</v>
      </c>
      <c r="Y25" s="82"/>
    </row>
    <row r="26" spans="1:25">
      <c r="A26" s="83"/>
      <c r="B26" s="83"/>
      <c r="C26" s="83"/>
      <c r="D26" s="83"/>
      <c r="E26" s="83"/>
      <c r="F26" s="83"/>
      <c r="G26" s="83"/>
      <c r="H26" s="83" t="s">
        <v>335</v>
      </c>
      <c r="I26" s="83" t="s">
        <v>336</v>
      </c>
      <c r="J26" s="83"/>
      <c r="K26" s="83"/>
      <c r="L26" s="84"/>
      <c r="M26" s="83"/>
      <c r="N26" s="83"/>
      <c r="O26" s="83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>
      <c r="A27" s="58" t="s">
        <v>337</v>
      </c>
      <c r="B27" s="86" t="str">
        <f t="shared" ref="B27:G35" si="13">B16</f>
        <v>发酵豆粕-勃乐(50%)-40kg/袋</v>
      </c>
      <c r="C27" s="86">
        <f t="shared" si="13"/>
        <v>0</v>
      </c>
      <c r="D27" s="86">
        <f t="shared" si="13"/>
        <v>0</v>
      </c>
      <c r="E27" s="86">
        <f t="shared" si="13"/>
        <v>0</v>
      </c>
      <c r="F27" s="86">
        <f t="shared" si="13"/>
        <v>0</v>
      </c>
      <c r="G27" s="85">
        <f t="shared" si="13"/>
        <v>950.80499999999995</v>
      </c>
      <c r="H27" s="84">
        <f>G27/$G$35</f>
        <v>0.28212224362557808</v>
      </c>
      <c r="I27" s="84" t="e">
        <f>G27/$G$37</f>
        <v>#DIV/0!</v>
      </c>
      <c r="J27" s="83"/>
      <c r="K27" s="70"/>
      <c r="L27" s="87" t="s">
        <v>338</v>
      </c>
      <c r="M27" s="87" t="s">
        <v>339</v>
      </c>
      <c r="N27" s="87" t="s">
        <v>340</v>
      </c>
      <c r="O27" s="87" t="s">
        <v>341</v>
      </c>
      <c r="P27" s="85"/>
      <c r="Q27" s="85"/>
      <c r="R27" s="85"/>
      <c r="S27" s="85"/>
      <c r="T27" s="85"/>
      <c r="U27" s="85"/>
      <c r="V27" s="85"/>
      <c r="W27" s="85"/>
      <c r="X27" s="85"/>
      <c r="Y27" s="85"/>
    </row>
    <row r="28" spans="1:25">
      <c r="A28" s="83"/>
      <c r="B28" s="86" t="str">
        <f t="shared" si="13"/>
        <v>发酵豆粕-勃乐(出口)-40kg/袋</v>
      </c>
      <c r="C28" s="86">
        <f t="shared" si="13"/>
        <v>0</v>
      </c>
      <c r="D28" s="86">
        <f t="shared" si="13"/>
        <v>0</v>
      </c>
      <c r="E28" s="86">
        <f t="shared" si="13"/>
        <v>0</v>
      </c>
      <c r="F28" s="86">
        <f t="shared" si="13"/>
        <v>0</v>
      </c>
      <c r="G28" s="85">
        <f t="shared" si="13"/>
        <v>100</v>
      </c>
      <c r="H28" s="84">
        <f t="shared" ref="H28:H34" si="14">G28/$G$35</f>
        <v>2.9671935215483523E-2</v>
      </c>
      <c r="I28" s="84" t="e">
        <f t="shared" ref="I28:I36" si="15">G28/$G$37</f>
        <v>#DIV/0!</v>
      </c>
      <c r="J28" s="83"/>
      <c r="K28" s="70" t="s">
        <v>342</v>
      </c>
      <c r="L28" s="72">
        <f>1040.35+46.805</f>
        <v>1087.155</v>
      </c>
      <c r="M28" s="88">
        <v>6.7999999999999996E-3</v>
      </c>
      <c r="N28" s="72">
        <f>L28*M28</f>
        <v>7.3926539999999994</v>
      </c>
      <c r="O28" s="72">
        <f>O3/N3</f>
        <v>22989.129757843199</v>
      </c>
      <c r="P28" s="85"/>
      <c r="Q28" s="85"/>
      <c r="R28" s="85"/>
      <c r="S28" s="85"/>
      <c r="T28" s="85"/>
      <c r="U28" s="85"/>
      <c r="V28" s="85"/>
      <c r="W28" s="85"/>
      <c r="X28" s="85"/>
      <c r="Y28" s="85"/>
    </row>
    <row r="29" spans="1:25">
      <c r="A29" s="83"/>
      <c r="B29" s="86" t="str">
        <f t="shared" si="13"/>
        <v>发酵豆粕-活力蛋白(46%)-50kg/袋</v>
      </c>
      <c r="C29" s="86">
        <f t="shared" si="13"/>
        <v>0</v>
      </c>
      <c r="D29" s="86">
        <f t="shared" si="13"/>
        <v>0</v>
      </c>
      <c r="E29" s="86">
        <f t="shared" si="13"/>
        <v>0</v>
      </c>
      <c r="F29" s="86">
        <f t="shared" si="13"/>
        <v>0</v>
      </c>
      <c r="G29" s="85">
        <f t="shared" si="13"/>
        <v>227.3</v>
      </c>
      <c r="H29" s="84">
        <f t="shared" si="14"/>
        <v>6.7444308744794054E-2</v>
      </c>
      <c r="I29" s="84" t="e">
        <f t="shared" si="15"/>
        <v>#DIV/0!</v>
      </c>
      <c r="J29" s="83"/>
      <c r="K29" s="70" t="s">
        <v>343</v>
      </c>
      <c r="L29" s="72">
        <f>505.427+253.64</f>
        <v>759.06700000000001</v>
      </c>
      <c r="M29" s="74">
        <f>(N3+N4)/(G3+G4)</f>
        <v>4.1337274961747317E-3</v>
      </c>
      <c r="N29" s="72">
        <f>L29*M29</f>
        <v>3.1377761293388651</v>
      </c>
      <c r="O29" s="72">
        <f>O4/N4</f>
        <v>7208.6017031820047</v>
      </c>
      <c r="P29" s="85"/>
      <c r="Q29" s="85"/>
      <c r="R29" s="85"/>
      <c r="S29" s="85"/>
      <c r="T29" s="85"/>
      <c r="U29" s="85"/>
      <c r="V29" s="85"/>
      <c r="W29" s="85"/>
      <c r="X29" s="85"/>
      <c r="Y29" s="85"/>
    </row>
    <row r="30" spans="1:25">
      <c r="A30" s="83"/>
      <c r="B30" s="86" t="str">
        <f t="shared" si="13"/>
        <v>发酵豆粕-活力蛋白(48%)-50kg/袋</v>
      </c>
      <c r="C30" s="86">
        <f t="shared" si="13"/>
        <v>0</v>
      </c>
      <c r="D30" s="86">
        <f t="shared" si="13"/>
        <v>0</v>
      </c>
      <c r="E30" s="86">
        <f t="shared" si="13"/>
        <v>0</v>
      </c>
      <c r="F30" s="86">
        <f t="shared" si="13"/>
        <v>0</v>
      </c>
      <c r="G30" s="85">
        <f t="shared" si="13"/>
        <v>380.6</v>
      </c>
      <c r="H30" s="84">
        <f t="shared" si="14"/>
        <v>0.1129313854301303</v>
      </c>
      <c r="I30" s="84" t="e">
        <f t="shared" si="15"/>
        <v>#DIV/0!</v>
      </c>
      <c r="J30" s="83"/>
      <c r="K30" s="70" t="s">
        <v>344</v>
      </c>
      <c r="L30" s="72">
        <f>N28+N3+N4-N29</f>
        <v>42.17273787066113</v>
      </c>
      <c r="M30" s="70"/>
      <c r="N30" s="70"/>
      <c r="O30" s="70"/>
      <c r="P30" s="85"/>
      <c r="Q30" s="85"/>
      <c r="R30" s="85"/>
      <c r="S30" s="85"/>
      <c r="T30" s="85"/>
      <c r="U30" s="85"/>
      <c r="V30" s="85"/>
      <c r="W30" s="85"/>
      <c r="X30" s="85"/>
      <c r="Y30" s="85"/>
    </row>
    <row r="31" spans="1:25">
      <c r="A31" s="89"/>
      <c r="B31" s="86" t="str">
        <f t="shared" si="13"/>
        <v>发酵豆粕-粕甲蛋(50%)-40kg/袋</v>
      </c>
      <c r="C31" s="86">
        <f t="shared" si="13"/>
        <v>0</v>
      </c>
      <c r="D31" s="86">
        <f t="shared" si="13"/>
        <v>0</v>
      </c>
      <c r="E31" s="86">
        <f t="shared" si="13"/>
        <v>0</v>
      </c>
      <c r="F31" s="86">
        <f t="shared" si="13"/>
        <v>0</v>
      </c>
      <c r="G31" s="85">
        <f t="shared" si="13"/>
        <v>1143.2</v>
      </c>
      <c r="H31" s="84">
        <f t="shared" si="14"/>
        <v>0.33920956338340763</v>
      </c>
      <c r="I31" s="84" t="e">
        <f t="shared" si="15"/>
        <v>#DIV/0!</v>
      </c>
      <c r="J31" s="90"/>
      <c r="K31" s="90"/>
      <c r="L31" s="91"/>
      <c r="M31" s="90"/>
      <c r="N31" s="92"/>
      <c r="O31" s="90"/>
      <c r="P31" s="92"/>
      <c r="Q31" s="92"/>
      <c r="R31" s="89"/>
      <c r="S31" s="89"/>
      <c r="T31" s="89"/>
      <c r="U31" s="89"/>
      <c r="V31" s="92"/>
      <c r="W31" s="92"/>
      <c r="X31" s="92"/>
      <c r="Y31" s="92"/>
    </row>
    <row r="32" spans="1:25">
      <c r="A32" s="89"/>
      <c r="B32" s="86" t="str">
        <f t="shared" si="13"/>
        <v>猪浓缩饲料-勃乐-III(50%)-40kg/袋</v>
      </c>
      <c r="C32" s="86">
        <f t="shared" si="13"/>
        <v>0</v>
      </c>
      <c r="D32" s="86">
        <f t="shared" si="13"/>
        <v>0</v>
      </c>
      <c r="E32" s="86">
        <f t="shared" si="13"/>
        <v>0</v>
      </c>
      <c r="F32" s="86">
        <f t="shared" si="13"/>
        <v>0</v>
      </c>
      <c r="G32" s="85">
        <f t="shared" si="13"/>
        <v>4120.5749999999998</v>
      </c>
      <c r="H32" s="84">
        <f t="shared" si="14"/>
        <v>1.2226543445054101</v>
      </c>
      <c r="I32" s="84" t="e">
        <f t="shared" si="15"/>
        <v>#DIV/0!</v>
      </c>
      <c r="J32" s="90"/>
      <c r="K32" s="90"/>
      <c r="L32" s="91"/>
      <c r="M32" s="90"/>
      <c r="N32" s="92"/>
      <c r="O32" s="90"/>
      <c r="P32" s="92"/>
      <c r="Q32" s="92"/>
      <c r="R32" s="89"/>
      <c r="S32" s="89"/>
      <c r="T32" s="89"/>
      <c r="U32" s="89"/>
      <c r="V32" s="92"/>
      <c r="W32" s="92"/>
      <c r="X32" s="92"/>
      <c r="Y32" s="92"/>
    </row>
    <row r="33" spans="1:25">
      <c r="A33" s="89"/>
      <c r="B33" s="86" t="str">
        <f t="shared" si="13"/>
        <v>猪浓缩饲料-粕甲蛋V(50%)-50kg/袋</v>
      </c>
      <c r="C33" s="86">
        <f t="shared" si="13"/>
        <v>0</v>
      </c>
      <c r="D33" s="86">
        <f t="shared" si="13"/>
        <v>0</v>
      </c>
      <c r="E33" s="86">
        <f t="shared" si="13"/>
        <v>0</v>
      </c>
      <c r="F33" s="86">
        <f t="shared" si="13"/>
        <v>0</v>
      </c>
      <c r="G33" s="85">
        <f t="shared" si="13"/>
        <v>297.08</v>
      </c>
      <c r="H33" s="84">
        <f t="shared" si="14"/>
        <v>8.814938513815844E-2</v>
      </c>
      <c r="I33" s="84" t="e">
        <f t="shared" si="15"/>
        <v>#DIV/0!</v>
      </c>
      <c r="J33" s="90"/>
      <c r="K33" s="90"/>
      <c r="L33" s="91"/>
      <c r="M33" s="90"/>
      <c r="N33" s="92"/>
      <c r="O33" s="90"/>
      <c r="P33" s="92"/>
      <c r="Q33" s="92"/>
      <c r="R33" s="89"/>
      <c r="S33" s="89"/>
      <c r="T33" s="89"/>
      <c r="U33" s="89"/>
      <c r="V33" s="92"/>
      <c r="W33" s="92"/>
      <c r="X33" s="92"/>
      <c r="Y33" s="92"/>
    </row>
    <row r="34" spans="1:25">
      <c r="A34" s="89"/>
      <c r="B34" s="86" t="str">
        <f t="shared" si="13"/>
        <v>勃乐合计</v>
      </c>
      <c r="C34" s="86">
        <f t="shared" si="13"/>
        <v>0</v>
      </c>
      <c r="D34" s="86">
        <f t="shared" si="13"/>
        <v>0</v>
      </c>
      <c r="E34" s="86">
        <f t="shared" si="13"/>
        <v>0</v>
      </c>
      <c r="F34" s="86">
        <f t="shared" si="13"/>
        <v>0</v>
      </c>
      <c r="G34" s="85">
        <f t="shared" si="13"/>
        <v>7219.5599999999995</v>
      </c>
      <c r="H34" s="84">
        <f t="shared" si="14"/>
        <v>2.1421831660429622</v>
      </c>
      <c r="I34" s="84" t="e">
        <f t="shared" si="15"/>
        <v>#DIV/0!</v>
      </c>
      <c r="J34" s="90"/>
      <c r="K34" s="90"/>
      <c r="L34" s="91"/>
      <c r="M34" s="90"/>
      <c r="N34" s="92"/>
      <c r="O34" s="90"/>
      <c r="P34" s="92"/>
      <c r="Q34" s="92"/>
      <c r="R34" s="89"/>
      <c r="S34" s="89"/>
      <c r="T34" s="89"/>
      <c r="U34" s="89"/>
      <c r="V34" s="92"/>
      <c r="W34" s="92"/>
      <c r="X34" s="92"/>
      <c r="Y34" s="92"/>
    </row>
    <row r="35" spans="1:25">
      <c r="A35" s="89"/>
      <c r="B35" s="86" t="str">
        <f t="shared" si="13"/>
        <v>猪浓缩饲料-酸酸乳-40kg/袋</v>
      </c>
      <c r="C35" s="86">
        <f t="shared" si="13"/>
        <v>0</v>
      </c>
      <c r="D35" s="86">
        <f t="shared" si="13"/>
        <v>0</v>
      </c>
      <c r="E35" s="86">
        <f t="shared" si="13"/>
        <v>0</v>
      </c>
      <c r="F35" s="86">
        <f t="shared" si="13"/>
        <v>0</v>
      </c>
      <c r="G35" s="85">
        <f>G24*3</f>
        <v>3370.1880000000006</v>
      </c>
      <c r="H35" s="84"/>
      <c r="I35" s="84" t="e">
        <f t="shared" si="15"/>
        <v>#DIV/0!</v>
      </c>
      <c r="J35" s="90"/>
      <c r="K35" s="90"/>
      <c r="L35" s="91"/>
      <c r="M35" s="90"/>
      <c r="N35" s="92"/>
      <c r="O35" s="90"/>
      <c r="P35" s="92"/>
      <c r="Q35" s="92"/>
      <c r="R35" s="89"/>
      <c r="S35" s="89"/>
      <c r="T35" s="89"/>
      <c r="U35" s="89"/>
      <c r="V35" s="92"/>
      <c r="W35" s="92"/>
      <c r="X35" s="92"/>
      <c r="Y35" s="92"/>
    </row>
    <row r="36" spans="1:25">
      <c r="A36" s="89"/>
      <c r="B36" s="86" t="s">
        <v>345</v>
      </c>
      <c r="C36" s="89"/>
      <c r="D36" s="89"/>
      <c r="E36" s="89"/>
      <c r="F36" s="89"/>
      <c r="G36" s="92">
        <f>G35+G34</f>
        <v>10589.748</v>
      </c>
      <c r="H36" s="84"/>
      <c r="I36" s="84" t="e">
        <f t="shared" si="15"/>
        <v>#DIV/0!</v>
      </c>
      <c r="J36" s="90"/>
      <c r="K36" s="90"/>
      <c r="L36" s="91"/>
      <c r="M36" s="90"/>
      <c r="N36" s="92"/>
      <c r="O36" s="90"/>
      <c r="P36" s="92"/>
      <c r="Q36" s="92"/>
      <c r="R36" s="89"/>
      <c r="S36" s="89"/>
      <c r="T36" s="89"/>
      <c r="U36" s="89"/>
      <c r="V36" s="92"/>
      <c r="W36" s="92"/>
      <c r="X36" s="92"/>
      <c r="Y36" s="92"/>
    </row>
    <row r="37" spans="1:25">
      <c r="A37" s="89"/>
      <c r="B37" s="93"/>
      <c r="C37" s="89"/>
      <c r="D37" s="89"/>
      <c r="E37" s="89"/>
      <c r="F37" s="89"/>
      <c r="G37" s="89"/>
      <c r="H37" s="92"/>
      <c r="I37" s="90"/>
      <c r="J37" s="90"/>
      <c r="K37" s="90"/>
      <c r="L37" s="91"/>
      <c r="M37" s="90"/>
      <c r="N37" s="92"/>
      <c r="O37" s="90"/>
      <c r="P37" s="92"/>
      <c r="Q37" s="92"/>
      <c r="R37" s="89"/>
      <c r="S37" s="89"/>
      <c r="T37" s="89"/>
      <c r="U37" s="89"/>
      <c r="V37" s="92"/>
      <c r="W37" s="92"/>
      <c r="X37" s="92"/>
      <c r="Y37" s="92"/>
    </row>
    <row r="38" spans="1:25">
      <c r="A38" s="58"/>
      <c r="B38" s="58" t="s">
        <v>346</v>
      </c>
      <c r="C38" s="58"/>
      <c r="D38" s="58"/>
      <c r="E38" s="58"/>
      <c r="F38" s="58"/>
      <c r="G38" s="58"/>
      <c r="H38" s="66"/>
      <c r="I38" s="65"/>
      <c r="J38" s="94"/>
      <c r="K38" s="94"/>
      <c r="L38" s="94"/>
      <c r="M38" s="66"/>
      <c r="N38" s="66"/>
      <c r="O38" s="94"/>
      <c r="P38" s="94"/>
      <c r="Q38" s="94"/>
      <c r="R38" s="94"/>
      <c r="S38" s="94"/>
      <c r="T38" s="94"/>
      <c r="U38" s="58"/>
      <c r="V38" s="66"/>
      <c r="W38" s="66"/>
      <c r="X38" s="58"/>
      <c r="Y38" s="58"/>
    </row>
    <row r="39" spans="1:25">
      <c r="A39" s="58"/>
      <c r="B39" s="58" t="s">
        <v>347</v>
      </c>
      <c r="C39" s="58"/>
      <c r="D39" s="58"/>
      <c r="E39" s="58"/>
      <c r="F39" s="58"/>
      <c r="G39" s="58"/>
      <c r="H39" s="66"/>
      <c r="I39" s="65"/>
      <c r="J39" s="94"/>
      <c r="K39" s="94"/>
      <c r="L39" s="94"/>
      <c r="M39" s="66"/>
      <c r="N39" s="66"/>
      <c r="O39" s="94"/>
      <c r="P39" s="94"/>
      <c r="Q39" s="94"/>
      <c r="R39" s="94"/>
      <c r="S39" s="94"/>
      <c r="T39" s="94"/>
      <c r="U39" s="58"/>
      <c r="V39" s="66"/>
      <c r="W39" s="66"/>
      <c r="X39" s="58"/>
      <c r="Y39" s="58"/>
    </row>
    <row r="40" spans="1:25">
      <c r="A40" s="58"/>
      <c r="B40" s="58" t="s">
        <v>348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 spans="1:25">
      <c r="A41" s="58"/>
      <c r="B41" s="58" t="s">
        <v>349</v>
      </c>
      <c r="C41" s="58"/>
      <c r="D41" s="58"/>
      <c r="E41" s="58"/>
      <c r="F41" s="58"/>
      <c r="G41" s="58"/>
      <c r="H41" s="58"/>
      <c r="I41" s="66"/>
      <c r="J41" s="66"/>
      <c r="K41" s="66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</row>
    <row r="42" spans="1:25">
      <c r="A42" s="58"/>
      <c r="B42" s="58" t="s">
        <v>350</v>
      </c>
      <c r="C42" s="58"/>
      <c r="D42" s="58"/>
      <c r="E42" s="58"/>
      <c r="F42" s="58"/>
      <c r="G42" s="58"/>
      <c r="H42" s="58"/>
      <c r="I42" s="58"/>
      <c r="J42" s="66"/>
      <c r="K42" s="66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 spans="1:25">
      <c r="A43" s="58"/>
      <c r="B43" s="58" t="s">
        <v>351</v>
      </c>
      <c r="C43" s="58"/>
      <c r="D43" s="58"/>
      <c r="E43" s="58"/>
      <c r="F43" s="58"/>
      <c r="G43" s="58"/>
      <c r="H43" s="58"/>
      <c r="I43" s="58"/>
      <c r="J43" s="66"/>
      <c r="K43" s="66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 spans="1:25">
      <c r="A44" s="58"/>
      <c r="B44" s="58" t="s">
        <v>352</v>
      </c>
      <c r="C44" s="58"/>
      <c r="D44" s="58"/>
      <c r="E44" s="58"/>
      <c r="F44" s="58"/>
      <c r="G44" s="58"/>
      <c r="H44" s="58"/>
      <c r="I44" s="58"/>
      <c r="J44" s="66"/>
      <c r="K44" s="66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</row>
    <row r="45" spans="1:25">
      <c r="A45" s="58"/>
      <c r="B45" s="58" t="s">
        <v>353</v>
      </c>
      <c r="C45" s="58"/>
      <c r="D45" s="58"/>
      <c r="E45" s="58"/>
      <c r="F45" s="58"/>
      <c r="G45" s="58"/>
      <c r="H45" s="58"/>
      <c r="I45" s="58"/>
      <c r="J45" s="66"/>
      <c r="K45" s="66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workbookViewId="0">
      <selection sqref="A1:XFD1048576"/>
    </sheetView>
  </sheetViews>
  <sheetFormatPr defaultColWidth="9" defaultRowHeight="12.75"/>
  <cols>
    <col min="1" max="1" width="5" style="43" bestFit="1" customWidth="1"/>
    <col min="2" max="2" width="8.42578125" style="1" bestFit="1" customWidth="1"/>
    <col min="3" max="4" width="6.7109375" style="1" bestFit="1" customWidth="1"/>
    <col min="5" max="5" width="11.85546875" style="1" customWidth="1"/>
    <col min="6" max="6" width="11.28515625" style="1" bestFit="1" customWidth="1"/>
    <col min="7" max="7" width="11" style="1" customWidth="1"/>
    <col min="8" max="8" width="11.42578125" style="2" customWidth="1"/>
    <col min="9" max="9" width="12.85546875" style="2" customWidth="1"/>
    <col min="10" max="10" width="7" style="2" bestFit="1" customWidth="1"/>
    <col min="11" max="12" width="8.42578125" style="1" bestFit="1" customWidth="1"/>
    <col min="13" max="13" width="11.140625" style="2" customWidth="1"/>
    <col min="14" max="14" width="12.28515625" style="2" customWidth="1"/>
    <col min="15" max="15" width="7" style="2" bestFit="1" customWidth="1"/>
    <col min="16" max="16" width="8.42578125" style="1" bestFit="1" customWidth="1"/>
    <col min="17" max="17" width="8.42578125" style="1" customWidth="1"/>
    <col min="18" max="18" width="12.42578125" style="2" bestFit="1" customWidth="1"/>
    <col min="19" max="19" width="14.42578125" style="2" bestFit="1" customWidth="1"/>
    <col min="20" max="20" width="7" style="2" bestFit="1" customWidth="1"/>
    <col min="21" max="21" width="8.42578125" style="1" bestFit="1" customWidth="1"/>
    <col min="22" max="22" width="10.42578125" style="2" bestFit="1" customWidth="1"/>
    <col min="23" max="23" width="10.28515625" style="2" bestFit="1" customWidth="1"/>
    <col min="24" max="24" width="14.140625" style="2" bestFit="1" customWidth="1"/>
    <col min="25" max="25" width="10.42578125" style="2" bestFit="1" customWidth="1"/>
    <col min="26" max="26" width="8.42578125" style="1" bestFit="1" customWidth="1"/>
    <col min="27" max="27" width="10.42578125" style="1" customWidth="1"/>
    <col min="28" max="28" width="6.7109375" style="1" bestFit="1" customWidth="1"/>
    <col min="29" max="30" width="13.5703125" style="1" bestFit="1" customWidth="1"/>
    <col min="31" max="31" width="10.28515625" style="1" bestFit="1" customWidth="1"/>
    <col min="32" max="32" width="12.42578125" style="2" bestFit="1" customWidth="1"/>
    <col min="33" max="33" width="8.42578125" style="1" bestFit="1" customWidth="1"/>
    <col min="34" max="34" width="6.7109375" style="1" bestFit="1" customWidth="1"/>
    <col min="35" max="35" width="9.5703125" style="1" customWidth="1"/>
    <col min="36" max="16384" width="9" style="1"/>
  </cols>
  <sheetData>
    <row r="1" spans="1:36" s="3" customFormat="1" ht="18" customHeight="1">
      <c r="A1" s="120" t="s">
        <v>354</v>
      </c>
      <c r="B1" s="120" t="s">
        <v>355</v>
      </c>
      <c r="C1" s="120" t="s">
        <v>356</v>
      </c>
      <c r="D1" s="120"/>
      <c r="E1" s="120"/>
      <c r="F1" s="121" t="s">
        <v>357</v>
      </c>
      <c r="G1" s="121"/>
      <c r="H1" s="112">
        <v>0.43</v>
      </c>
      <c r="I1" s="113"/>
      <c r="J1" s="113"/>
      <c r="K1" s="113"/>
      <c r="L1" s="114"/>
      <c r="M1" s="112">
        <v>0.45</v>
      </c>
      <c r="N1" s="113"/>
      <c r="O1" s="113"/>
      <c r="P1" s="113"/>
      <c r="Q1" s="114"/>
      <c r="R1" s="112">
        <v>0.46</v>
      </c>
      <c r="S1" s="113"/>
      <c r="T1" s="113"/>
      <c r="U1" s="113"/>
      <c r="V1" s="114"/>
      <c r="W1" s="115" t="s">
        <v>358</v>
      </c>
      <c r="X1" s="116"/>
      <c r="Y1" s="116"/>
      <c r="Z1" s="116"/>
      <c r="AA1" s="116"/>
      <c r="AB1" s="116"/>
      <c r="AC1" s="116"/>
      <c r="AD1" s="116"/>
      <c r="AE1" s="117"/>
      <c r="AF1" s="112" t="s">
        <v>359</v>
      </c>
      <c r="AG1" s="113"/>
      <c r="AH1" s="113"/>
      <c r="AI1" s="114"/>
    </row>
    <row r="2" spans="1:36" s="3" customFormat="1" ht="18" customHeight="1">
      <c r="A2" s="120"/>
      <c r="B2" s="120"/>
      <c r="C2" s="35" t="s">
        <v>360</v>
      </c>
      <c r="D2" s="95" t="s">
        <v>361</v>
      </c>
      <c r="E2" s="95" t="s">
        <v>362</v>
      </c>
      <c r="F2" s="35" t="s">
        <v>363</v>
      </c>
      <c r="G2" s="35" t="s">
        <v>364</v>
      </c>
      <c r="H2" s="36" t="s">
        <v>365</v>
      </c>
      <c r="I2" s="36" t="s">
        <v>366</v>
      </c>
      <c r="J2" s="36" t="s">
        <v>360</v>
      </c>
      <c r="K2" s="35" t="s">
        <v>367</v>
      </c>
      <c r="L2" s="35" t="s">
        <v>362</v>
      </c>
      <c r="M2" s="36" t="s">
        <v>365</v>
      </c>
      <c r="N2" s="36" t="s">
        <v>366</v>
      </c>
      <c r="O2" s="36" t="s">
        <v>360</v>
      </c>
      <c r="P2" s="35" t="s">
        <v>367</v>
      </c>
      <c r="Q2" s="35" t="s">
        <v>362</v>
      </c>
      <c r="R2" s="36" t="s">
        <v>365</v>
      </c>
      <c r="S2" s="36" t="s">
        <v>366</v>
      </c>
      <c r="T2" s="36" t="s">
        <v>360</v>
      </c>
      <c r="U2" s="35" t="s">
        <v>367</v>
      </c>
      <c r="V2" s="36" t="s">
        <v>362</v>
      </c>
      <c r="W2" s="36" t="s">
        <v>368</v>
      </c>
      <c r="X2" s="36" t="s">
        <v>369</v>
      </c>
      <c r="Y2" s="36" t="s">
        <v>370</v>
      </c>
      <c r="Z2" s="35" t="s">
        <v>367</v>
      </c>
      <c r="AA2" s="35" t="s">
        <v>362</v>
      </c>
      <c r="AB2" s="35" t="s">
        <v>371</v>
      </c>
      <c r="AC2" s="35" t="s">
        <v>372</v>
      </c>
      <c r="AD2" s="35" t="s">
        <v>373</v>
      </c>
      <c r="AE2" s="35" t="s">
        <v>374</v>
      </c>
      <c r="AF2" s="36" t="s">
        <v>375</v>
      </c>
      <c r="AG2" s="35" t="s">
        <v>367</v>
      </c>
      <c r="AH2" s="35" t="s">
        <v>371</v>
      </c>
      <c r="AI2" s="35" t="s">
        <v>362</v>
      </c>
    </row>
    <row r="3" spans="1:36" ht="18" customHeight="1">
      <c r="A3" s="38">
        <v>1</v>
      </c>
      <c r="B3" s="39">
        <v>42374</v>
      </c>
      <c r="C3" s="96">
        <v>0.11</v>
      </c>
      <c r="D3" s="97">
        <v>0.5</v>
      </c>
      <c r="E3" s="98">
        <f t="shared" ref="E3:E23" si="0">D3*100/(1-C3)</f>
        <v>56.179775280898873</v>
      </c>
      <c r="F3" s="41">
        <f t="shared" ref="F3:F23" si="1">IF(D3=0,0,AE3*(AF3+AF3/(1-AH3)*AH3)-X3)</f>
        <v>49981.336701411288</v>
      </c>
      <c r="G3" s="99">
        <f>IF(W3=0,0,(AF3/AI3-Y3/AA3)*W3)</f>
        <v>494.58917532573707</v>
      </c>
      <c r="H3" s="100">
        <v>300</v>
      </c>
      <c r="I3" s="100">
        <v>2600</v>
      </c>
      <c r="J3" s="96">
        <v>0.13</v>
      </c>
      <c r="K3" s="96">
        <v>0.4355</v>
      </c>
      <c r="L3" s="100">
        <f>K3*100/(1-J3)</f>
        <v>50.057471264367813</v>
      </c>
      <c r="M3" s="100">
        <v>300</v>
      </c>
      <c r="N3" s="100">
        <v>2700</v>
      </c>
      <c r="O3" s="96">
        <v>0.13</v>
      </c>
      <c r="P3" s="96">
        <v>0.4556</v>
      </c>
      <c r="Q3" s="100">
        <f>P3*100/(1-O3)</f>
        <v>52.367816091954026</v>
      </c>
      <c r="R3" s="100">
        <v>300</v>
      </c>
      <c r="S3" s="100">
        <v>2780</v>
      </c>
      <c r="T3" s="96">
        <v>0.13</v>
      </c>
      <c r="U3" s="96">
        <v>0.46</v>
      </c>
      <c r="V3" s="100">
        <f>U3*100/(1-T3)</f>
        <v>52.873563218390807</v>
      </c>
      <c r="W3" s="41">
        <f>R3+M3+H3</f>
        <v>900</v>
      </c>
      <c r="X3" s="98">
        <f>H3*I3+M3*N3+R3*S3</f>
        <v>2424000</v>
      </c>
      <c r="Y3" s="41">
        <f>IF(W3=0,0,X3/W3)</f>
        <v>2693.3333333333335</v>
      </c>
      <c r="Z3" s="42">
        <f t="shared" ref="Z3:Z4" si="2">IF(W3=0,0,(H3*K3+M3*P3+R3*U3)/W3)</f>
        <v>0.45036666666666669</v>
      </c>
      <c r="AA3" s="41">
        <f>IF(W3=0,0,(L3*H3+Q3*M3+V3*R3)/W3)</f>
        <v>51.766283524904217</v>
      </c>
      <c r="AB3" s="42">
        <f t="shared" ref="AB3:AB22" si="3">IF(D3=0,0,1-Z3/D3)</f>
        <v>9.9266666666666614E-2</v>
      </c>
      <c r="AC3" s="42">
        <f t="shared" ref="AC3:AC22" si="4">IF(D3=0,0,AB3-(1-Z3/AG3))</f>
        <v>7.8324637681159381E-2</v>
      </c>
      <c r="AD3" s="41">
        <f t="shared" ref="AD3:AD22" si="5">IF(X3=0,0,X3*(1-AC3)/AE3)</f>
        <v>2728.7964621809983</v>
      </c>
      <c r="AE3" s="41">
        <f t="shared" ref="AE3:AE22" si="6">IF(W3=0,0,W3/(1+AB3))</f>
        <v>818.7276366062224</v>
      </c>
      <c r="AF3" s="41">
        <f>S3</f>
        <v>2780</v>
      </c>
      <c r="AG3" s="42">
        <v>0.46</v>
      </c>
      <c r="AH3" s="101">
        <f t="shared" ref="AH3:AH22" si="7">IF(D3=0,0,1-AG3/D3)</f>
        <v>7.999999999999996E-2</v>
      </c>
      <c r="AI3" s="41">
        <f>AG3*100/(1-13%)</f>
        <v>52.873563218390807</v>
      </c>
      <c r="AJ3" s="2"/>
    </row>
    <row r="4" spans="1:36" ht="18" customHeight="1">
      <c r="A4" s="38">
        <v>2</v>
      </c>
      <c r="B4" s="39">
        <v>42375</v>
      </c>
      <c r="C4" s="96">
        <v>0.11</v>
      </c>
      <c r="D4" s="97">
        <v>0.5</v>
      </c>
      <c r="E4" s="98">
        <f t="shared" si="0"/>
        <v>56.179775280898873</v>
      </c>
      <c r="F4" s="41">
        <f t="shared" si="1"/>
        <v>-9679.0569355669431</v>
      </c>
      <c r="G4" s="99">
        <f t="shared" ref="G4:G23" si="8">IF(W4=0,0,(AF4/AI4-Y4/AA4)*W4)</f>
        <v>-1349.642602831532</v>
      </c>
      <c r="H4" s="100">
        <v>300</v>
      </c>
      <c r="I4" s="100">
        <v>2600</v>
      </c>
      <c r="J4" s="96">
        <v>0.11</v>
      </c>
      <c r="K4" s="96">
        <v>0.43</v>
      </c>
      <c r="L4" s="100">
        <f t="shared" ref="L4:L22" si="9">K4*100/(1-J4)</f>
        <v>48.31460674157303</v>
      </c>
      <c r="M4" s="100">
        <v>300</v>
      </c>
      <c r="N4" s="100">
        <v>2650</v>
      </c>
      <c r="O4" s="96">
        <v>0.12</v>
      </c>
      <c r="P4" s="96">
        <v>0.4556</v>
      </c>
      <c r="Q4" s="100">
        <f>P4*100/(1-O4)</f>
        <v>51.772727272727273</v>
      </c>
      <c r="R4" s="100">
        <v>300</v>
      </c>
      <c r="S4" s="100">
        <v>2660</v>
      </c>
      <c r="T4" s="96">
        <v>0.12</v>
      </c>
      <c r="U4" s="96">
        <v>0.46279999999999999</v>
      </c>
      <c r="V4" s="100">
        <f>U4*100/(1-T4)</f>
        <v>52.590909090909093</v>
      </c>
      <c r="W4" s="41">
        <f t="shared" ref="W4:W22" si="10">R4+M4+H4</f>
        <v>900</v>
      </c>
      <c r="X4" s="98">
        <f t="shared" ref="X4:X22" si="11">H4*I4+M4*N4+R4*S4</f>
        <v>2373000</v>
      </c>
      <c r="Y4" s="41">
        <f t="shared" ref="Y4" si="12">IF(W4=0,0,X4/W4)</f>
        <v>2636.6666666666665</v>
      </c>
      <c r="Z4" s="42">
        <f t="shared" si="2"/>
        <v>0.44946666666666663</v>
      </c>
      <c r="AA4" s="41">
        <f t="shared" ref="AA4:AA22" si="13">IF(W4=0,0,(L4*H4+Q4*M4+V4*R4)/W4)</f>
        <v>50.892747701736468</v>
      </c>
      <c r="AB4" s="42">
        <f t="shared" si="3"/>
        <v>0.10106666666666675</v>
      </c>
      <c r="AC4" s="42">
        <f t="shared" si="4"/>
        <v>7.8168115942028882E-2</v>
      </c>
      <c r="AD4" s="41">
        <f t="shared" si="5"/>
        <v>2676.2123420238322</v>
      </c>
      <c r="AE4" s="41">
        <f t="shared" si="6"/>
        <v>817.38919835311219</v>
      </c>
      <c r="AF4" s="41">
        <f t="shared" ref="AF4:AF22" si="14">S4</f>
        <v>2660</v>
      </c>
      <c r="AG4" s="42">
        <v>0.46</v>
      </c>
      <c r="AH4" s="101">
        <f t="shared" si="7"/>
        <v>7.999999999999996E-2</v>
      </c>
      <c r="AI4" s="41">
        <f t="shared" ref="AI4:AI23" si="15">AG4*100/(1-13%)</f>
        <v>52.873563218390807</v>
      </c>
    </row>
    <row r="5" spans="1:36" ht="18" customHeight="1">
      <c r="A5" s="38">
        <v>3</v>
      </c>
      <c r="B5" s="39">
        <v>42376</v>
      </c>
      <c r="C5" s="96"/>
      <c r="D5" s="97">
        <v>0</v>
      </c>
      <c r="E5" s="98">
        <f t="shared" si="0"/>
        <v>0</v>
      </c>
      <c r="F5" s="41">
        <f t="shared" si="1"/>
        <v>0</v>
      </c>
      <c r="G5" s="99">
        <f t="shared" si="8"/>
        <v>0</v>
      </c>
      <c r="H5" s="100">
        <v>0</v>
      </c>
      <c r="I5" s="100">
        <v>0</v>
      </c>
      <c r="J5" s="96"/>
      <c r="K5" s="96"/>
      <c r="L5" s="100">
        <f t="shared" si="9"/>
        <v>0</v>
      </c>
      <c r="M5" s="100">
        <v>0</v>
      </c>
      <c r="N5" s="100">
        <v>0</v>
      </c>
      <c r="O5" s="100"/>
      <c r="P5" s="96"/>
      <c r="Q5" s="100">
        <f t="shared" ref="Q5:Q23" si="16">P5*100/(1-O5)</f>
        <v>0</v>
      </c>
      <c r="R5" s="100">
        <v>0</v>
      </c>
      <c r="S5" s="100">
        <v>0</v>
      </c>
      <c r="T5" s="96"/>
      <c r="U5" s="96"/>
      <c r="V5" s="100">
        <f t="shared" ref="V5:V23" si="17">U5*100/(1-T5)</f>
        <v>0</v>
      </c>
      <c r="W5" s="41">
        <f t="shared" si="10"/>
        <v>0</v>
      </c>
      <c r="X5" s="98">
        <f t="shared" si="11"/>
        <v>0</v>
      </c>
      <c r="Y5" s="41">
        <f>IF(W5=0,0,X5/W5)</f>
        <v>0</v>
      </c>
      <c r="Z5" s="42">
        <f>IF(W5=0,0,(H5*K5+M5*P5+R5*U5)/W5)</f>
        <v>0</v>
      </c>
      <c r="AA5" s="41">
        <f t="shared" si="13"/>
        <v>0</v>
      </c>
      <c r="AB5" s="42">
        <f t="shared" si="3"/>
        <v>0</v>
      </c>
      <c r="AC5" s="42">
        <f t="shared" si="4"/>
        <v>0</v>
      </c>
      <c r="AD5" s="41">
        <f t="shared" si="5"/>
        <v>0</v>
      </c>
      <c r="AE5" s="41">
        <f t="shared" si="6"/>
        <v>0</v>
      </c>
      <c r="AF5" s="41">
        <f t="shared" si="14"/>
        <v>0</v>
      </c>
      <c r="AG5" s="42">
        <v>0.46</v>
      </c>
      <c r="AH5" s="101">
        <f t="shared" si="7"/>
        <v>0</v>
      </c>
      <c r="AI5" s="41">
        <f t="shared" si="15"/>
        <v>52.873563218390807</v>
      </c>
    </row>
    <row r="6" spans="1:36" ht="18" customHeight="1">
      <c r="A6" s="38">
        <v>4</v>
      </c>
      <c r="B6" s="39">
        <v>42377</v>
      </c>
      <c r="C6" s="96"/>
      <c r="D6" s="97">
        <v>0</v>
      </c>
      <c r="E6" s="98">
        <f t="shared" si="0"/>
        <v>0</v>
      </c>
      <c r="F6" s="41">
        <f t="shared" si="1"/>
        <v>0</v>
      </c>
      <c r="G6" s="99">
        <f t="shared" si="8"/>
        <v>0</v>
      </c>
      <c r="H6" s="100">
        <v>0</v>
      </c>
      <c r="I6" s="100">
        <v>0</v>
      </c>
      <c r="J6" s="96"/>
      <c r="K6" s="96"/>
      <c r="L6" s="100">
        <f t="shared" si="9"/>
        <v>0</v>
      </c>
      <c r="M6" s="100">
        <v>0</v>
      </c>
      <c r="N6" s="100">
        <v>0</v>
      </c>
      <c r="O6" s="100"/>
      <c r="P6" s="96"/>
      <c r="Q6" s="100">
        <f t="shared" si="16"/>
        <v>0</v>
      </c>
      <c r="R6" s="100">
        <v>0</v>
      </c>
      <c r="S6" s="100">
        <v>0</v>
      </c>
      <c r="T6" s="96"/>
      <c r="U6" s="96"/>
      <c r="V6" s="100">
        <f t="shared" si="17"/>
        <v>0</v>
      </c>
      <c r="W6" s="41">
        <f t="shared" si="10"/>
        <v>0</v>
      </c>
      <c r="X6" s="98">
        <f t="shared" si="11"/>
        <v>0</v>
      </c>
      <c r="Y6" s="41">
        <f t="shared" ref="Y6:Y22" si="18">IF(W6=0,0,X6/W6)</f>
        <v>0</v>
      </c>
      <c r="Z6" s="42">
        <f t="shared" ref="Z6:Z22" si="19">IF(W6=0,0,(H6*K6+M6*P6+R6*U6)/W6)</f>
        <v>0</v>
      </c>
      <c r="AA6" s="41">
        <f t="shared" si="13"/>
        <v>0</v>
      </c>
      <c r="AB6" s="42">
        <f t="shared" si="3"/>
        <v>0</v>
      </c>
      <c r="AC6" s="42">
        <f t="shared" si="4"/>
        <v>0</v>
      </c>
      <c r="AD6" s="41">
        <f t="shared" si="5"/>
        <v>0</v>
      </c>
      <c r="AE6" s="41">
        <f t="shared" si="6"/>
        <v>0</v>
      </c>
      <c r="AF6" s="41">
        <f t="shared" si="14"/>
        <v>0</v>
      </c>
      <c r="AG6" s="42">
        <v>0.46</v>
      </c>
      <c r="AH6" s="101">
        <f t="shared" si="7"/>
        <v>0</v>
      </c>
      <c r="AI6" s="41">
        <f t="shared" si="15"/>
        <v>52.873563218390807</v>
      </c>
    </row>
    <row r="7" spans="1:36" ht="18" customHeight="1">
      <c r="A7" s="38">
        <v>5</v>
      </c>
      <c r="B7" s="40"/>
      <c r="C7" s="96"/>
      <c r="D7" s="97"/>
      <c r="E7" s="98">
        <f t="shared" si="0"/>
        <v>0</v>
      </c>
      <c r="F7" s="41">
        <f t="shared" si="1"/>
        <v>0</v>
      </c>
      <c r="G7" s="99">
        <f t="shared" si="8"/>
        <v>0</v>
      </c>
      <c r="H7" s="100">
        <v>0</v>
      </c>
      <c r="I7" s="100">
        <v>0</v>
      </c>
      <c r="J7" s="96"/>
      <c r="K7" s="96"/>
      <c r="L7" s="100">
        <f t="shared" si="9"/>
        <v>0</v>
      </c>
      <c r="M7" s="100">
        <v>0</v>
      </c>
      <c r="N7" s="100">
        <v>0</v>
      </c>
      <c r="O7" s="100"/>
      <c r="P7" s="96"/>
      <c r="Q7" s="100">
        <f t="shared" si="16"/>
        <v>0</v>
      </c>
      <c r="R7" s="100">
        <v>0</v>
      </c>
      <c r="S7" s="100">
        <v>0</v>
      </c>
      <c r="T7" s="96"/>
      <c r="U7" s="96"/>
      <c r="V7" s="100">
        <f t="shared" si="17"/>
        <v>0</v>
      </c>
      <c r="W7" s="41">
        <f t="shared" si="10"/>
        <v>0</v>
      </c>
      <c r="X7" s="98">
        <f t="shared" si="11"/>
        <v>0</v>
      </c>
      <c r="Y7" s="41">
        <f t="shared" si="18"/>
        <v>0</v>
      </c>
      <c r="Z7" s="42">
        <f t="shared" si="19"/>
        <v>0</v>
      </c>
      <c r="AA7" s="41">
        <f t="shared" si="13"/>
        <v>0</v>
      </c>
      <c r="AB7" s="42">
        <f t="shared" si="3"/>
        <v>0</v>
      </c>
      <c r="AC7" s="42">
        <f t="shared" si="4"/>
        <v>0</v>
      </c>
      <c r="AD7" s="41">
        <f t="shared" si="5"/>
        <v>0</v>
      </c>
      <c r="AE7" s="41">
        <f t="shared" si="6"/>
        <v>0</v>
      </c>
      <c r="AF7" s="41">
        <f t="shared" si="14"/>
        <v>0</v>
      </c>
      <c r="AG7" s="42">
        <v>0.46</v>
      </c>
      <c r="AH7" s="101">
        <f t="shared" si="7"/>
        <v>0</v>
      </c>
      <c r="AI7" s="41">
        <f t="shared" si="15"/>
        <v>52.873563218390807</v>
      </c>
    </row>
    <row r="8" spans="1:36" ht="18" customHeight="1">
      <c r="A8" s="38">
        <v>6</v>
      </c>
      <c r="B8" s="40"/>
      <c r="C8" s="96"/>
      <c r="D8" s="97"/>
      <c r="E8" s="98">
        <f t="shared" si="0"/>
        <v>0</v>
      </c>
      <c r="F8" s="41">
        <f t="shared" si="1"/>
        <v>0</v>
      </c>
      <c r="G8" s="99">
        <f t="shared" si="8"/>
        <v>0</v>
      </c>
      <c r="H8" s="100">
        <v>0</v>
      </c>
      <c r="I8" s="100">
        <v>0</v>
      </c>
      <c r="J8" s="96"/>
      <c r="K8" s="96"/>
      <c r="L8" s="100">
        <f t="shared" si="9"/>
        <v>0</v>
      </c>
      <c r="M8" s="100">
        <v>0</v>
      </c>
      <c r="N8" s="100">
        <v>0</v>
      </c>
      <c r="O8" s="100"/>
      <c r="P8" s="96"/>
      <c r="Q8" s="100">
        <f t="shared" si="16"/>
        <v>0</v>
      </c>
      <c r="R8" s="100">
        <v>0</v>
      </c>
      <c r="S8" s="100">
        <v>0</v>
      </c>
      <c r="T8" s="96"/>
      <c r="U8" s="96"/>
      <c r="V8" s="100">
        <f t="shared" si="17"/>
        <v>0</v>
      </c>
      <c r="W8" s="41">
        <f t="shared" si="10"/>
        <v>0</v>
      </c>
      <c r="X8" s="98">
        <f t="shared" si="11"/>
        <v>0</v>
      </c>
      <c r="Y8" s="41">
        <f t="shared" si="18"/>
        <v>0</v>
      </c>
      <c r="Z8" s="42">
        <f t="shared" si="19"/>
        <v>0</v>
      </c>
      <c r="AA8" s="41">
        <f t="shared" si="13"/>
        <v>0</v>
      </c>
      <c r="AB8" s="42">
        <f t="shared" si="3"/>
        <v>0</v>
      </c>
      <c r="AC8" s="42">
        <f t="shared" si="4"/>
        <v>0</v>
      </c>
      <c r="AD8" s="41">
        <f t="shared" si="5"/>
        <v>0</v>
      </c>
      <c r="AE8" s="41">
        <f t="shared" si="6"/>
        <v>0</v>
      </c>
      <c r="AF8" s="41">
        <f t="shared" si="14"/>
        <v>0</v>
      </c>
      <c r="AG8" s="42">
        <v>0.46</v>
      </c>
      <c r="AH8" s="101">
        <f t="shared" si="7"/>
        <v>0</v>
      </c>
      <c r="AI8" s="41">
        <f t="shared" si="15"/>
        <v>52.873563218390807</v>
      </c>
    </row>
    <row r="9" spans="1:36" ht="18" customHeight="1">
      <c r="A9" s="38">
        <v>7</v>
      </c>
      <c r="B9" s="40"/>
      <c r="C9" s="96"/>
      <c r="D9" s="97"/>
      <c r="E9" s="98">
        <f t="shared" si="0"/>
        <v>0</v>
      </c>
      <c r="F9" s="41">
        <f t="shared" si="1"/>
        <v>0</v>
      </c>
      <c r="G9" s="99">
        <f t="shared" si="8"/>
        <v>0</v>
      </c>
      <c r="H9" s="100">
        <v>0</v>
      </c>
      <c r="I9" s="100">
        <v>0</v>
      </c>
      <c r="J9" s="96"/>
      <c r="K9" s="96"/>
      <c r="L9" s="100">
        <f t="shared" si="9"/>
        <v>0</v>
      </c>
      <c r="M9" s="100">
        <v>0</v>
      </c>
      <c r="N9" s="100">
        <v>0</v>
      </c>
      <c r="O9" s="100"/>
      <c r="P9" s="96"/>
      <c r="Q9" s="100">
        <f t="shared" si="16"/>
        <v>0</v>
      </c>
      <c r="R9" s="100">
        <v>0</v>
      </c>
      <c r="S9" s="100">
        <v>0</v>
      </c>
      <c r="T9" s="96"/>
      <c r="U9" s="96"/>
      <c r="V9" s="100">
        <f t="shared" si="17"/>
        <v>0</v>
      </c>
      <c r="W9" s="41">
        <f t="shared" si="10"/>
        <v>0</v>
      </c>
      <c r="X9" s="98">
        <f t="shared" si="11"/>
        <v>0</v>
      </c>
      <c r="Y9" s="41">
        <f t="shared" si="18"/>
        <v>0</v>
      </c>
      <c r="Z9" s="42">
        <f t="shared" si="19"/>
        <v>0</v>
      </c>
      <c r="AA9" s="41">
        <f t="shared" si="13"/>
        <v>0</v>
      </c>
      <c r="AB9" s="42">
        <f t="shared" si="3"/>
        <v>0</v>
      </c>
      <c r="AC9" s="42">
        <f t="shared" si="4"/>
        <v>0</v>
      </c>
      <c r="AD9" s="41">
        <f t="shared" si="5"/>
        <v>0</v>
      </c>
      <c r="AE9" s="41">
        <f t="shared" si="6"/>
        <v>0</v>
      </c>
      <c r="AF9" s="41">
        <f t="shared" si="14"/>
        <v>0</v>
      </c>
      <c r="AG9" s="42">
        <v>0.46</v>
      </c>
      <c r="AH9" s="101">
        <f t="shared" si="7"/>
        <v>0</v>
      </c>
      <c r="AI9" s="41">
        <f t="shared" si="15"/>
        <v>52.873563218390807</v>
      </c>
    </row>
    <row r="10" spans="1:36" ht="18" customHeight="1">
      <c r="A10" s="38">
        <v>8</v>
      </c>
      <c r="B10" s="40"/>
      <c r="C10" s="96"/>
      <c r="D10" s="97"/>
      <c r="E10" s="98">
        <f t="shared" si="0"/>
        <v>0</v>
      </c>
      <c r="F10" s="41">
        <f t="shared" si="1"/>
        <v>0</v>
      </c>
      <c r="G10" s="99">
        <f t="shared" si="8"/>
        <v>0</v>
      </c>
      <c r="H10" s="100">
        <v>0</v>
      </c>
      <c r="I10" s="100">
        <v>0</v>
      </c>
      <c r="J10" s="96"/>
      <c r="K10" s="96"/>
      <c r="L10" s="100">
        <f t="shared" si="9"/>
        <v>0</v>
      </c>
      <c r="M10" s="100">
        <v>0</v>
      </c>
      <c r="N10" s="100">
        <v>0</v>
      </c>
      <c r="O10" s="100"/>
      <c r="P10" s="96"/>
      <c r="Q10" s="100">
        <f t="shared" si="16"/>
        <v>0</v>
      </c>
      <c r="R10" s="100">
        <v>0</v>
      </c>
      <c r="S10" s="100">
        <v>0</v>
      </c>
      <c r="T10" s="96"/>
      <c r="U10" s="96"/>
      <c r="V10" s="100">
        <f t="shared" si="17"/>
        <v>0</v>
      </c>
      <c r="W10" s="41">
        <f t="shared" si="10"/>
        <v>0</v>
      </c>
      <c r="X10" s="98">
        <f t="shared" si="11"/>
        <v>0</v>
      </c>
      <c r="Y10" s="41">
        <f t="shared" si="18"/>
        <v>0</v>
      </c>
      <c r="Z10" s="42">
        <f t="shared" si="19"/>
        <v>0</v>
      </c>
      <c r="AA10" s="41">
        <f t="shared" si="13"/>
        <v>0</v>
      </c>
      <c r="AB10" s="42">
        <f t="shared" si="3"/>
        <v>0</v>
      </c>
      <c r="AC10" s="42">
        <f t="shared" si="4"/>
        <v>0</v>
      </c>
      <c r="AD10" s="41">
        <f t="shared" si="5"/>
        <v>0</v>
      </c>
      <c r="AE10" s="41">
        <f t="shared" si="6"/>
        <v>0</v>
      </c>
      <c r="AF10" s="41">
        <f t="shared" si="14"/>
        <v>0</v>
      </c>
      <c r="AG10" s="42">
        <v>0.46</v>
      </c>
      <c r="AH10" s="101">
        <f t="shared" si="7"/>
        <v>0</v>
      </c>
      <c r="AI10" s="41">
        <f t="shared" si="15"/>
        <v>52.873563218390807</v>
      </c>
    </row>
    <row r="11" spans="1:36" ht="18" customHeight="1">
      <c r="A11" s="38">
        <v>9</v>
      </c>
      <c r="B11" s="40"/>
      <c r="C11" s="96"/>
      <c r="D11" s="97"/>
      <c r="E11" s="98">
        <f t="shared" si="0"/>
        <v>0</v>
      </c>
      <c r="F11" s="41">
        <f t="shared" si="1"/>
        <v>0</v>
      </c>
      <c r="G11" s="99">
        <f t="shared" si="8"/>
        <v>0</v>
      </c>
      <c r="H11" s="100">
        <v>0</v>
      </c>
      <c r="I11" s="100">
        <v>0</v>
      </c>
      <c r="J11" s="96"/>
      <c r="K11" s="96"/>
      <c r="L11" s="100">
        <f t="shared" si="9"/>
        <v>0</v>
      </c>
      <c r="M11" s="100">
        <v>0</v>
      </c>
      <c r="N11" s="100">
        <v>0</v>
      </c>
      <c r="O11" s="100"/>
      <c r="P11" s="96"/>
      <c r="Q11" s="100">
        <f t="shared" si="16"/>
        <v>0</v>
      </c>
      <c r="R11" s="100">
        <v>0</v>
      </c>
      <c r="S11" s="100">
        <v>0</v>
      </c>
      <c r="T11" s="96"/>
      <c r="U11" s="96"/>
      <c r="V11" s="100">
        <f t="shared" si="17"/>
        <v>0</v>
      </c>
      <c r="W11" s="41">
        <f t="shared" si="10"/>
        <v>0</v>
      </c>
      <c r="X11" s="98">
        <f t="shared" si="11"/>
        <v>0</v>
      </c>
      <c r="Y11" s="41">
        <f t="shared" si="18"/>
        <v>0</v>
      </c>
      <c r="Z11" s="42">
        <f t="shared" si="19"/>
        <v>0</v>
      </c>
      <c r="AA11" s="41">
        <f t="shared" si="13"/>
        <v>0</v>
      </c>
      <c r="AB11" s="42">
        <f t="shared" si="3"/>
        <v>0</v>
      </c>
      <c r="AC11" s="42">
        <f t="shared" si="4"/>
        <v>0</v>
      </c>
      <c r="AD11" s="41">
        <f t="shared" si="5"/>
        <v>0</v>
      </c>
      <c r="AE11" s="41">
        <f t="shared" si="6"/>
        <v>0</v>
      </c>
      <c r="AF11" s="41">
        <f t="shared" si="14"/>
        <v>0</v>
      </c>
      <c r="AG11" s="42">
        <v>0.46</v>
      </c>
      <c r="AH11" s="101">
        <f t="shared" si="7"/>
        <v>0</v>
      </c>
      <c r="AI11" s="41">
        <f t="shared" si="15"/>
        <v>52.873563218390807</v>
      </c>
    </row>
    <row r="12" spans="1:36" ht="18" customHeight="1">
      <c r="A12" s="38">
        <v>10</v>
      </c>
      <c r="B12" s="40"/>
      <c r="C12" s="96"/>
      <c r="D12" s="97"/>
      <c r="E12" s="98">
        <f t="shared" si="0"/>
        <v>0</v>
      </c>
      <c r="F12" s="41">
        <f t="shared" si="1"/>
        <v>0</v>
      </c>
      <c r="G12" s="99">
        <f t="shared" si="8"/>
        <v>0</v>
      </c>
      <c r="H12" s="100">
        <v>0</v>
      </c>
      <c r="I12" s="100">
        <v>0</v>
      </c>
      <c r="J12" s="96"/>
      <c r="K12" s="96"/>
      <c r="L12" s="100">
        <f t="shared" si="9"/>
        <v>0</v>
      </c>
      <c r="M12" s="100">
        <v>0</v>
      </c>
      <c r="N12" s="100">
        <v>0</v>
      </c>
      <c r="O12" s="100"/>
      <c r="P12" s="96"/>
      <c r="Q12" s="100">
        <f t="shared" si="16"/>
        <v>0</v>
      </c>
      <c r="R12" s="100">
        <v>0</v>
      </c>
      <c r="S12" s="100">
        <v>0</v>
      </c>
      <c r="T12" s="96"/>
      <c r="U12" s="96"/>
      <c r="V12" s="100">
        <f t="shared" si="17"/>
        <v>0</v>
      </c>
      <c r="W12" s="41">
        <f t="shared" si="10"/>
        <v>0</v>
      </c>
      <c r="X12" s="98">
        <f t="shared" si="11"/>
        <v>0</v>
      </c>
      <c r="Y12" s="41">
        <f t="shared" si="18"/>
        <v>0</v>
      </c>
      <c r="Z12" s="42">
        <f t="shared" si="19"/>
        <v>0</v>
      </c>
      <c r="AA12" s="41">
        <f t="shared" si="13"/>
        <v>0</v>
      </c>
      <c r="AB12" s="42">
        <f t="shared" si="3"/>
        <v>0</v>
      </c>
      <c r="AC12" s="42">
        <f t="shared" si="4"/>
        <v>0</v>
      </c>
      <c r="AD12" s="41">
        <f t="shared" si="5"/>
        <v>0</v>
      </c>
      <c r="AE12" s="41">
        <f t="shared" si="6"/>
        <v>0</v>
      </c>
      <c r="AF12" s="41">
        <f t="shared" si="14"/>
        <v>0</v>
      </c>
      <c r="AG12" s="42">
        <v>0.46</v>
      </c>
      <c r="AH12" s="101">
        <f t="shared" si="7"/>
        <v>0</v>
      </c>
      <c r="AI12" s="41">
        <f t="shared" si="15"/>
        <v>52.873563218390807</v>
      </c>
    </row>
    <row r="13" spans="1:36" ht="18" customHeight="1">
      <c r="A13" s="38">
        <v>11</v>
      </c>
      <c r="B13" s="40"/>
      <c r="C13" s="96"/>
      <c r="D13" s="97"/>
      <c r="E13" s="98">
        <f t="shared" si="0"/>
        <v>0</v>
      </c>
      <c r="F13" s="41">
        <f t="shared" si="1"/>
        <v>0</v>
      </c>
      <c r="G13" s="99">
        <f t="shared" si="8"/>
        <v>0</v>
      </c>
      <c r="H13" s="100">
        <v>0</v>
      </c>
      <c r="I13" s="100">
        <v>0</v>
      </c>
      <c r="J13" s="96"/>
      <c r="K13" s="96"/>
      <c r="L13" s="100">
        <f t="shared" si="9"/>
        <v>0</v>
      </c>
      <c r="M13" s="100">
        <v>0</v>
      </c>
      <c r="N13" s="100">
        <v>0</v>
      </c>
      <c r="O13" s="100"/>
      <c r="P13" s="96"/>
      <c r="Q13" s="100">
        <f t="shared" si="16"/>
        <v>0</v>
      </c>
      <c r="R13" s="100">
        <v>0</v>
      </c>
      <c r="S13" s="100">
        <v>0</v>
      </c>
      <c r="T13" s="96"/>
      <c r="U13" s="96"/>
      <c r="V13" s="100">
        <f t="shared" si="17"/>
        <v>0</v>
      </c>
      <c r="W13" s="41">
        <f t="shared" si="10"/>
        <v>0</v>
      </c>
      <c r="X13" s="98">
        <f t="shared" si="11"/>
        <v>0</v>
      </c>
      <c r="Y13" s="41">
        <f t="shared" si="18"/>
        <v>0</v>
      </c>
      <c r="Z13" s="42">
        <f t="shared" si="19"/>
        <v>0</v>
      </c>
      <c r="AA13" s="41">
        <f t="shared" si="13"/>
        <v>0</v>
      </c>
      <c r="AB13" s="42">
        <f t="shared" si="3"/>
        <v>0</v>
      </c>
      <c r="AC13" s="42">
        <f t="shared" si="4"/>
        <v>0</v>
      </c>
      <c r="AD13" s="41">
        <f t="shared" si="5"/>
        <v>0</v>
      </c>
      <c r="AE13" s="41">
        <f t="shared" si="6"/>
        <v>0</v>
      </c>
      <c r="AF13" s="41">
        <f t="shared" si="14"/>
        <v>0</v>
      </c>
      <c r="AG13" s="42">
        <v>0.46</v>
      </c>
      <c r="AH13" s="101">
        <f t="shared" si="7"/>
        <v>0</v>
      </c>
      <c r="AI13" s="41">
        <f t="shared" si="15"/>
        <v>52.873563218390807</v>
      </c>
    </row>
    <row r="14" spans="1:36" ht="18" customHeight="1">
      <c r="A14" s="38">
        <v>12</v>
      </c>
      <c r="B14" s="40"/>
      <c r="C14" s="96"/>
      <c r="D14" s="97"/>
      <c r="E14" s="98">
        <f t="shared" si="0"/>
        <v>0</v>
      </c>
      <c r="F14" s="41">
        <f t="shared" si="1"/>
        <v>0</v>
      </c>
      <c r="G14" s="99">
        <f t="shared" si="8"/>
        <v>0</v>
      </c>
      <c r="H14" s="100">
        <v>0</v>
      </c>
      <c r="I14" s="100">
        <v>0</v>
      </c>
      <c r="J14" s="96"/>
      <c r="K14" s="96"/>
      <c r="L14" s="100">
        <f t="shared" si="9"/>
        <v>0</v>
      </c>
      <c r="M14" s="100">
        <v>0</v>
      </c>
      <c r="N14" s="100">
        <v>0</v>
      </c>
      <c r="O14" s="100"/>
      <c r="P14" s="96"/>
      <c r="Q14" s="100">
        <f t="shared" si="16"/>
        <v>0</v>
      </c>
      <c r="R14" s="100">
        <v>0</v>
      </c>
      <c r="S14" s="100">
        <v>0</v>
      </c>
      <c r="T14" s="96"/>
      <c r="U14" s="96"/>
      <c r="V14" s="100">
        <f t="shared" si="17"/>
        <v>0</v>
      </c>
      <c r="W14" s="41">
        <f t="shared" si="10"/>
        <v>0</v>
      </c>
      <c r="X14" s="98">
        <f t="shared" si="11"/>
        <v>0</v>
      </c>
      <c r="Y14" s="41">
        <f t="shared" si="18"/>
        <v>0</v>
      </c>
      <c r="Z14" s="42">
        <f t="shared" si="19"/>
        <v>0</v>
      </c>
      <c r="AA14" s="41">
        <f t="shared" si="13"/>
        <v>0</v>
      </c>
      <c r="AB14" s="42">
        <f t="shared" si="3"/>
        <v>0</v>
      </c>
      <c r="AC14" s="42">
        <f t="shared" si="4"/>
        <v>0</v>
      </c>
      <c r="AD14" s="41">
        <f t="shared" si="5"/>
        <v>0</v>
      </c>
      <c r="AE14" s="41">
        <f t="shared" si="6"/>
        <v>0</v>
      </c>
      <c r="AF14" s="41">
        <f t="shared" si="14"/>
        <v>0</v>
      </c>
      <c r="AG14" s="42">
        <v>0.46</v>
      </c>
      <c r="AH14" s="101">
        <f t="shared" si="7"/>
        <v>0</v>
      </c>
      <c r="AI14" s="41">
        <f t="shared" si="15"/>
        <v>52.873563218390807</v>
      </c>
    </row>
    <row r="15" spans="1:36" ht="18" customHeight="1">
      <c r="A15" s="38">
        <v>13</v>
      </c>
      <c r="B15" s="40"/>
      <c r="C15" s="96"/>
      <c r="D15" s="97"/>
      <c r="E15" s="98">
        <f t="shared" si="0"/>
        <v>0</v>
      </c>
      <c r="F15" s="41">
        <f t="shared" si="1"/>
        <v>0</v>
      </c>
      <c r="G15" s="99">
        <f t="shared" si="8"/>
        <v>0</v>
      </c>
      <c r="H15" s="100">
        <v>0</v>
      </c>
      <c r="I15" s="100">
        <v>0</v>
      </c>
      <c r="J15" s="96"/>
      <c r="K15" s="96"/>
      <c r="L15" s="100">
        <f t="shared" si="9"/>
        <v>0</v>
      </c>
      <c r="M15" s="100">
        <v>0</v>
      </c>
      <c r="N15" s="100">
        <v>0</v>
      </c>
      <c r="O15" s="100"/>
      <c r="P15" s="96"/>
      <c r="Q15" s="100">
        <f t="shared" si="16"/>
        <v>0</v>
      </c>
      <c r="R15" s="100">
        <v>0</v>
      </c>
      <c r="S15" s="100">
        <v>0</v>
      </c>
      <c r="T15" s="96"/>
      <c r="U15" s="96"/>
      <c r="V15" s="100">
        <f t="shared" si="17"/>
        <v>0</v>
      </c>
      <c r="W15" s="41">
        <f t="shared" si="10"/>
        <v>0</v>
      </c>
      <c r="X15" s="98">
        <f t="shared" si="11"/>
        <v>0</v>
      </c>
      <c r="Y15" s="41">
        <f t="shared" si="18"/>
        <v>0</v>
      </c>
      <c r="Z15" s="42">
        <f t="shared" si="19"/>
        <v>0</v>
      </c>
      <c r="AA15" s="41">
        <f t="shared" si="13"/>
        <v>0</v>
      </c>
      <c r="AB15" s="42">
        <f t="shared" si="3"/>
        <v>0</v>
      </c>
      <c r="AC15" s="42">
        <f t="shared" si="4"/>
        <v>0</v>
      </c>
      <c r="AD15" s="41">
        <f t="shared" si="5"/>
        <v>0</v>
      </c>
      <c r="AE15" s="41">
        <f t="shared" si="6"/>
        <v>0</v>
      </c>
      <c r="AF15" s="41">
        <f t="shared" si="14"/>
        <v>0</v>
      </c>
      <c r="AG15" s="42">
        <v>0.46</v>
      </c>
      <c r="AH15" s="101">
        <f t="shared" si="7"/>
        <v>0</v>
      </c>
      <c r="AI15" s="41">
        <f t="shared" si="15"/>
        <v>52.873563218390807</v>
      </c>
    </row>
    <row r="16" spans="1:36" ht="18" customHeight="1">
      <c r="A16" s="38">
        <v>14</v>
      </c>
      <c r="B16" s="40"/>
      <c r="C16" s="96"/>
      <c r="D16" s="97"/>
      <c r="E16" s="98">
        <f t="shared" si="0"/>
        <v>0</v>
      </c>
      <c r="F16" s="41">
        <f t="shared" si="1"/>
        <v>0</v>
      </c>
      <c r="G16" s="99">
        <f t="shared" si="8"/>
        <v>0</v>
      </c>
      <c r="H16" s="100">
        <v>0</v>
      </c>
      <c r="I16" s="100">
        <v>0</v>
      </c>
      <c r="J16" s="96"/>
      <c r="K16" s="96"/>
      <c r="L16" s="100">
        <f t="shared" si="9"/>
        <v>0</v>
      </c>
      <c r="M16" s="100">
        <v>0</v>
      </c>
      <c r="N16" s="100">
        <v>0</v>
      </c>
      <c r="O16" s="100"/>
      <c r="P16" s="96"/>
      <c r="Q16" s="100">
        <f t="shared" si="16"/>
        <v>0</v>
      </c>
      <c r="R16" s="100">
        <v>0</v>
      </c>
      <c r="S16" s="100">
        <v>0</v>
      </c>
      <c r="T16" s="96"/>
      <c r="U16" s="96"/>
      <c r="V16" s="100">
        <f t="shared" si="17"/>
        <v>0</v>
      </c>
      <c r="W16" s="41">
        <f t="shared" si="10"/>
        <v>0</v>
      </c>
      <c r="X16" s="98">
        <f t="shared" si="11"/>
        <v>0</v>
      </c>
      <c r="Y16" s="41">
        <f t="shared" si="18"/>
        <v>0</v>
      </c>
      <c r="Z16" s="42">
        <f t="shared" si="19"/>
        <v>0</v>
      </c>
      <c r="AA16" s="41">
        <f t="shared" si="13"/>
        <v>0</v>
      </c>
      <c r="AB16" s="42">
        <f t="shared" si="3"/>
        <v>0</v>
      </c>
      <c r="AC16" s="42">
        <f t="shared" si="4"/>
        <v>0</v>
      </c>
      <c r="AD16" s="41">
        <f t="shared" si="5"/>
        <v>0</v>
      </c>
      <c r="AE16" s="41">
        <f t="shared" si="6"/>
        <v>0</v>
      </c>
      <c r="AF16" s="41">
        <f t="shared" si="14"/>
        <v>0</v>
      </c>
      <c r="AG16" s="42">
        <v>0.46</v>
      </c>
      <c r="AH16" s="101">
        <f t="shared" si="7"/>
        <v>0</v>
      </c>
      <c r="AI16" s="41">
        <f t="shared" si="15"/>
        <v>52.873563218390807</v>
      </c>
    </row>
    <row r="17" spans="1:35">
      <c r="A17" s="38">
        <v>15</v>
      </c>
      <c r="B17" s="40"/>
      <c r="C17" s="96"/>
      <c r="D17" s="97"/>
      <c r="E17" s="98">
        <f t="shared" si="0"/>
        <v>0</v>
      </c>
      <c r="F17" s="41">
        <f t="shared" si="1"/>
        <v>0</v>
      </c>
      <c r="G17" s="99">
        <f t="shared" si="8"/>
        <v>0</v>
      </c>
      <c r="H17" s="100">
        <v>0</v>
      </c>
      <c r="I17" s="100">
        <v>0</v>
      </c>
      <c r="J17" s="96"/>
      <c r="K17" s="96"/>
      <c r="L17" s="100">
        <f t="shared" si="9"/>
        <v>0</v>
      </c>
      <c r="M17" s="100">
        <v>0</v>
      </c>
      <c r="N17" s="100">
        <v>0</v>
      </c>
      <c r="O17" s="100"/>
      <c r="P17" s="96"/>
      <c r="Q17" s="100">
        <f t="shared" si="16"/>
        <v>0</v>
      </c>
      <c r="R17" s="100">
        <v>0</v>
      </c>
      <c r="S17" s="100">
        <v>0</v>
      </c>
      <c r="T17" s="96"/>
      <c r="U17" s="96"/>
      <c r="V17" s="100">
        <f t="shared" si="17"/>
        <v>0</v>
      </c>
      <c r="W17" s="41">
        <f t="shared" si="10"/>
        <v>0</v>
      </c>
      <c r="X17" s="98">
        <f t="shared" si="11"/>
        <v>0</v>
      </c>
      <c r="Y17" s="41">
        <f t="shared" si="18"/>
        <v>0</v>
      </c>
      <c r="Z17" s="42">
        <f t="shared" si="19"/>
        <v>0</v>
      </c>
      <c r="AA17" s="41">
        <f t="shared" si="13"/>
        <v>0</v>
      </c>
      <c r="AB17" s="42">
        <f t="shared" si="3"/>
        <v>0</v>
      </c>
      <c r="AC17" s="42">
        <f t="shared" si="4"/>
        <v>0</v>
      </c>
      <c r="AD17" s="41">
        <f t="shared" si="5"/>
        <v>0</v>
      </c>
      <c r="AE17" s="41">
        <f t="shared" si="6"/>
        <v>0</v>
      </c>
      <c r="AF17" s="41">
        <f t="shared" si="14"/>
        <v>0</v>
      </c>
      <c r="AG17" s="42">
        <v>0.46</v>
      </c>
      <c r="AH17" s="101">
        <f t="shared" si="7"/>
        <v>0</v>
      </c>
      <c r="AI17" s="41">
        <f t="shared" si="15"/>
        <v>52.873563218390807</v>
      </c>
    </row>
    <row r="18" spans="1:35">
      <c r="A18" s="38">
        <v>16</v>
      </c>
      <c r="B18" s="40"/>
      <c r="C18" s="96"/>
      <c r="D18" s="97"/>
      <c r="E18" s="98">
        <f t="shared" si="0"/>
        <v>0</v>
      </c>
      <c r="F18" s="41">
        <f t="shared" si="1"/>
        <v>0</v>
      </c>
      <c r="G18" s="99">
        <f t="shared" si="8"/>
        <v>0</v>
      </c>
      <c r="H18" s="100">
        <v>0</v>
      </c>
      <c r="I18" s="100">
        <v>0</v>
      </c>
      <c r="J18" s="96"/>
      <c r="K18" s="96"/>
      <c r="L18" s="100">
        <f t="shared" si="9"/>
        <v>0</v>
      </c>
      <c r="M18" s="100">
        <v>0</v>
      </c>
      <c r="N18" s="100">
        <v>0</v>
      </c>
      <c r="O18" s="100"/>
      <c r="P18" s="96"/>
      <c r="Q18" s="100">
        <f t="shared" si="16"/>
        <v>0</v>
      </c>
      <c r="R18" s="100">
        <v>0</v>
      </c>
      <c r="S18" s="100">
        <v>0</v>
      </c>
      <c r="T18" s="96"/>
      <c r="U18" s="96"/>
      <c r="V18" s="100">
        <f t="shared" si="17"/>
        <v>0</v>
      </c>
      <c r="W18" s="41">
        <f t="shared" si="10"/>
        <v>0</v>
      </c>
      <c r="X18" s="98">
        <f t="shared" si="11"/>
        <v>0</v>
      </c>
      <c r="Y18" s="41">
        <f t="shared" si="18"/>
        <v>0</v>
      </c>
      <c r="Z18" s="42">
        <f t="shared" si="19"/>
        <v>0</v>
      </c>
      <c r="AA18" s="41">
        <f t="shared" si="13"/>
        <v>0</v>
      </c>
      <c r="AB18" s="42">
        <f t="shared" si="3"/>
        <v>0</v>
      </c>
      <c r="AC18" s="42">
        <f t="shared" si="4"/>
        <v>0</v>
      </c>
      <c r="AD18" s="41">
        <f t="shared" si="5"/>
        <v>0</v>
      </c>
      <c r="AE18" s="41">
        <f t="shared" si="6"/>
        <v>0</v>
      </c>
      <c r="AF18" s="41">
        <f t="shared" si="14"/>
        <v>0</v>
      </c>
      <c r="AG18" s="42">
        <v>0.46</v>
      </c>
      <c r="AH18" s="101">
        <f t="shared" si="7"/>
        <v>0</v>
      </c>
      <c r="AI18" s="41">
        <f t="shared" si="15"/>
        <v>52.873563218390807</v>
      </c>
    </row>
    <row r="19" spans="1:35">
      <c r="A19" s="38">
        <v>17</v>
      </c>
      <c r="B19" s="40"/>
      <c r="C19" s="96"/>
      <c r="D19" s="97"/>
      <c r="E19" s="98">
        <f t="shared" si="0"/>
        <v>0</v>
      </c>
      <c r="F19" s="41">
        <f t="shared" si="1"/>
        <v>0</v>
      </c>
      <c r="G19" s="99">
        <f t="shared" si="8"/>
        <v>0</v>
      </c>
      <c r="H19" s="100">
        <v>0</v>
      </c>
      <c r="I19" s="100">
        <v>0</v>
      </c>
      <c r="J19" s="96"/>
      <c r="K19" s="96"/>
      <c r="L19" s="100">
        <f t="shared" si="9"/>
        <v>0</v>
      </c>
      <c r="M19" s="100">
        <v>0</v>
      </c>
      <c r="N19" s="100">
        <v>0</v>
      </c>
      <c r="O19" s="100"/>
      <c r="P19" s="96"/>
      <c r="Q19" s="100">
        <f t="shared" si="16"/>
        <v>0</v>
      </c>
      <c r="R19" s="100">
        <v>0</v>
      </c>
      <c r="S19" s="100">
        <v>0</v>
      </c>
      <c r="T19" s="96"/>
      <c r="U19" s="96"/>
      <c r="V19" s="100">
        <f t="shared" si="17"/>
        <v>0</v>
      </c>
      <c r="W19" s="41">
        <f t="shared" si="10"/>
        <v>0</v>
      </c>
      <c r="X19" s="98">
        <f t="shared" si="11"/>
        <v>0</v>
      </c>
      <c r="Y19" s="41">
        <f t="shared" si="18"/>
        <v>0</v>
      </c>
      <c r="Z19" s="42">
        <f t="shared" si="19"/>
        <v>0</v>
      </c>
      <c r="AA19" s="41">
        <f t="shared" si="13"/>
        <v>0</v>
      </c>
      <c r="AB19" s="42">
        <f t="shared" si="3"/>
        <v>0</v>
      </c>
      <c r="AC19" s="42">
        <f t="shared" si="4"/>
        <v>0</v>
      </c>
      <c r="AD19" s="41">
        <f t="shared" si="5"/>
        <v>0</v>
      </c>
      <c r="AE19" s="41">
        <f t="shared" si="6"/>
        <v>0</v>
      </c>
      <c r="AF19" s="41">
        <f t="shared" si="14"/>
        <v>0</v>
      </c>
      <c r="AG19" s="42">
        <v>0.46</v>
      </c>
      <c r="AH19" s="101">
        <f t="shared" si="7"/>
        <v>0</v>
      </c>
      <c r="AI19" s="41">
        <f t="shared" si="15"/>
        <v>52.873563218390807</v>
      </c>
    </row>
    <row r="20" spans="1:35">
      <c r="A20" s="38">
        <v>18</v>
      </c>
      <c r="B20" s="40"/>
      <c r="C20" s="96"/>
      <c r="D20" s="97"/>
      <c r="E20" s="98">
        <f t="shared" si="0"/>
        <v>0</v>
      </c>
      <c r="F20" s="41">
        <f t="shared" si="1"/>
        <v>0</v>
      </c>
      <c r="G20" s="99">
        <f t="shared" si="8"/>
        <v>0</v>
      </c>
      <c r="H20" s="100">
        <v>0</v>
      </c>
      <c r="I20" s="100">
        <v>0</v>
      </c>
      <c r="J20" s="96"/>
      <c r="K20" s="96"/>
      <c r="L20" s="100">
        <f t="shared" si="9"/>
        <v>0</v>
      </c>
      <c r="M20" s="100">
        <v>0</v>
      </c>
      <c r="N20" s="100">
        <v>0</v>
      </c>
      <c r="O20" s="100"/>
      <c r="P20" s="96"/>
      <c r="Q20" s="100">
        <f t="shared" si="16"/>
        <v>0</v>
      </c>
      <c r="R20" s="100">
        <v>0</v>
      </c>
      <c r="S20" s="100">
        <v>0</v>
      </c>
      <c r="T20" s="96"/>
      <c r="U20" s="96"/>
      <c r="V20" s="100">
        <f t="shared" si="17"/>
        <v>0</v>
      </c>
      <c r="W20" s="41">
        <f t="shared" si="10"/>
        <v>0</v>
      </c>
      <c r="X20" s="98">
        <f t="shared" si="11"/>
        <v>0</v>
      </c>
      <c r="Y20" s="41">
        <f t="shared" si="18"/>
        <v>0</v>
      </c>
      <c r="Z20" s="42">
        <f t="shared" si="19"/>
        <v>0</v>
      </c>
      <c r="AA20" s="41">
        <f t="shared" si="13"/>
        <v>0</v>
      </c>
      <c r="AB20" s="42">
        <f t="shared" si="3"/>
        <v>0</v>
      </c>
      <c r="AC20" s="42">
        <f t="shared" si="4"/>
        <v>0</v>
      </c>
      <c r="AD20" s="41">
        <f t="shared" si="5"/>
        <v>0</v>
      </c>
      <c r="AE20" s="41">
        <f t="shared" si="6"/>
        <v>0</v>
      </c>
      <c r="AF20" s="41">
        <f t="shared" si="14"/>
        <v>0</v>
      </c>
      <c r="AG20" s="42">
        <v>0.46</v>
      </c>
      <c r="AH20" s="101">
        <f t="shared" si="7"/>
        <v>0</v>
      </c>
      <c r="AI20" s="41">
        <f t="shared" si="15"/>
        <v>52.873563218390807</v>
      </c>
    </row>
    <row r="21" spans="1:35">
      <c r="A21" s="38">
        <v>19</v>
      </c>
      <c r="B21" s="40"/>
      <c r="C21" s="96"/>
      <c r="D21" s="97"/>
      <c r="E21" s="98">
        <f t="shared" si="0"/>
        <v>0</v>
      </c>
      <c r="F21" s="41">
        <f t="shared" si="1"/>
        <v>0</v>
      </c>
      <c r="G21" s="99">
        <f t="shared" si="8"/>
        <v>0</v>
      </c>
      <c r="H21" s="100">
        <v>0</v>
      </c>
      <c r="I21" s="100">
        <v>0</v>
      </c>
      <c r="J21" s="96"/>
      <c r="K21" s="96"/>
      <c r="L21" s="100">
        <f t="shared" si="9"/>
        <v>0</v>
      </c>
      <c r="M21" s="100">
        <v>0</v>
      </c>
      <c r="N21" s="100">
        <v>0</v>
      </c>
      <c r="O21" s="100"/>
      <c r="P21" s="96"/>
      <c r="Q21" s="100">
        <f t="shared" si="16"/>
        <v>0</v>
      </c>
      <c r="R21" s="100">
        <v>0</v>
      </c>
      <c r="S21" s="100">
        <v>0</v>
      </c>
      <c r="T21" s="96"/>
      <c r="U21" s="96"/>
      <c r="V21" s="100">
        <f t="shared" si="17"/>
        <v>0</v>
      </c>
      <c r="W21" s="41">
        <f t="shared" si="10"/>
        <v>0</v>
      </c>
      <c r="X21" s="98">
        <f t="shared" si="11"/>
        <v>0</v>
      </c>
      <c r="Y21" s="41">
        <f t="shared" si="18"/>
        <v>0</v>
      </c>
      <c r="Z21" s="42">
        <f t="shared" si="19"/>
        <v>0</v>
      </c>
      <c r="AA21" s="41">
        <f t="shared" si="13"/>
        <v>0</v>
      </c>
      <c r="AB21" s="42">
        <f t="shared" si="3"/>
        <v>0</v>
      </c>
      <c r="AC21" s="42">
        <f t="shared" si="4"/>
        <v>0</v>
      </c>
      <c r="AD21" s="41">
        <f t="shared" si="5"/>
        <v>0</v>
      </c>
      <c r="AE21" s="41">
        <f t="shared" si="6"/>
        <v>0</v>
      </c>
      <c r="AF21" s="41">
        <f t="shared" si="14"/>
        <v>0</v>
      </c>
      <c r="AG21" s="42">
        <v>0.46</v>
      </c>
      <c r="AH21" s="101">
        <f t="shared" si="7"/>
        <v>0</v>
      </c>
      <c r="AI21" s="41">
        <f t="shared" si="15"/>
        <v>52.873563218390807</v>
      </c>
    </row>
    <row r="22" spans="1:35">
      <c r="A22" s="38">
        <v>20</v>
      </c>
      <c r="B22" s="40"/>
      <c r="C22" s="96"/>
      <c r="D22" s="97"/>
      <c r="E22" s="98">
        <f t="shared" si="0"/>
        <v>0</v>
      </c>
      <c r="F22" s="41">
        <f t="shared" si="1"/>
        <v>0</v>
      </c>
      <c r="G22" s="99">
        <f t="shared" si="8"/>
        <v>0</v>
      </c>
      <c r="H22" s="100">
        <v>0</v>
      </c>
      <c r="I22" s="100">
        <v>0</v>
      </c>
      <c r="J22" s="96"/>
      <c r="K22" s="96"/>
      <c r="L22" s="100">
        <f t="shared" si="9"/>
        <v>0</v>
      </c>
      <c r="M22" s="100">
        <v>0</v>
      </c>
      <c r="N22" s="100">
        <v>0</v>
      </c>
      <c r="O22" s="100"/>
      <c r="P22" s="96"/>
      <c r="Q22" s="100">
        <f t="shared" si="16"/>
        <v>0</v>
      </c>
      <c r="R22" s="100">
        <v>0</v>
      </c>
      <c r="S22" s="100">
        <v>0</v>
      </c>
      <c r="T22" s="96"/>
      <c r="U22" s="96"/>
      <c r="V22" s="100">
        <f t="shared" si="17"/>
        <v>0</v>
      </c>
      <c r="W22" s="41">
        <f t="shared" si="10"/>
        <v>0</v>
      </c>
      <c r="X22" s="98">
        <f t="shared" si="11"/>
        <v>0</v>
      </c>
      <c r="Y22" s="41">
        <f t="shared" si="18"/>
        <v>0</v>
      </c>
      <c r="Z22" s="42">
        <f t="shared" si="19"/>
        <v>0</v>
      </c>
      <c r="AA22" s="41">
        <f t="shared" si="13"/>
        <v>0</v>
      </c>
      <c r="AB22" s="42">
        <f t="shared" si="3"/>
        <v>0</v>
      </c>
      <c r="AC22" s="42">
        <f t="shared" si="4"/>
        <v>0</v>
      </c>
      <c r="AD22" s="41">
        <f t="shared" si="5"/>
        <v>0</v>
      </c>
      <c r="AE22" s="41">
        <f t="shared" si="6"/>
        <v>0</v>
      </c>
      <c r="AF22" s="41">
        <f t="shared" si="14"/>
        <v>0</v>
      </c>
      <c r="AG22" s="42">
        <v>0.46</v>
      </c>
      <c r="AH22" s="101">
        <f t="shared" si="7"/>
        <v>0</v>
      </c>
      <c r="AI22" s="41">
        <f t="shared" si="15"/>
        <v>52.873563218390807</v>
      </c>
    </row>
    <row r="23" spans="1:35">
      <c r="A23" s="118" t="s">
        <v>358</v>
      </c>
      <c r="B23" s="119"/>
      <c r="C23" s="102">
        <f>SUMPRODUCT(C2:C22,W2:W22)/W23</f>
        <v>0.11</v>
      </c>
      <c r="D23" s="102">
        <f>SUMPRODUCT(D2:D22,AE2:AE22)/AE23</f>
        <v>0.5</v>
      </c>
      <c r="E23" s="98">
        <f t="shared" si="0"/>
        <v>56.179775280898873</v>
      </c>
      <c r="F23" s="41">
        <f t="shared" si="1"/>
        <v>40214.990314553492</v>
      </c>
      <c r="G23" s="99">
        <f t="shared" si="8"/>
        <v>-864.27390928924126</v>
      </c>
      <c r="H23" s="41">
        <f>SUM(H3:H22)</f>
        <v>600</v>
      </c>
      <c r="I23" s="103">
        <f>SUMPRODUCT(H2:H22,I2:I22)/H23</f>
        <v>2600</v>
      </c>
      <c r="J23" s="102">
        <f>SUMPRODUCT(J2:J22,H2:H22)/H23</f>
        <v>0.12</v>
      </c>
      <c r="K23" s="102">
        <f>SUMPRODUCT(H2:H22,K2:K22)/H23</f>
        <v>0.43274999999999997</v>
      </c>
      <c r="L23" s="104">
        <f>K23*100/(1-J23)</f>
        <v>49.17613636363636</v>
      </c>
      <c r="M23" s="41">
        <f>SUM(M3:M22)</f>
        <v>600</v>
      </c>
      <c r="N23" s="103">
        <f>SUMPRODUCT(M2:M22,N2:N22)/M23</f>
        <v>2675</v>
      </c>
      <c r="O23" s="102">
        <f>SUMPRODUCT(O2:O22,M2:M22)/M23</f>
        <v>0.125</v>
      </c>
      <c r="P23" s="102">
        <f>SUMPRODUCT(M2:M22,P2:P22)/M23</f>
        <v>0.4556</v>
      </c>
      <c r="Q23" s="104">
        <f t="shared" si="16"/>
        <v>52.068571428571431</v>
      </c>
      <c r="R23" s="41">
        <f>SUM(R3:R22)</f>
        <v>600</v>
      </c>
      <c r="S23" s="103">
        <f>SUMPRODUCT(R2:R22,S2:S22)/R23</f>
        <v>2720</v>
      </c>
      <c r="T23" s="102">
        <f>SUMPRODUCT(T2:T22,R2:R22)/R23</f>
        <v>0.125</v>
      </c>
      <c r="U23" s="102">
        <f>SUMPRODUCT(R2:R22,U2:U22)/R23</f>
        <v>0.46140000000000003</v>
      </c>
      <c r="V23" s="104">
        <f t="shared" si="17"/>
        <v>52.731428571428573</v>
      </c>
      <c r="W23" s="41">
        <f>SUM(W3:W22)</f>
        <v>1800</v>
      </c>
      <c r="X23" s="41">
        <f>SUM(X3:X22)</f>
        <v>4797000</v>
      </c>
      <c r="Y23" s="41">
        <f>X23/W23</f>
        <v>2665</v>
      </c>
      <c r="Z23" s="42">
        <f>(H23*K23+M23*P23+R23*U23)/W23</f>
        <v>0.44991666666666669</v>
      </c>
      <c r="AA23" s="41">
        <f>IF(W23=0,0,(L23*H23+Q23*M23+V23*R23)/W23)</f>
        <v>51.32537878787879</v>
      </c>
      <c r="AB23" s="42">
        <f>1-Z23/D23</f>
        <v>0.10016666666666663</v>
      </c>
      <c r="AC23" s="42">
        <f>AB23-(1-Z23/AG23)</f>
        <v>7.8246376811594187E-2</v>
      </c>
      <c r="AD23" s="41">
        <f>X23*(1-AC23)/AE23</f>
        <v>2702.5283500274491</v>
      </c>
      <c r="AE23" s="41">
        <f>SUM(AE3:AE22)</f>
        <v>1636.1168349593345</v>
      </c>
      <c r="AF23" s="104">
        <f>SUMPRODUCT(W2:W22,AF2:AF22)/W23</f>
        <v>2720</v>
      </c>
      <c r="AG23" s="42">
        <v>0.46</v>
      </c>
      <c r="AH23" s="101">
        <f>1-AG23/D23</f>
        <v>7.999999999999996E-2</v>
      </c>
      <c r="AI23" s="41">
        <f t="shared" si="15"/>
        <v>52.873563218390807</v>
      </c>
    </row>
    <row r="25" spans="1:35">
      <c r="H25" s="105" t="s">
        <v>376</v>
      </c>
      <c r="Z25" s="2"/>
      <c r="AA25" s="106"/>
      <c r="AB25" s="106"/>
      <c r="AC25" s="106"/>
      <c r="AD25" s="106"/>
    </row>
    <row r="26" spans="1:35">
      <c r="H26" s="105" t="s">
        <v>377</v>
      </c>
      <c r="Z26" s="2"/>
      <c r="AA26" s="2"/>
      <c r="AB26" s="106"/>
      <c r="AC26" s="106"/>
      <c r="AD26" s="106"/>
      <c r="AE26" s="106"/>
    </row>
    <row r="27" spans="1:35">
      <c r="H27" s="105" t="s">
        <v>378</v>
      </c>
      <c r="Z27" s="2"/>
      <c r="AA27" s="2"/>
      <c r="AB27" s="2"/>
      <c r="AC27" s="106"/>
      <c r="AD27" s="106"/>
      <c r="AE27" s="106"/>
      <c r="AG27" s="106"/>
    </row>
    <row r="28" spans="1:35">
      <c r="H28" s="2" t="s">
        <v>379</v>
      </c>
      <c r="Z28" s="44"/>
      <c r="AA28" s="44"/>
      <c r="AG28" s="2"/>
    </row>
    <row r="29" spans="1:35">
      <c r="AB29" s="106"/>
      <c r="AC29" s="106"/>
      <c r="AD29" s="106"/>
      <c r="AE29" s="106"/>
    </row>
    <row r="30" spans="1:35">
      <c r="Z30" s="44"/>
      <c r="AA30" s="44"/>
      <c r="AB30" s="106"/>
      <c r="AC30" s="106"/>
      <c r="AD30" s="106"/>
    </row>
    <row r="31" spans="1:35">
      <c r="AB31" s="106"/>
    </row>
  </sheetData>
  <mergeCells count="10">
    <mergeCell ref="R1:V1"/>
    <mergeCell ref="W1:AE1"/>
    <mergeCell ref="AF1:AI1"/>
    <mergeCell ref="A23:B23"/>
    <mergeCell ref="A1:A2"/>
    <mergeCell ref="B1:B2"/>
    <mergeCell ref="C1:E1"/>
    <mergeCell ref="F1:G1"/>
    <mergeCell ref="H1:L1"/>
    <mergeCell ref="M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账期表</vt:lpstr>
      <vt:lpstr>实际销售运费比较</vt:lpstr>
      <vt:lpstr>收入成本配比表</vt:lpstr>
      <vt:lpstr>生产损耗分析表</vt:lpstr>
      <vt:lpstr>生产成本分析表</vt:lpstr>
      <vt:lpstr>品控边际贡献</vt:lpstr>
      <vt:lpstr>发票价格差异</vt:lpstr>
      <vt:lpstr>运杂费差异</vt:lpstr>
      <vt:lpstr>进项转出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2016-04-02T10:55:33Z</dcterms:created>
  <dcterms:modified xsi:type="dcterms:W3CDTF">2016-08-24T07:26:09Z</dcterms:modified>
</cp:coreProperties>
</file>