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15600" windowHeight="5970" firstSheet="1" activeTab="2"/>
  </bookViews>
  <sheets>
    <sheet name="采购市场价基础表" sheetId="1" r:id="rId1"/>
    <sheet name="逐日盯市采购利润" sheetId="5" r:id="rId2"/>
    <sheet name="采购订单执行报表" sheetId="12" r:id="rId3"/>
    <sheet name="实际采购利润表" sheetId="17" r:id="rId4"/>
    <sheet name="销售订单执行报表" sheetId="6" r:id="rId5"/>
    <sheet name="工单原料耗用" sheetId="14" r:id="rId6"/>
    <sheet name="库存原料" sheetId="16" r:id="rId7"/>
  </sheets>
  <externalReferences>
    <externalReference r:id="rId8"/>
  </externalReferences>
  <definedNames>
    <definedName name="_xlnm._FilterDatabase" localSheetId="2" hidden="1">采购订单执行报表!$A$2:$U$2</definedName>
  </definedNames>
  <calcPr calcId="144525"/>
</workbook>
</file>

<file path=xl/calcChain.xml><?xml version="1.0" encoding="utf-8"?>
<calcChain xmlns="http://schemas.openxmlformats.org/spreadsheetml/2006/main">
  <c r="H40" i="17" l="1"/>
  <c r="G39" i="17"/>
  <c r="G38" i="17"/>
  <c r="G37" i="17"/>
  <c r="H36" i="17"/>
  <c r="F36" i="17"/>
  <c r="F40" i="17" s="1"/>
  <c r="D36" i="17"/>
  <c r="D40" i="17" s="1"/>
  <c r="C36" i="17"/>
  <c r="C40" i="17" s="1"/>
  <c r="G31" i="17"/>
  <c r="G32" i="17"/>
  <c r="G33" i="17"/>
  <c r="H30" i="17"/>
  <c r="H34" i="17" s="1"/>
  <c r="F22" i="17"/>
  <c r="F21" i="17"/>
  <c r="F20" i="17"/>
  <c r="F19" i="17"/>
  <c r="H19" i="17" s="1"/>
  <c r="G20" i="17"/>
  <c r="C23" i="17"/>
  <c r="F17" i="17"/>
  <c r="F16" i="17"/>
  <c r="C14" i="17"/>
  <c r="G13" i="17"/>
  <c r="G14" i="17" s="1"/>
  <c r="C13" i="17"/>
  <c r="I9" i="17"/>
  <c r="G4" i="5"/>
  <c r="F3" i="5"/>
  <c r="J34" i="5"/>
  <c r="H20" i="6"/>
  <c r="G6" i="16"/>
  <c r="D6" i="16"/>
  <c r="E4" i="16"/>
  <c r="H4" i="16" s="1"/>
  <c r="E3" i="16"/>
  <c r="H3" i="16" s="1"/>
  <c r="E2" i="16"/>
  <c r="J3" i="14"/>
  <c r="G13" i="14"/>
  <c r="G12" i="14"/>
  <c r="G11" i="14"/>
  <c r="G9" i="14"/>
  <c r="G8" i="14"/>
  <c r="G7" i="14"/>
  <c r="G5" i="14"/>
  <c r="G4" i="14"/>
  <c r="G3" i="14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3" i="12"/>
  <c r="R15" i="14"/>
  <c r="O15" i="14"/>
  <c r="H4" i="5" s="1"/>
  <c r="L15" i="14"/>
  <c r="F10" i="14"/>
  <c r="J13" i="14"/>
  <c r="J12" i="14"/>
  <c r="J11" i="14"/>
  <c r="F14" i="14"/>
  <c r="J4" i="14"/>
  <c r="J5" i="14"/>
  <c r="J7" i="14"/>
  <c r="J8" i="14"/>
  <c r="J9" i="14"/>
  <c r="F6" i="14"/>
  <c r="T6" i="12"/>
  <c r="T10" i="12"/>
  <c r="T14" i="12"/>
  <c r="T15" i="12"/>
  <c r="T18" i="12"/>
  <c r="T19" i="12"/>
  <c r="T22" i="12"/>
  <c r="T23" i="12"/>
  <c r="T26" i="12"/>
  <c r="T27" i="12"/>
  <c r="T30" i="12"/>
  <c r="T31" i="12"/>
  <c r="T34" i="12"/>
  <c r="T35" i="12"/>
  <c r="T38" i="12"/>
  <c r="T39" i="12"/>
  <c r="T42" i="12"/>
  <c r="T43" i="12"/>
  <c r="T46" i="12"/>
  <c r="T47" i="12"/>
  <c r="T50" i="12"/>
  <c r="T51" i="12"/>
  <c r="T54" i="12"/>
  <c r="T55" i="12"/>
  <c r="T58" i="12"/>
  <c r="T59" i="12"/>
  <c r="T62" i="12"/>
  <c r="T63" i="12"/>
  <c r="T66" i="12"/>
  <c r="T67" i="12"/>
  <c r="T70" i="12"/>
  <c r="T71" i="12"/>
  <c r="T74" i="12"/>
  <c r="T75" i="12"/>
  <c r="T78" i="12"/>
  <c r="T79" i="12"/>
  <c r="T82" i="12"/>
  <c r="T83" i="12"/>
  <c r="T86" i="12"/>
  <c r="T87" i="12"/>
  <c r="T90" i="12"/>
  <c r="T91" i="12"/>
  <c r="T94" i="12"/>
  <c r="T95" i="12"/>
  <c r="T98" i="12"/>
  <c r="T99" i="12"/>
  <c r="T102" i="12"/>
  <c r="T103" i="12"/>
  <c r="T106" i="12"/>
  <c r="T107" i="12"/>
  <c r="T110" i="12"/>
  <c r="T111" i="12"/>
  <c r="T114" i="12"/>
  <c r="T115" i="12"/>
  <c r="T118" i="12"/>
  <c r="T119" i="12"/>
  <c r="S4" i="12"/>
  <c r="T4" i="12" s="1"/>
  <c r="S5" i="12"/>
  <c r="T5" i="12" s="1"/>
  <c r="S6" i="12"/>
  <c r="S7" i="12"/>
  <c r="T7" i="12" s="1"/>
  <c r="S8" i="12"/>
  <c r="T8" i="12" s="1"/>
  <c r="S9" i="12"/>
  <c r="T9" i="12" s="1"/>
  <c r="S10" i="12"/>
  <c r="S11" i="12"/>
  <c r="T11" i="12" s="1"/>
  <c r="S12" i="12"/>
  <c r="T12" i="12" s="1"/>
  <c r="S13" i="12"/>
  <c r="T13" i="12" s="1"/>
  <c r="S14" i="12"/>
  <c r="S15" i="12"/>
  <c r="S16" i="12"/>
  <c r="T16" i="12" s="1"/>
  <c r="S17" i="12"/>
  <c r="T17" i="12" s="1"/>
  <c r="S18" i="12"/>
  <c r="S19" i="12"/>
  <c r="S20" i="12"/>
  <c r="T20" i="12" s="1"/>
  <c r="S21" i="12"/>
  <c r="T21" i="12" s="1"/>
  <c r="S22" i="12"/>
  <c r="S23" i="12"/>
  <c r="S24" i="12"/>
  <c r="T24" i="12" s="1"/>
  <c r="S25" i="12"/>
  <c r="T25" i="12" s="1"/>
  <c r="S26" i="12"/>
  <c r="S27" i="12"/>
  <c r="S28" i="12"/>
  <c r="T28" i="12" s="1"/>
  <c r="S29" i="12"/>
  <c r="T29" i="12" s="1"/>
  <c r="S30" i="12"/>
  <c r="S31" i="12"/>
  <c r="S32" i="12"/>
  <c r="T32" i="12" s="1"/>
  <c r="S33" i="12"/>
  <c r="T33" i="12" s="1"/>
  <c r="S34" i="12"/>
  <c r="S35" i="12"/>
  <c r="S36" i="12"/>
  <c r="T36" i="12" s="1"/>
  <c r="S37" i="12"/>
  <c r="T37" i="12" s="1"/>
  <c r="S38" i="12"/>
  <c r="S39" i="12"/>
  <c r="S40" i="12"/>
  <c r="T40" i="12" s="1"/>
  <c r="S41" i="12"/>
  <c r="T41" i="12" s="1"/>
  <c r="S42" i="12"/>
  <c r="S43" i="12"/>
  <c r="S44" i="12"/>
  <c r="T44" i="12" s="1"/>
  <c r="S45" i="12"/>
  <c r="T45" i="12" s="1"/>
  <c r="S46" i="12"/>
  <c r="S47" i="12"/>
  <c r="S48" i="12"/>
  <c r="T48" i="12" s="1"/>
  <c r="S49" i="12"/>
  <c r="T49" i="12" s="1"/>
  <c r="S50" i="12"/>
  <c r="S51" i="12"/>
  <c r="S52" i="12"/>
  <c r="T52" i="12" s="1"/>
  <c r="S53" i="12"/>
  <c r="T53" i="12" s="1"/>
  <c r="S54" i="12"/>
  <c r="S55" i="12"/>
  <c r="S56" i="12"/>
  <c r="T56" i="12" s="1"/>
  <c r="S57" i="12"/>
  <c r="T57" i="12" s="1"/>
  <c r="S58" i="12"/>
  <c r="S59" i="12"/>
  <c r="S60" i="12"/>
  <c r="T60" i="12" s="1"/>
  <c r="S61" i="12"/>
  <c r="T61" i="12" s="1"/>
  <c r="S62" i="12"/>
  <c r="S63" i="12"/>
  <c r="S64" i="12"/>
  <c r="T64" i="12" s="1"/>
  <c r="S65" i="12"/>
  <c r="T65" i="12" s="1"/>
  <c r="S66" i="12"/>
  <c r="S67" i="12"/>
  <c r="S68" i="12"/>
  <c r="T68" i="12" s="1"/>
  <c r="S69" i="12"/>
  <c r="T69" i="12" s="1"/>
  <c r="S70" i="12"/>
  <c r="S71" i="12"/>
  <c r="S72" i="12"/>
  <c r="T72" i="12" s="1"/>
  <c r="S73" i="12"/>
  <c r="T73" i="12" s="1"/>
  <c r="S74" i="12"/>
  <c r="S75" i="12"/>
  <c r="S76" i="12"/>
  <c r="T76" i="12" s="1"/>
  <c r="S77" i="12"/>
  <c r="T77" i="12" s="1"/>
  <c r="S78" i="12"/>
  <c r="S79" i="12"/>
  <c r="S80" i="12"/>
  <c r="T80" i="12" s="1"/>
  <c r="S81" i="12"/>
  <c r="T81" i="12" s="1"/>
  <c r="S82" i="12"/>
  <c r="S83" i="12"/>
  <c r="S84" i="12"/>
  <c r="T84" i="12" s="1"/>
  <c r="S85" i="12"/>
  <c r="T85" i="12" s="1"/>
  <c r="S86" i="12"/>
  <c r="S87" i="12"/>
  <c r="S88" i="12"/>
  <c r="T88" i="12" s="1"/>
  <c r="S89" i="12"/>
  <c r="T89" i="12" s="1"/>
  <c r="S90" i="12"/>
  <c r="S91" i="12"/>
  <c r="S92" i="12"/>
  <c r="T92" i="12" s="1"/>
  <c r="S93" i="12"/>
  <c r="T93" i="12" s="1"/>
  <c r="S94" i="12"/>
  <c r="S95" i="12"/>
  <c r="S96" i="12"/>
  <c r="T96" i="12" s="1"/>
  <c r="S97" i="12"/>
  <c r="T97" i="12" s="1"/>
  <c r="S98" i="12"/>
  <c r="S99" i="12"/>
  <c r="S100" i="12"/>
  <c r="T100" i="12" s="1"/>
  <c r="S101" i="12"/>
  <c r="T101" i="12" s="1"/>
  <c r="S102" i="12"/>
  <c r="S103" i="12"/>
  <c r="S104" i="12"/>
  <c r="T104" i="12" s="1"/>
  <c r="S105" i="12"/>
  <c r="T105" i="12" s="1"/>
  <c r="S106" i="12"/>
  <c r="S107" i="12"/>
  <c r="S108" i="12"/>
  <c r="T108" i="12" s="1"/>
  <c r="S109" i="12"/>
  <c r="T109" i="12" s="1"/>
  <c r="S110" i="12"/>
  <c r="S111" i="12"/>
  <c r="S112" i="12"/>
  <c r="T112" i="12" s="1"/>
  <c r="S113" i="12"/>
  <c r="T113" i="12" s="1"/>
  <c r="S114" i="12"/>
  <c r="S115" i="12"/>
  <c r="S116" i="12"/>
  <c r="T116" i="12" s="1"/>
  <c r="S117" i="12"/>
  <c r="T117" i="12" s="1"/>
  <c r="S118" i="12"/>
  <c r="S119" i="12"/>
  <c r="S120" i="12"/>
  <c r="T120" i="12" s="1"/>
  <c r="S3" i="12"/>
  <c r="T3" i="12" s="1"/>
  <c r="H20" i="5"/>
  <c r="H15" i="5"/>
  <c r="H10" i="5"/>
  <c r="I4" i="6"/>
  <c r="I19" i="6" s="1"/>
  <c r="I3" i="6"/>
  <c r="L3" i="6" s="1"/>
  <c r="H5" i="6"/>
  <c r="E35" i="5"/>
  <c r="F44" i="6"/>
  <c r="C5" i="17" s="1"/>
  <c r="I43" i="6"/>
  <c r="J43" i="6" s="1"/>
  <c r="I42" i="6"/>
  <c r="J42" i="6" s="1"/>
  <c r="I41" i="6"/>
  <c r="J41" i="6" s="1"/>
  <c r="I40" i="6"/>
  <c r="J40" i="6" s="1"/>
  <c r="I39" i="6"/>
  <c r="J39" i="6" s="1"/>
  <c r="I38" i="6"/>
  <c r="J38" i="6" s="1"/>
  <c r="I37" i="6"/>
  <c r="J37" i="6" s="1"/>
  <c r="I36" i="6"/>
  <c r="J36" i="6" s="1"/>
  <c r="I35" i="6"/>
  <c r="J35" i="6" s="1"/>
  <c r="I34" i="6"/>
  <c r="J34" i="6" s="1"/>
  <c r="I33" i="6"/>
  <c r="J33" i="6" s="1"/>
  <c r="F29" i="6"/>
  <c r="C4" i="17" s="1"/>
  <c r="J28" i="6"/>
  <c r="K28" i="6" s="1"/>
  <c r="J27" i="6"/>
  <c r="K27" i="6" s="1"/>
  <c r="J26" i="6"/>
  <c r="K26" i="6" s="1"/>
  <c r="K25" i="6"/>
  <c r="J25" i="6"/>
  <c r="J24" i="6"/>
  <c r="K24" i="6" s="1"/>
  <c r="J23" i="6"/>
  <c r="K23" i="6" s="1"/>
  <c r="J22" i="6"/>
  <c r="K22" i="6" s="1"/>
  <c r="J21" i="6"/>
  <c r="K21" i="6" s="1"/>
  <c r="F14" i="6"/>
  <c r="C3" i="17" s="1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L33" i="6" l="1"/>
  <c r="L36" i="6"/>
  <c r="L35" i="6"/>
  <c r="F4" i="5"/>
  <c r="E6" i="16"/>
  <c r="D15" i="17" s="1"/>
  <c r="E36" i="17"/>
  <c r="E40" i="17" s="1"/>
  <c r="L34" i="6"/>
  <c r="D4" i="5"/>
  <c r="H2" i="16"/>
  <c r="I44" i="6"/>
  <c r="D5" i="17" s="1"/>
  <c r="G40" i="17"/>
  <c r="E14" i="17"/>
  <c r="G36" i="17"/>
  <c r="F23" i="17"/>
  <c r="G15" i="17"/>
  <c r="G16" i="17" s="1"/>
  <c r="C18" i="17"/>
  <c r="C24" i="17" s="1"/>
  <c r="D23" i="17"/>
  <c r="E19" i="17"/>
  <c r="E5" i="17"/>
  <c r="I4" i="5"/>
  <c r="C9" i="17"/>
  <c r="I20" i="6"/>
  <c r="H6" i="16"/>
  <c r="F15" i="17" s="1"/>
  <c r="G6" i="14"/>
  <c r="K3" i="14" s="1"/>
  <c r="M3" i="14" s="1"/>
  <c r="G10" i="14"/>
  <c r="K7" i="14" s="1"/>
  <c r="M7" i="14" s="1"/>
  <c r="S3" i="14"/>
  <c r="P7" i="14"/>
  <c r="G14" i="14"/>
  <c r="K11" i="14" s="1"/>
  <c r="S11" i="14" s="1"/>
  <c r="D14" i="17" s="1"/>
  <c r="J14" i="14"/>
  <c r="I14" i="14" s="1"/>
  <c r="J10" i="14"/>
  <c r="I10" i="14" s="1"/>
  <c r="I18" i="6"/>
  <c r="J19" i="6"/>
  <c r="K19" i="6" s="1"/>
  <c r="J4" i="6"/>
  <c r="K4" i="6" s="1"/>
  <c r="I5" i="6"/>
  <c r="J5" i="6" s="1"/>
  <c r="K5" i="6" s="1"/>
  <c r="J3" i="6"/>
  <c r="K3" i="6" s="1"/>
  <c r="J44" i="6"/>
  <c r="F5" i="17" s="1"/>
  <c r="L44" i="6" l="1"/>
  <c r="T3" i="14"/>
  <c r="G5" i="17"/>
  <c r="H5" i="17" s="1"/>
  <c r="J5" i="17" s="1"/>
  <c r="P3" i="14"/>
  <c r="Q3" i="14" s="1"/>
  <c r="H15" i="17"/>
  <c r="H16" i="17"/>
  <c r="G17" i="17"/>
  <c r="H17" i="17" s="1"/>
  <c r="G21" i="17"/>
  <c r="H20" i="17"/>
  <c r="J8" i="17"/>
  <c r="I5" i="5"/>
  <c r="S7" i="14"/>
  <c r="T7" i="14" s="1"/>
  <c r="N3" i="14"/>
  <c r="M15" i="14"/>
  <c r="P15" i="14"/>
  <c r="Q7" i="14"/>
  <c r="Q15" i="14" s="1"/>
  <c r="G4" i="17" s="1"/>
  <c r="T11" i="14"/>
  <c r="F14" i="17" s="1"/>
  <c r="H14" i="17" s="1"/>
  <c r="N7" i="14"/>
  <c r="I6" i="5"/>
  <c r="K14" i="6"/>
  <c r="F3" i="17" s="1"/>
  <c r="J20" i="6"/>
  <c r="K20" i="6" s="1"/>
  <c r="J18" i="6"/>
  <c r="J14" i="6"/>
  <c r="D3" i="17" s="1"/>
  <c r="G14" i="5"/>
  <c r="K35" i="5"/>
  <c r="G16" i="5"/>
  <c r="G5" i="5"/>
  <c r="C5" i="5"/>
  <c r="M5" i="5" s="1"/>
  <c r="C6" i="5"/>
  <c r="M6" i="5" s="1"/>
  <c r="C7" i="5"/>
  <c r="C8" i="5"/>
  <c r="C9" i="5"/>
  <c r="M9" i="5" s="1"/>
  <c r="C10" i="5"/>
  <c r="C11" i="5"/>
  <c r="M11" i="5" s="1"/>
  <c r="C12" i="5"/>
  <c r="M12" i="5" s="1"/>
  <c r="C13" i="5"/>
  <c r="M13" i="5" s="1"/>
  <c r="C14" i="5"/>
  <c r="M14" i="5" s="1"/>
  <c r="C15" i="5"/>
  <c r="M15" i="5" s="1"/>
  <c r="C16" i="5"/>
  <c r="M16" i="5" s="1"/>
  <c r="C17" i="5"/>
  <c r="M17" i="5" s="1"/>
  <c r="C18" i="5"/>
  <c r="M18" i="5" s="1"/>
  <c r="C19" i="5"/>
  <c r="M19" i="5" s="1"/>
  <c r="C20" i="5"/>
  <c r="M20" i="5" s="1"/>
  <c r="C21" i="5"/>
  <c r="M21" i="5" s="1"/>
  <c r="C22" i="5"/>
  <c r="M22" i="5" s="1"/>
  <c r="C23" i="5"/>
  <c r="C24" i="5"/>
  <c r="M24" i="5" s="1"/>
  <c r="C25" i="5"/>
  <c r="M25" i="5" s="1"/>
  <c r="C26" i="5"/>
  <c r="C27" i="5"/>
  <c r="C28" i="5"/>
  <c r="M28" i="5" s="1"/>
  <c r="C29" i="5"/>
  <c r="M29" i="5" s="1"/>
  <c r="C30" i="5"/>
  <c r="M30" i="5" s="1"/>
  <c r="C31" i="5"/>
  <c r="M31" i="5" s="1"/>
  <c r="C32" i="5"/>
  <c r="M32" i="5" s="1"/>
  <c r="C33" i="5"/>
  <c r="M33" i="5" s="1"/>
  <c r="C4" i="5"/>
  <c r="J4" i="5" s="1"/>
  <c r="M7" i="5"/>
  <c r="M10" i="5"/>
  <c r="M23" i="5"/>
  <c r="M27" i="5"/>
  <c r="D13" i="17" l="1"/>
  <c r="E3" i="17"/>
  <c r="D9" i="17"/>
  <c r="F13" i="17"/>
  <c r="F18" i="17" s="1"/>
  <c r="F24" i="17" s="1"/>
  <c r="H21" i="17"/>
  <c r="G22" i="17"/>
  <c r="H22" i="17" s="1"/>
  <c r="S15" i="14"/>
  <c r="N15" i="14"/>
  <c r="G3" i="17" s="1"/>
  <c r="T15" i="14"/>
  <c r="I7" i="5"/>
  <c r="K18" i="6"/>
  <c r="K29" i="6" s="1"/>
  <c r="F4" i="17" s="1"/>
  <c r="F9" i="17" s="1"/>
  <c r="J29" i="6"/>
  <c r="D4" i="17" s="1"/>
  <c r="E4" i="17" s="1"/>
  <c r="M34" i="5"/>
  <c r="M8" i="5"/>
  <c r="M4" i="5"/>
  <c r="M26" i="5"/>
  <c r="J7" i="5"/>
  <c r="N7" i="5" s="1"/>
  <c r="J8" i="5"/>
  <c r="J6" i="5"/>
  <c r="N6" i="5" s="1"/>
  <c r="J5" i="5"/>
  <c r="N5" i="5" s="1"/>
  <c r="H4" i="17" l="1"/>
  <c r="J4" i="17" s="1"/>
  <c r="H13" i="17"/>
  <c r="H18" i="17" s="1"/>
  <c r="D30" i="17" s="1"/>
  <c r="D18" i="17"/>
  <c r="D24" i="17" s="1"/>
  <c r="E13" i="17"/>
  <c r="H23" i="17"/>
  <c r="H24" i="17" s="1"/>
  <c r="G9" i="17"/>
  <c r="H3" i="17"/>
  <c r="I8" i="5"/>
  <c r="J9" i="5" s="1"/>
  <c r="N9" i="5" s="1"/>
  <c r="N8" i="5"/>
  <c r="M35" i="5"/>
  <c r="N4" i="5"/>
  <c r="G35" i="5"/>
  <c r="D34" i="17" l="1"/>
  <c r="H9" i="17"/>
  <c r="J3" i="17"/>
  <c r="I9" i="5"/>
  <c r="J10" i="5" s="1"/>
  <c r="N10" i="5" s="1"/>
  <c r="J9" i="17" l="1"/>
  <c r="C30" i="17"/>
  <c r="I10" i="5"/>
  <c r="J11" i="5" s="1"/>
  <c r="C34" i="17" l="1"/>
  <c r="E30" i="17"/>
  <c r="I11" i="5"/>
  <c r="J12" i="5" s="1"/>
  <c r="N12" i="5" s="1"/>
  <c r="N11" i="5"/>
  <c r="E34" i="17" l="1"/>
  <c r="I12" i="5"/>
  <c r="J13" i="5" s="1"/>
  <c r="N13" i="5" s="1"/>
  <c r="I13" i="5" l="1"/>
  <c r="J14" i="5" s="1"/>
  <c r="I14" i="5" l="1"/>
  <c r="J15" i="5" s="1"/>
  <c r="N15" i="5" s="1"/>
  <c r="N14" i="5"/>
  <c r="I15" i="5" l="1"/>
  <c r="J16" i="5" s="1"/>
  <c r="I16" i="5" l="1"/>
  <c r="J17" i="5" s="1"/>
  <c r="N17" i="5" s="1"/>
  <c r="N16" i="5"/>
  <c r="I17" i="5" l="1"/>
  <c r="J18" i="5" s="1"/>
  <c r="I18" i="5" l="1"/>
  <c r="J19" i="5" s="1"/>
  <c r="N19" i="5" s="1"/>
  <c r="N18" i="5"/>
  <c r="I19" i="5" l="1"/>
  <c r="J20" i="5" s="1"/>
  <c r="N20" i="5" s="1"/>
  <c r="I20" i="5" l="1"/>
  <c r="J21" i="5" s="1"/>
  <c r="N21" i="5" s="1"/>
  <c r="I21" i="5" l="1"/>
  <c r="J22" i="5" s="1"/>
  <c r="N22" i="5" s="1"/>
  <c r="I22" i="5" l="1"/>
  <c r="J23" i="5" s="1"/>
  <c r="N23" i="5" s="1"/>
  <c r="I23" i="5" l="1"/>
  <c r="J24" i="5" s="1"/>
  <c r="N24" i="5" s="1"/>
  <c r="I24" i="5" l="1"/>
  <c r="J25" i="5" s="1"/>
  <c r="N25" i="5" s="1"/>
  <c r="I25" i="5" l="1"/>
  <c r="J26" i="5" s="1"/>
  <c r="N26" i="5" s="1"/>
  <c r="I26" i="5" l="1"/>
  <c r="J27" i="5" s="1"/>
  <c r="N27" i="5" s="1"/>
  <c r="I27" i="5" l="1"/>
  <c r="J28" i="5" s="1"/>
  <c r="N28" i="5" s="1"/>
  <c r="I28" i="5" l="1"/>
  <c r="J29" i="5" s="1"/>
  <c r="N29" i="5" s="1"/>
  <c r="I29" i="5" l="1"/>
  <c r="J30" i="5" s="1"/>
  <c r="N30" i="5" s="1"/>
  <c r="I30" i="5" l="1"/>
  <c r="J31" i="5" s="1"/>
  <c r="N31" i="5" s="1"/>
  <c r="I31" i="5" l="1"/>
  <c r="J32" i="5" s="1"/>
  <c r="N32" i="5" s="1"/>
  <c r="I32" i="5" l="1"/>
  <c r="J33" i="5" s="1"/>
  <c r="N33" i="5" s="1"/>
  <c r="I34" i="5" l="1"/>
  <c r="I33" i="5"/>
  <c r="N34" i="5" l="1"/>
  <c r="N35" i="5" s="1"/>
  <c r="F30" i="17" s="1"/>
  <c r="J35" i="5"/>
  <c r="J6" i="14"/>
  <c r="F34" i="17" l="1"/>
  <c r="G34" i="17" s="1"/>
  <c r="G30" i="17"/>
</calcChain>
</file>

<file path=xl/comments1.xml><?xml version="1.0" encoding="utf-8"?>
<comments xmlns="http://schemas.openxmlformats.org/spreadsheetml/2006/main">
  <authors>
    <author>user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大豆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46%</t>
        </r>
        <r>
          <rPr>
            <sz val="9"/>
            <color indexed="81"/>
            <rFont val="宋体"/>
            <family val="3"/>
            <charset val="134"/>
          </rPr>
          <t>豆粕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取工单原料耗用的成品库存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半成品库存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原料库存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手工调整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取用销售订单执行内，按日查询的数据填入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销量转换为原料，取销售列表内当日的销售量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取用工单实际消耗表上的内容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取采购订单执行表内的到票单价或未到票单价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取开票列表内或者发货列表内数据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取发货列表内数量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先取发票的含税单价，若不到票则取订单的含税单价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半成品只显示库存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12#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>15#</t>
        </r>
        <r>
          <rPr>
            <sz val="9"/>
            <color indexed="81"/>
            <rFont val="宋体"/>
            <family val="3"/>
            <charset val="134"/>
          </rPr>
          <t>需要转换成</t>
        </r>
        <r>
          <rPr>
            <sz val="9"/>
            <color indexed="81"/>
            <rFont val="Tahoma"/>
            <family val="2"/>
          </rPr>
          <t>13#</t>
        </r>
        <r>
          <rPr>
            <sz val="9"/>
            <color indexed="81"/>
            <rFont val="宋体"/>
            <family val="3"/>
            <charset val="134"/>
          </rPr>
          <t>的数量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取采购订单执行表内的到票单价或未到票单价</t>
        </r>
      </text>
    </comment>
  </commentList>
</comments>
</file>

<file path=xl/sharedStrings.xml><?xml version="1.0" encoding="utf-8"?>
<sst xmlns="http://schemas.openxmlformats.org/spreadsheetml/2006/main" count="855" uniqueCount="263">
  <si>
    <t>序号</t>
    <phoneticPr fontId="2" type="noConversion"/>
  </si>
  <si>
    <t>日期</t>
    <phoneticPr fontId="2" type="noConversion"/>
  </si>
  <si>
    <t>02#</t>
    <phoneticPr fontId="2" type="noConversion"/>
  </si>
  <si>
    <t>12#</t>
    <phoneticPr fontId="2" type="noConversion"/>
  </si>
  <si>
    <t>13#</t>
    <phoneticPr fontId="2" type="noConversion"/>
  </si>
  <si>
    <t>15#</t>
    <phoneticPr fontId="2" type="noConversion"/>
  </si>
  <si>
    <t>产品名称</t>
    <phoneticPr fontId="2" type="noConversion"/>
  </si>
  <si>
    <t>采购量</t>
    <phoneticPr fontId="2" type="noConversion"/>
  </si>
  <si>
    <t>采购单价</t>
    <phoneticPr fontId="2" type="noConversion"/>
  </si>
  <si>
    <t>采购总额</t>
    <phoneticPr fontId="2" type="noConversion"/>
  </si>
  <si>
    <t>采购市场价</t>
    <phoneticPr fontId="2" type="noConversion"/>
  </si>
  <si>
    <t>库存量</t>
    <phoneticPr fontId="2" type="noConversion"/>
  </si>
  <si>
    <t>库存利润</t>
    <phoneticPr fontId="2" type="noConversion"/>
  </si>
  <si>
    <t>当日采购利润</t>
    <phoneticPr fontId="2" type="noConversion"/>
  </si>
  <si>
    <t>当日销售量</t>
    <phoneticPr fontId="2" type="noConversion"/>
  </si>
  <si>
    <t>净库存量</t>
    <phoneticPr fontId="2" type="noConversion"/>
  </si>
  <si>
    <t>采购利润合计</t>
    <phoneticPr fontId="2" type="noConversion"/>
  </si>
  <si>
    <t>合计</t>
    <phoneticPr fontId="2" type="noConversion"/>
  </si>
  <si>
    <t>一、大豆、豆粕</t>
    <phoneticPr fontId="2" type="noConversion"/>
  </si>
  <si>
    <t>订单日期</t>
    <phoneticPr fontId="2" type="noConversion"/>
  </si>
  <si>
    <t>订单数量</t>
    <phoneticPr fontId="2" type="noConversion"/>
  </si>
  <si>
    <t>当日采购市场价</t>
    <phoneticPr fontId="2" type="noConversion"/>
  </si>
  <si>
    <t>销售订单号</t>
    <phoneticPr fontId="2" type="noConversion"/>
  </si>
  <si>
    <t>理论损耗率</t>
    <phoneticPr fontId="2" type="noConversion"/>
  </si>
  <si>
    <t>实际损耗率</t>
    <phoneticPr fontId="2" type="noConversion"/>
  </si>
  <si>
    <t>实际耗用原料</t>
    <phoneticPr fontId="2" type="noConversion"/>
  </si>
  <si>
    <t>采购总额</t>
    <phoneticPr fontId="2" type="noConversion"/>
  </si>
  <si>
    <t>勃乐三</t>
    <phoneticPr fontId="2" type="noConversion"/>
  </si>
  <si>
    <t>活力蛋白18%</t>
    <phoneticPr fontId="2" type="noConversion"/>
  </si>
  <si>
    <t>合计</t>
    <phoneticPr fontId="2" type="noConversion"/>
  </si>
  <si>
    <t>一、财务口径，以开票为前提（大豆粉与勃乐产品分开列示）</t>
    <phoneticPr fontId="2" type="noConversion"/>
  </si>
  <si>
    <t>粕甲蛋</t>
    <phoneticPr fontId="2" type="noConversion"/>
  </si>
  <si>
    <t>二、已发货未开票订单</t>
    <phoneticPr fontId="2" type="noConversion"/>
  </si>
  <si>
    <t>三、未执行订单</t>
    <phoneticPr fontId="2" type="noConversion"/>
  </si>
  <si>
    <t>理论耗用原料</t>
    <phoneticPr fontId="2" type="noConversion"/>
  </si>
  <si>
    <t>大豆粉转换原料的公式</t>
    <phoneticPr fontId="2" type="noConversion"/>
  </si>
  <si>
    <t>损耗率</t>
    <phoneticPr fontId="2" type="noConversion"/>
  </si>
  <si>
    <t>成品批次号</t>
    <phoneticPr fontId="2" type="noConversion"/>
  </si>
  <si>
    <t>库存数量</t>
    <phoneticPr fontId="2" type="noConversion"/>
  </si>
  <si>
    <t>发酵池中料-散装</t>
  </si>
  <si>
    <t>原料批次号</t>
    <phoneticPr fontId="2" type="noConversion"/>
  </si>
  <si>
    <t>201603250033</t>
  </si>
  <si>
    <t>20160417001</t>
  </si>
  <si>
    <t>201603250023</t>
    <phoneticPr fontId="2" type="noConversion"/>
  </si>
  <si>
    <t>原料数量</t>
    <phoneticPr fontId="2" type="noConversion"/>
  </si>
  <si>
    <t>未执行订单数量</t>
    <phoneticPr fontId="2" type="noConversion"/>
  </si>
  <si>
    <t>已入未点数量</t>
    <phoneticPr fontId="2" type="noConversion"/>
  </si>
  <si>
    <t>当日发货量</t>
    <phoneticPr fontId="2" type="noConversion"/>
  </si>
  <si>
    <t>采购订单号</t>
  </si>
  <si>
    <t>客户名称</t>
    <phoneticPr fontId="2" type="noConversion"/>
  </si>
  <si>
    <t>供应商</t>
  </si>
  <si>
    <t>产品名称</t>
  </si>
  <si>
    <t>入库数量</t>
  </si>
  <si>
    <t>52016040102</t>
  </si>
  <si>
    <t>2016-04-02</t>
  </si>
  <si>
    <t>上海浦耀贸易有限公司（华东）</t>
  </si>
  <si>
    <t>BJJHSBMS160524.</t>
  </si>
  <si>
    <t>2016-04-13</t>
  </si>
  <si>
    <t>路易达孚（中国）贸易有限责任公司</t>
  </si>
  <si>
    <t>#013</t>
  </si>
  <si>
    <t>创建时间</t>
  </si>
  <si>
    <t>物料说明</t>
  </si>
  <si>
    <t>单位</t>
  </si>
  <si>
    <t>数量</t>
  </si>
  <si>
    <t>52016040103</t>
  </si>
  <si>
    <t>52016040506</t>
  </si>
  <si>
    <t>2016-04-06</t>
  </si>
  <si>
    <t>52016040512</t>
  </si>
  <si>
    <t>52016040601</t>
  </si>
  <si>
    <t>52016040704</t>
  </si>
  <si>
    <t>2016-04-08</t>
  </si>
  <si>
    <t>52016041806.</t>
  </si>
  <si>
    <t>2016-04-19</t>
  </si>
  <si>
    <t>52016041841</t>
  </si>
  <si>
    <t>52016041842</t>
  </si>
  <si>
    <t>52016042112</t>
  </si>
  <si>
    <t>2016-04-22</t>
  </si>
  <si>
    <t>#012</t>
  </si>
  <si>
    <t>吨</t>
  </si>
  <si>
    <t>江苏北大荒油脂有限公司</t>
  </si>
  <si>
    <t>SHSW20160415-01</t>
  </si>
  <si>
    <t>2016-04-16</t>
  </si>
  <si>
    <t>SHSW20160428-01</t>
  </si>
  <si>
    <t>2016-04-29</t>
  </si>
  <si>
    <t>#015</t>
  </si>
  <si>
    <t>BJJHSBMS160538</t>
  </si>
  <si>
    <t>BJJHSBMS160539</t>
  </si>
  <si>
    <t>2016-04-20</t>
  </si>
  <si>
    <t>BJJHSBMS160569</t>
  </si>
  <si>
    <t>BJJHSBMS160608</t>
  </si>
  <si>
    <t>2016-04-27</t>
  </si>
  <si>
    <t>入库时间</t>
  </si>
  <si>
    <t>批次</t>
  </si>
  <si>
    <t>201604040011</t>
  </si>
  <si>
    <t>201604040021</t>
  </si>
  <si>
    <t>201604040041</t>
  </si>
  <si>
    <t>2016040200011</t>
  </si>
  <si>
    <t>201604050011</t>
  </si>
  <si>
    <t>20160404001</t>
  </si>
  <si>
    <t>201604050041</t>
  </si>
  <si>
    <t>201604040031</t>
  </si>
  <si>
    <t>20160404002</t>
  </si>
  <si>
    <t>201604040061</t>
  </si>
  <si>
    <t>201604050021</t>
  </si>
  <si>
    <t>201604040051</t>
  </si>
  <si>
    <t>201604060011</t>
  </si>
  <si>
    <t>201604070011</t>
  </si>
  <si>
    <t>201604070031</t>
  </si>
  <si>
    <t>201604070021</t>
  </si>
  <si>
    <t>201604070041</t>
  </si>
  <si>
    <t>201604070061</t>
  </si>
  <si>
    <t>2016041203</t>
  </si>
  <si>
    <t>20160410</t>
  </si>
  <si>
    <t>20160407004</t>
  </si>
  <si>
    <t>201604070051</t>
  </si>
  <si>
    <t>20160407003</t>
  </si>
  <si>
    <t>20160407002</t>
  </si>
  <si>
    <t>20160408005</t>
  </si>
  <si>
    <t>20160407001</t>
  </si>
  <si>
    <t>201604090021</t>
  </si>
  <si>
    <t>20160409002</t>
  </si>
  <si>
    <t>20160409001</t>
  </si>
  <si>
    <t>20160409003</t>
  </si>
  <si>
    <t>201604090011</t>
  </si>
  <si>
    <t>20160408001</t>
  </si>
  <si>
    <t>20160408002</t>
  </si>
  <si>
    <t>20160408004</t>
  </si>
  <si>
    <t>201604080041</t>
  </si>
  <si>
    <t>20160408003</t>
  </si>
  <si>
    <t>201604080061</t>
  </si>
  <si>
    <t>20160409004</t>
  </si>
  <si>
    <t>201604100021</t>
  </si>
  <si>
    <t>201604090061</t>
  </si>
  <si>
    <t>20160420</t>
  </si>
  <si>
    <t>2016042100101</t>
  </si>
  <si>
    <t>2016042000101</t>
  </si>
  <si>
    <t>2016042400101</t>
  </si>
  <si>
    <t>2016052200301</t>
  </si>
  <si>
    <t>20160422001</t>
  </si>
  <si>
    <t>20160421001</t>
  </si>
  <si>
    <t>20160423</t>
  </si>
  <si>
    <t>2016041700103</t>
  </si>
  <si>
    <t>20160502001</t>
  </si>
  <si>
    <t>20160503001</t>
  </si>
  <si>
    <t>2016050300103</t>
  </si>
  <si>
    <t>2016050200103</t>
  </si>
  <si>
    <t>2016050400103</t>
  </si>
  <si>
    <t>2016050100103</t>
  </si>
  <si>
    <t>20160515001</t>
  </si>
  <si>
    <t>20160516001</t>
  </si>
  <si>
    <t>20160517001</t>
  </si>
  <si>
    <t>20160518001</t>
  </si>
  <si>
    <t>2016041300201</t>
  </si>
  <si>
    <t>2016041400201</t>
  </si>
  <si>
    <t>20160410005</t>
  </si>
  <si>
    <t>20160414002</t>
  </si>
  <si>
    <t>2016042200101</t>
  </si>
  <si>
    <t>2016042300601</t>
  </si>
  <si>
    <t>20160425001</t>
  </si>
  <si>
    <t>20160423006</t>
  </si>
  <si>
    <t>2010422001</t>
  </si>
  <si>
    <t>2016042200103</t>
  </si>
  <si>
    <t>20160428001</t>
  </si>
  <si>
    <t>2016050100101</t>
  </si>
  <si>
    <t>20160429</t>
  </si>
  <si>
    <t>2016042800101</t>
  </si>
  <si>
    <t>2016042900101</t>
  </si>
  <si>
    <t>2016051300501</t>
  </si>
  <si>
    <t>2016052200201</t>
  </si>
  <si>
    <t>订单单价</t>
    <phoneticPr fontId="2" type="noConversion"/>
  </si>
  <si>
    <t>运费单价</t>
    <phoneticPr fontId="2" type="noConversion"/>
  </si>
  <si>
    <t>发票金额</t>
    <phoneticPr fontId="2" type="noConversion"/>
  </si>
  <si>
    <t>到票单价</t>
    <phoneticPr fontId="2" type="noConversion"/>
  </si>
  <si>
    <t>点价日期</t>
    <phoneticPr fontId="2" type="noConversion"/>
  </si>
  <si>
    <t>点价数量</t>
    <phoneticPr fontId="2" type="noConversion"/>
  </si>
  <si>
    <t>点价单价</t>
    <phoneticPr fontId="2" type="noConversion"/>
  </si>
  <si>
    <t>已执行数量</t>
    <phoneticPr fontId="2" type="noConversion"/>
  </si>
  <si>
    <t>未执行数量</t>
    <phoneticPr fontId="2" type="noConversion"/>
  </si>
  <si>
    <t>配料名称</t>
  </si>
  <si>
    <t>配料批次</t>
  </si>
  <si>
    <t>20160326</t>
  </si>
  <si>
    <t>20130309</t>
  </si>
  <si>
    <t>20160309</t>
  </si>
  <si>
    <t>201603312110101</t>
  </si>
  <si>
    <t>20160129</t>
  </si>
  <si>
    <t>20160316</t>
  </si>
  <si>
    <t>20150415120320</t>
  </si>
  <si>
    <t>20150425120330</t>
  </si>
  <si>
    <t>实际完工数量</t>
    <phoneticPr fontId="2" type="noConversion"/>
  </si>
  <si>
    <t>批次号</t>
    <phoneticPr fontId="2" type="noConversion"/>
  </si>
  <si>
    <t>20150415120320汇总</t>
    <phoneticPr fontId="2" type="noConversion"/>
  </si>
  <si>
    <t>20150425120330汇总</t>
    <phoneticPr fontId="2" type="noConversion"/>
  </si>
  <si>
    <t>#015</t>
    <phoneticPr fontId="2" type="noConversion"/>
  </si>
  <si>
    <t>#013</t>
    <phoneticPr fontId="2" type="noConversion"/>
  </si>
  <si>
    <t>201603312110101汇总</t>
    <phoneticPr fontId="2" type="noConversion"/>
  </si>
  <si>
    <t>当月开票</t>
    <phoneticPr fontId="2" type="noConversion"/>
  </si>
  <si>
    <t>当月发货</t>
    <phoneticPr fontId="2" type="noConversion"/>
  </si>
  <si>
    <t>月末库存</t>
    <phoneticPr fontId="2" type="noConversion"/>
  </si>
  <si>
    <t>合计</t>
    <phoneticPr fontId="2" type="noConversion"/>
  </si>
  <si>
    <t>单价性质</t>
    <phoneticPr fontId="2" type="noConversion"/>
  </si>
  <si>
    <t>原料含税单价</t>
    <phoneticPr fontId="2" type="noConversion"/>
  </si>
  <si>
    <t>成品数量</t>
    <phoneticPr fontId="2" type="noConversion"/>
  </si>
  <si>
    <t>发票单价</t>
    <phoneticPr fontId="2" type="noConversion"/>
  </si>
  <si>
    <t>未到票单价</t>
    <phoneticPr fontId="2" type="noConversion"/>
  </si>
  <si>
    <t>到票</t>
    <phoneticPr fontId="2" type="noConversion"/>
  </si>
  <si>
    <t>未到票</t>
    <phoneticPr fontId="2" type="noConversion"/>
  </si>
  <si>
    <t>转换后原料数量</t>
    <phoneticPr fontId="2" type="noConversion"/>
  </si>
  <si>
    <t>转换后原料数量</t>
    <phoneticPr fontId="2" type="noConversion"/>
  </si>
  <si>
    <t>粕甲蛋</t>
    <phoneticPr fontId="2" type="noConversion"/>
  </si>
  <si>
    <t>活力蛋白</t>
    <phoneticPr fontId="2" type="noConversion"/>
  </si>
  <si>
    <t>勃乐三</t>
    <phoneticPr fontId="2" type="noConversion"/>
  </si>
  <si>
    <t>备注：</t>
    <phoneticPr fontId="2" type="noConversion"/>
  </si>
  <si>
    <t>1、上述业务，可通过日期选择一天或者一个月</t>
    <phoneticPr fontId="2" type="noConversion"/>
  </si>
  <si>
    <t>以上报表可按日，也可按月查询</t>
    <phoneticPr fontId="2" type="noConversion"/>
  </si>
  <si>
    <t>项目</t>
    <phoneticPr fontId="16" type="noConversion"/>
  </si>
  <si>
    <t>销量</t>
    <phoneticPr fontId="16" type="noConversion"/>
  </si>
  <si>
    <t>用量</t>
    <phoneticPr fontId="16" type="noConversion"/>
  </si>
  <si>
    <t>平均损耗</t>
    <phoneticPr fontId="16" type="noConversion"/>
  </si>
  <si>
    <t>市场价金额</t>
    <phoneticPr fontId="16" type="noConversion"/>
  </si>
  <si>
    <t>采购原料金额</t>
    <phoneticPr fontId="16" type="noConversion"/>
  </si>
  <si>
    <t>采购盈亏</t>
    <phoneticPr fontId="16" type="noConversion"/>
  </si>
  <si>
    <t>期货盈亏</t>
    <phoneticPr fontId="16" type="noConversion"/>
  </si>
  <si>
    <t>采购利润</t>
    <phoneticPr fontId="16" type="noConversion"/>
  </si>
  <si>
    <t>总计</t>
    <phoneticPr fontId="16" type="noConversion"/>
  </si>
  <si>
    <t>财务口径采购利润</t>
    <phoneticPr fontId="16" type="noConversion"/>
  </si>
  <si>
    <t>执行情况</t>
    <phoneticPr fontId="2" type="noConversion"/>
  </si>
  <si>
    <t>已发未开票</t>
    <phoneticPr fontId="2" type="noConversion"/>
  </si>
  <si>
    <t>未执行销售</t>
    <phoneticPr fontId="2" type="noConversion"/>
  </si>
  <si>
    <t>期末采购市价</t>
    <phoneticPr fontId="2" type="noConversion"/>
  </si>
  <si>
    <t>期末采购利润</t>
    <phoneticPr fontId="2" type="noConversion"/>
  </si>
  <si>
    <t>勃乐</t>
    <phoneticPr fontId="16" type="noConversion"/>
  </si>
  <si>
    <t>项目</t>
    <phoneticPr fontId="2" type="noConversion"/>
  </si>
  <si>
    <t>2月</t>
    <phoneticPr fontId="2" type="noConversion"/>
  </si>
  <si>
    <t>3月</t>
    <phoneticPr fontId="2" type="noConversion"/>
  </si>
  <si>
    <t>豆粕</t>
    <phoneticPr fontId="2" type="noConversion"/>
  </si>
  <si>
    <t>成品</t>
    <phoneticPr fontId="2" type="noConversion"/>
  </si>
  <si>
    <t>半成品</t>
    <phoneticPr fontId="2" type="noConversion"/>
  </si>
  <si>
    <t>原料</t>
    <phoneticPr fontId="2" type="noConversion"/>
  </si>
  <si>
    <t>已入未点</t>
    <phoneticPr fontId="2" type="noConversion"/>
  </si>
  <si>
    <t>已点未入</t>
    <phoneticPr fontId="2" type="noConversion"/>
  </si>
  <si>
    <t>成品数量</t>
    <phoneticPr fontId="2" type="noConversion"/>
  </si>
  <si>
    <t>原料数量</t>
    <phoneticPr fontId="2" type="noConversion"/>
  </si>
  <si>
    <t>实际原料金额</t>
    <phoneticPr fontId="2" type="noConversion"/>
  </si>
  <si>
    <t>月末采购市价</t>
    <phoneticPr fontId="2" type="noConversion"/>
  </si>
  <si>
    <t>库存利润</t>
    <phoneticPr fontId="2" type="noConversion"/>
  </si>
  <si>
    <t>合计</t>
    <phoneticPr fontId="2" type="noConversion"/>
  </si>
  <si>
    <t>未实现利润</t>
    <phoneticPr fontId="2" type="noConversion"/>
  </si>
  <si>
    <t>库存采购利润</t>
    <phoneticPr fontId="2" type="noConversion"/>
  </si>
  <si>
    <t>豆粕小计</t>
    <phoneticPr fontId="2" type="noConversion"/>
  </si>
  <si>
    <t>大豆小计</t>
    <phoneticPr fontId="2" type="noConversion"/>
  </si>
  <si>
    <t>大豆</t>
    <phoneticPr fontId="16" type="noConversion"/>
  </si>
  <si>
    <t>采购利润差异</t>
    <phoneticPr fontId="2" type="noConversion"/>
  </si>
  <si>
    <t>月份</t>
    <phoneticPr fontId="2" type="noConversion"/>
  </si>
  <si>
    <t>大豆</t>
    <phoneticPr fontId="2" type="noConversion"/>
  </si>
  <si>
    <t>已实现利润</t>
    <phoneticPr fontId="2" type="noConversion"/>
  </si>
  <si>
    <t>合计利润</t>
    <phoneticPr fontId="2" type="noConversion"/>
  </si>
  <si>
    <t>财务口径</t>
    <phoneticPr fontId="2" type="noConversion"/>
  </si>
  <si>
    <t>采购中心口径</t>
    <phoneticPr fontId="2" type="noConversion"/>
  </si>
  <si>
    <t>库存+采购利润</t>
    <phoneticPr fontId="2" type="noConversion"/>
  </si>
  <si>
    <t>期货利润</t>
    <phoneticPr fontId="2" type="noConversion"/>
  </si>
  <si>
    <t>利润差异</t>
    <phoneticPr fontId="2" type="noConversion"/>
  </si>
  <si>
    <t>1月</t>
    <phoneticPr fontId="2" type="noConversion"/>
  </si>
  <si>
    <t>期初差异调整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</si>
</sst>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0"/>
      <color theme="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"/>
      <color theme="1"/>
      <name val="Calibri"/>
      <family val="2"/>
      <charset val="134"/>
      <scheme val="minor"/>
    </font>
    <font>
      <b/>
      <sz val="12"/>
      <color theme="1"/>
      <name val="Calibri"/>
      <family val="3"/>
      <charset val="134"/>
      <scheme val="minor"/>
    </font>
    <font>
      <b/>
      <sz val="10"/>
      <color theme="1"/>
      <name val="Calibri"/>
      <family val="2"/>
      <charset val="134"/>
      <scheme val="minor"/>
    </font>
    <font>
      <sz val="9"/>
      <color rgb="FF000000"/>
      <name val="Arial"/>
      <family val="2"/>
    </font>
    <font>
      <sz val="10"/>
      <color theme="1"/>
      <name val="Book Antiqua"/>
      <family val="1"/>
    </font>
    <font>
      <b/>
      <sz val="10"/>
      <color theme="1"/>
      <name val="Book Antiqua"/>
      <family val="1"/>
    </font>
    <font>
      <b/>
      <sz val="10"/>
      <color theme="1"/>
      <name val="宋体"/>
      <family val="3"/>
      <charset val="134"/>
    </font>
    <font>
      <b/>
      <sz val="12"/>
      <color theme="1"/>
      <name val="Calibri"/>
      <charset val="134"/>
      <scheme val="minor"/>
    </font>
    <font>
      <sz val="9"/>
      <name val="宋体"/>
      <charset val="134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0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1" xfId="0" applyFont="1" applyBorder="1">
      <alignment vertical="center"/>
    </xf>
    <xf numFmtId="43" fontId="8" fillId="0" borderId="1" xfId="1" applyFont="1" applyBorder="1">
      <alignment vertical="center"/>
    </xf>
    <xf numFmtId="43" fontId="8" fillId="0" borderId="1" xfId="0" applyNumberFormat="1" applyFont="1" applyBorder="1">
      <alignment vertical="center"/>
    </xf>
    <xf numFmtId="43" fontId="6" fillId="0" borderId="0" xfId="1" applyFont="1">
      <alignment vertical="center"/>
    </xf>
    <xf numFmtId="43" fontId="7" fillId="0" borderId="0" xfId="1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8" fillId="0" borderId="0" xfId="1" applyFont="1">
      <alignment vertical="center"/>
    </xf>
    <xf numFmtId="0" fontId="10" fillId="0" borderId="1" xfId="0" applyFont="1" applyBorder="1" applyAlignment="1">
      <alignment horizontal="center" vertical="center"/>
    </xf>
    <xf numFmtId="43" fontId="7" fillId="0" borderId="1" xfId="1" applyFont="1" applyBorder="1">
      <alignment vertical="center"/>
    </xf>
    <xf numFmtId="43" fontId="6" fillId="0" borderId="1" xfId="1" applyFont="1" applyBorder="1" applyAlignment="1">
      <alignment horizontal="center" vertical="center"/>
    </xf>
    <xf numFmtId="49" fontId="8" fillId="0" borderId="1" xfId="0" applyNumberFormat="1" applyFont="1" applyBorder="1">
      <alignment vertical="center"/>
    </xf>
    <xf numFmtId="43" fontId="6" fillId="0" borderId="1" xfId="1" applyFont="1" applyFill="1" applyBorder="1" applyAlignment="1">
      <alignment horizontal="center" vertical="center"/>
    </xf>
    <xf numFmtId="10" fontId="8" fillId="0" borderId="1" xfId="0" applyNumberFormat="1" applyFont="1" applyBorder="1">
      <alignment vertical="center"/>
    </xf>
    <xf numFmtId="10" fontId="8" fillId="0" borderId="1" xfId="2" applyNumberFormat="1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43" fontId="8" fillId="2" borderId="0" xfId="1" applyFont="1" applyFill="1">
      <alignment vertical="center"/>
    </xf>
    <xf numFmtId="43" fontId="8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 wrapText="1"/>
    </xf>
    <xf numFmtId="43" fontId="12" fillId="0" borderId="1" xfId="1" applyFont="1" applyBorder="1" applyAlignment="1">
      <alignment horizontal="left" vertical="center" wrapText="1"/>
    </xf>
    <xf numFmtId="14" fontId="12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4" fontId="12" fillId="0" borderId="1" xfId="0" applyNumberFormat="1" applyFont="1" applyBorder="1" applyAlignment="1">
      <alignment horizontal="right" vertical="center" wrapText="1"/>
    </xf>
    <xf numFmtId="0" fontId="12" fillId="0" borderId="1" xfId="0" applyFont="1" applyBorder="1" applyAlignment="1">
      <alignment vertical="center" wrapText="1"/>
    </xf>
    <xf numFmtId="43" fontId="10" fillId="0" borderId="1" xfId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 wrapText="1"/>
    </xf>
    <xf numFmtId="43" fontId="14" fillId="3" borderId="1" xfId="1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 wrapText="1"/>
    </xf>
    <xf numFmtId="43" fontId="6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10" fontId="7" fillId="0" borderId="1" xfId="2" applyNumberFormat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>
      <alignment vertical="center"/>
    </xf>
    <xf numFmtId="43" fontId="8" fillId="0" borderId="1" xfId="1" applyFont="1" applyFill="1" applyBorder="1">
      <alignment vertical="center"/>
    </xf>
    <xf numFmtId="43" fontId="8" fillId="0" borderId="1" xfId="0" applyNumberFormat="1" applyFont="1" applyFill="1" applyBorder="1">
      <alignment vertical="center"/>
    </xf>
    <xf numFmtId="49" fontId="8" fillId="0" borderId="1" xfId="0" applyNumberFormat="1" applyFont="1" applyFill="1" applyBorder="1">
      <alignment vertical="center"/>
    </xf>
    <xf numFmtId="43" fontId="6" fillId="0" borderId="1" xfId="1" applyFont="1" applyFill="1" applyBorder="1" applyAlignment="1">
      <alignment vertical="center"/>
    </xf>
    <xf numFmtId="43" fontId="7" fillId="0" borderId="1" xfId="1" applyFont="1" applyFill="1" applyBorder="1" applyAlignment="1">
      <alignment vertical="center"/>
    </xf>
    <xf numFmtId="43" fontId="10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3" fontId="6" fillId="0" borderId="6" xfId="1" applyFont="1" applyBorder="1" applyAlignment="1">
      <alignment horizontal="center" vertical="center"/>
    </xf>
    <xf numFmtId="0" fontId="15" fillId="0" borderId="0" xfId="0" applyFont="1">
      <alignment vertical="center"/>
    </xf>
    <xf numFmtId="0" fontId="17" fillId="0" borderId="0" xfId="0" applyFont="1">
      <alignment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43" fontId="17" fillId="0" borderId="1" xfId="0" applyNumberFormat="1" applyFont="1" applyBorder="1" applyAlignment="1">
      <alignment horizontal="center" vertical="center"/>
    </xf>
    <xf numFmtId="10" fontId="17" fillId="0" borderId="1" xfId="0" applyNumberFormat="1" applyFont="1" applyBorder="1" applyAlignment="1">
      <alignment horizontal="center" vertical="center"/>
    </xf>
    <xf numFmtId="43" fontId="17" fillId="0" borderId="11" xfId="0" applyNumberFormat="1" applyFont="1" applyBorder="1" applyAlignment="1">
      <alignment horizontal="center" vertical="center"/>
    </xf>
    <xf numFmtId="43" fontId="17" fillId="0" borderId="13" xfId="0" applyNumberFormat="1" applyFont="1" applyBorder="1">
      <alignment vertical="center"/>
    </xf>
    <xf numFmtId="0" fontId="17" fillId="0" borderId="13" xfId="0" applyFont="1" applyBorder="1">
      <alignment vertical="center"/>
    </xf>
    <xf numFmtId="43" fontId="17" fillId="0" borderId="14" xfId="0" applyNumberFormat="1" applyFont="1" applyBorder="1">
      <alignment vertical="center"/>
    </xf>
    <xf numFmtId="0" fontId="17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3" fontId="7" fillId="0" borderId="11" xfId="1" applyFont="1" applyBorder="1">
      <alignment vertical="center"/>
    </xf>
    <xf numFmtId="0" fontId="19" fillId="0" borderId="0" xfId="0" applyFont="1">
      <alignment vertical="center"/>
    </xf>
    <xf numFmtId="43" fontId="7" fillId="0" borderId="1" xfId="0" applyNumberFormat="1" applyFont="1" applyBorder="1">
      <alignment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43" fontId="7" fillId="0" borderId="11" xfId="0" applyNumberFormat="1" applyFont="1" applyBorder="1">
      <alignment vertical="center"/>
    </xf>
    <xf numFmtId="43" fontId="6" fillId="0" borderId="1" xfId="0" applyNumberFormat="1" applyFont="1" applyBorder="1">
      <alignment vertical="center"/>
    </xf>
    <xf numFmtId="0" fontId="6" fillId="0" borderId="1" xfId="0" applyFont="1" applyBorder="1">
      <alignment vertical="center"/>
    </xf>
    <xf numFmtId="43" fontId="6" fillId="0" borderId="11" xfId="0" applyNumberFormat="1" applyFont="1" applyBorder="1">
      <alignment vertical="center"/>
    </xf>
    <xf numFmtId="43" fontId="6" fillId="0" borderId="13" xfId="0" applyNumberFormat="1" applyFont="1" applyBorder="1">
      <alignment vertical="center"/>
    </xf>
    <xf numFmtId="0" fontId="6" fillId="0" borderId="13" xfId="0" applyFont="1" applyBorder="1">
      <alignment vertical="center"/>
    </xf>
    <xf numFmtId="43" fontId="6" fillId="0" borderId="14" xfId="0" applyNumberFormat="1" applyFont="1" applyBorder="1">
      <alignment vertical="center"/>
    </xf>
    <xf numFmtId="43" fontId="20" fillId="4" borderId="1" xfId="0" applyNumberFormat="1" applyFont="1" applyFill="1" applyBorder="1">
      <alignment vertical="center"/>
    </xf>
    <xf numFmtId="0" fontId="7" fillId="0" borderId="11" xfId="0" applyFont="1" applyBorder="1">
      <alignment vertical="center"/>
    </xf>
    <xf numFmtId="43" fontId="20" fillId="4" borderId="13" xfId="0" applyNumberFormat="1" applyFont="1" applyFill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3" fontId="6" fillId="2" borderId="5" xfId="1" applyFont="1" applyFill="1" applyBorder="1" applyAlignment="1">
      <alignment horizontal="center" vertical="center"/>
    </xf>
    <xf numFmtId="43" fontId="6" fillId="2" borderId="6" xfId="1" applyFont="1" applyFill="1" applyBorder="1" applyAlignment="1">
      <alignment horizontal="center" vertical="center"/>
    </xf>
    <xf numFmtId="43" fontId="6" fillId="0" borderId="1" xfId="1" applyFont="1" applyBorder="1" applyAlignment="1">
      <alignment horizontal="center" vertical="center"/>
    </xf>
    <xf numFmtId="43" fontId="6" fillId="2" borderId="1" xfId="1" applyFont="1" applyFill="1" applyBorder="1" applyAlignment="1">
      <alignment horizontal="center" vertical="center"/>
    </xf>
    <xf numFmtId="43" fontId="6" fillId="0" borderId="5" xfId="1" applyFont="1" applyBorder="1" applyAlignment="1">
      <alignment horizontal="center" vertical="center"/>
    </xf>
    <xf numFmtId="43" fontId="6" fillId="0" borderId="6" xfId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5991;&#20214;/2016&#24180;&#25991;&#20214;/&#29983;&#20135;&#31649;&#29702;/4&#26376;&#29983;&#20135;/&#29983;&#20135;&#25104;&#2641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盐城汇总"/>
      <sheetName val="盐城明细"/>
      <sheetName val="上海汇总"/>
      <sheetName val="上海明细"/>
      <sheetName val="盐城库存明细"/>
      <sheetName val="上海库存明细"/>
    </sheetNames>
    <sheetDataSet>
      <sheetData sheetId="0" refreshError="1"/>
      <sheetData sheetId="1">
        <row r="90">
          <cell r="H90">
            <v>83.02</v>
          </cell>
          <cell r="L90">
            <v>0.12069380872079</v>
          </cell>
        </row>
        <row r="103">
          <cell r="L103">
            <v>0.12451145502790099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2"/>
  <sheetViews>
    <sheetView workbookViewId="0">
      <selection activeCell="C14" sqref="C14"/>
    </sheetView>
  </sheetViews>
  <sheetFormatPr defaultColWidth="9" defaultRowHeight="18" customHeight="1"/>
  <cols>
    <col min="1" max="1" width="5" style="3" bestFit="1" customWidth="1"/>
    <col min="2" max="2" width="9.42578125" style="4" bestFit="1" customWidth="1"/>
    <col min="3" max="3" width="11.85546875" style="4" customWidth="1"/>
    <col min="4" max="4" width="10.28515625" style="4" bestFit="1" customWidth="1"/>
    <col min="5" max="16384" width="9" style="4"/>
  </cols>
  <sheetData>
    <row r="1" spans="1:4" s="1" customFormat="1" ht="18" customHeight="1">
      <c r="A1" s="5" t="s">
        <v>0</v>
      </c>
      <c r="B1" s="5" t="s">
        <v>1</v>
      </c>
      <c r="C1" s="5" t="s">
        <v>2</v>
      </c>
      <c r="D1" s="5" t="s">
        <v>4</v>
      </c>
    </row>
    <row r="2" spans="1:4" ht="18" customHeight="1">
      <c r="A2" s="6">
        <v>1</v>
      </c>
      <c r="B2" s="7">
        <v>42005</v>
      </c>
      <c r="C2" s="20"/>
      <c r="D2" s="20">
        <v>2680</v>
      </c>
    </row>
    <row r="3" spans="1:4" ht="18" customHeight="1">
      <c r="A3" s="6">
        <v>2</v>
      </c>
      <c r="B3" s="7">
        <v>42006</v>
      </c>
      <c r="C3" s="20"/>
      <c r="D3" s="20">
        <v>2700</v>
      </c>
    </row>
    <row r="4" spans="1:4" ht="18" customHeight="1">
      <c r="A4" s="6">
        <v>3</v>
      </c>
      <c r="B4" s="7">
        <v>42007</v>
      </c>
      <c r="C4" s="20"/>
      <c r="D4" s="20">
        <v>2710</v>
      </c>
    </row>
    <row r="5" spans="1:4" ht="18" customHeight="1">
      <c r="A5" s="6">
        <v>4</v>
      </c>
      <c r="B5" s="7">
        <v>42008</v>
      </c>
      <c r="C5" s="20"/>
      <c r="D5" s="20">
        <v>2680</v>
      </c>
    </row>
    <row r="6" spans="1:4" ht="18" customHeight="1">
      <c r="A6" s="6">
        <v>5</v>
      </c>
      <c r="B6" s="7">
        <v>42009</v>
      </c>
      <c r="C6" s="20"/>
      <c r="D6" s="20">
        <v>2660</v>
      </c>
    </row>
    <row r="7" spans="1:4" ht="18" customHeight="1">
      <c r="A7" s="6">
        <v>6</v>
      </c>
      <c r="B7" s="7">
        <v>42010</v>
      </c>
      <c r="C7" s="20"/>
      <c r="D7" s="20">
        <v>2738</v>
      </c>
    </row>
    <row r="8" spans="1:4" ht="18" customHeight="1">
      <c r="A8" s="6">
        <v>7</v>
      </c>
      <c r="B8" s="7">
        <v>42011</v>
      </c>
      <c r="C8" s="20"/>
      <c r="D8" s="20">
        <v>2680</v>
      </c>
    </row>
    <row r="9" spans="1:4" ht="18" customHeight="1">
      <c r="A9" s="6">
        <v>8</v>
      </c>
      <c r="B9" s="7">
        <v>42012</v>
      </c>
      <c r="C9" s="20"/>
      <c r="D9" s="20">
        <v>2700</v>
      </c>
    </row>
    <row r="10" spans="1:4" ht="18" customHeight="1">
      <c r="A10" s="6">
        <v>9</v>
      </c>
      <c r="B10" s="7">
        <v>42013</v>
      </c>
      <c r="C10" s="20"/>
      <c r="D10" s="20">
        <v>2710</v>
      </c>
    </row>
    <row r="11" spans="1:4" ht="18" customHeight="1">
      <c r="A11" s="6">
        <v>10</v>
      </c>
      <c r="B11" s="7">
        <v>42014</v>
      </c>
      <c r="C11" s="20"/>
      <c r="D11" s="20">
        <v>2680</v>
      </c>
    </row>
    <row r="12" spans="1:4" ht="18" customHeight="1">
      <c r="A12" s="6">
        <v>11</v>
      </c>
      <c r="B12" s="7">
        <v>42015</v>
      </c>
      <c r="C12" s="20"/>
      <c r="D12" s="20">
        <v>2660</v>
      </c>
    </row>
    <row r="13" spans="1:4" ht="18" customHeight="1">
      <c r="A13" s="6">
        <v>12</v>
      </c>
      <c r="B13" s="7">
        <v>42016</v>
      </c>
      <c r="C13" s="20"/>
      <c r="D13" s="20">
        <v>2738</v>
      </c>
    </row>
    <row r="14" spans="1:4" ht="18" customHeight="1">
      <c r="A14" s="6">
        <v>13</v>
      </c>
      <c r="B14" s="7">
        <v>42017</v>
      </c>
      <c r="C14" s="20"/>
      <c r="D14" s="20">
        <v>2680</v>
      </c>
    </row>
    <row r="15" spans="1:4" ht="18" customHeight="1">
      <c r="A15" s="6">
        <v>14</v>
      </c>
      <c r="B15" s="7">
        <v>42018</v>
      </c>
      <c r="C15" s="20"/>
      <c r="D15" s="20">
        <v>2700</v>
      </c>
    </row>
    <row r="16" spans="1:4" ht="18" customHeight="1">
      <c r="A16" s="6">
        <v>15</v>
      </c>
      <c r="B16" s="7">
        <v>42019</v>
      </c>
      <c r="C16" s="20"/>
      <c r="D16" s="20">
        <v>2800</v>
      </c>
    </row>
    <row r="17" spans="1:4" ht="18" customHeight="1">
      <c r="A17" s="6">
        <v>16</v>
      </c>
      <c r="B17" s="7">
        <v>42020</v>
      </c>
      <c r="C17" s="20"/>
      <c r="D17" s="20">
        <v>2680</v>
      </c>
    </row>
    <row r="18" spans="1:4" ht="18" customHeight="1">
      <c r="A18" s="6">
        <v>17</v>
      </c>
      <c r="B18" s="7">
        <v>42021</v>
      </c>
      <c r="C18" s="20"/>
      <c r="D18" s="20">
        <v>2660</v>
      </c>
    </row>
    <row r="19" spans="1:4" ht="18" customHeight="1">
      <c r="A19" s="6">
        <v>18</v>
      </c>
      <c r="B19" s="7">
        <v>42022</v>
      </c>
      <c r="C19" s="20"/>
      <c r="D19" s="20">
        <v>2738</v>
      </c>
    </row>
    <row r="20" spans="1:4" ht="18" customHeight="1">
      <c r="A20" s="6">
        <v>19</v>
      </c>
      <c r="B20" s="7">
        <v>42023</v>
      </c>
      <c r="C20" s="20"/>
      <c r="D20" s="20">
        <v>2660</v>
      </c>
    </row>
    <row r="21" spans="1:4" ht="18" customHeight="1">
      <c r="A21" s="6">
        <v>20</v>
      </c>
      <c r="B21" s="7">
        <v>42024</v>
      </c>
      <c r="C21" s="20"/>
      <c r="D21" s="20">
        <v>2738</v>
      </c>
    </row>
    <row r="22" spans="1:4" ht="18" customHeight="1">
      <c r="A22" s="6">
        <v>21</v>
      </c>
      <c r="B22" s="7">
        <v>42025</v>
      </c>
      <c r="C22" s="20"/>
      <c r="D22" s="20">
        <v>2680</v>
      </c>
    </row>
    <row r="23" spans="1:4" ht="18" customHeight="1">
      <c r="A23" s="6">
        <v>22</v>
      </c>
      <c r="B23" s="7">
        <v>42026</v>
      </c>
      <c r="C23" s="20"/>
      <c r="D23" s="20">
        <v>2700</v>
      </c>
    </row>
    <row r="24" spans="1:4" ht="18" customHeight="1">
      <c r="A24" s="6">
        <v>23</v>
      </c>
      <c r="B24" s="7">
        <v>42027</v>
      </c>
      <c r="C24" s="20"/>
      <c r="D24" s="20">
        <v>2800</v>
      </c>
    </row>
    <row r="25" spans="1:4" ht="18" customHeight="1">
      <c r="A25" s="6">
        <v>24</v>
      </c>
      <c r="B25" s="7">
        <v>42028</v>
      </c>
      <c r="C25" s="20"/>
      <c r="D25" s="20">
        <v>2800</v>
      </c>
    </row>
    <row r="26" spans="1:4" ht="18" customHeight="1">
      <c r="A26" s="6">
        <v>25</v>
      </c>
      <c r="B26" s="7">
        <v>42029</v>
      </c>
      <c r="C26" s="20"/>
      <c r="D26" s="20">
        <v>2885</v>
      </c>
    </row>
    <row r="27" spans="1:4" ht="18" customHeight="1">
      <c r="A27" s="6">
        <v>26</v>
      </c>
      <c r="B27" s="7">
        <v>42030</v>
      </c>
      <c r="C27" s="20"/>
      <c r="D27" s="20">
        <v>2800</v>
      </c>
    </row>
    <row r="28" spans="1:4" ht="18" customHeight="1">
      <c r="A28" s="6">
        <v>27</v>
      </c>
      <c r="B28" s="7">
        <v>42031</v>
      </c>
      <c r="C28" s="20"/>
      <c r="D28" s="20">
        <v>2780</v>
      </c>
    </row>
    <row r="29" spans="1:4" ht="18" customHeight="1">
      <c r="A29" s="6">
        <v>28</v>
      </c>
      <c r="B29" s="7">
        <v>42032</v>
      </c>
      <c r="C29" s="20"/>
      <c r="D29" s="20">
        <v>2770</v>
      </c>
    </row>
    <row r="30" spans="1:4" ht="18" customHeight="1">
      <c r="A30" s="6">
        <v>29</v>
      </c>
      <c r="B30" s="7">
        <v>42033</v>
      </c>
      <c r="C30" s="20"/>
      <c r="D30" s="20">
        <v>2750</v>
      </c>
    </row>
    <row r="31" spans="1:4" ht="18" customHeight="1">
      <c r="A31" s="6">
        <v>30</v>
      </c>
      <c r="B31" s="7">
        <v>42034</v>
      </c>
      <c r="C31" s="20"/>
      <c r="D31" s="20">
        <v>2730</v>
      </c>
    </row>
    <row r="32" spans="1:4" ht="18" customHeight="1">
      <c r="A32" s="6">
        <v>31</v>
      </c>
      <c r="B32" s="7">
        <v>42035</v>
      </c>
      <c r="C32" s="20"/>
      <c r="D32" s="20">
        <v>2770</v>
      </c>
    </row>
  </sheetData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workbookViewId="0">
      <pane ySplit="2" topLeftCell="A3" activePane="bottomLeft" state="frozen"/>
      <selection pane="bottomLeft" activeCell="D5" sqref="D5"/>
    </sheetView>
  </sheetViews>
  <sheetFormatPr defaultColWidth="9" defaultRowHeight="18" customHeight="1"/>
  <cols>
    <col min="1" max="1" width="5.42578125" style="8" customWidth="1"/>
    <col min="2" max="2" width="11.42578125" style="8" customWidth="1"/>
    <col min="3" max="3" width="10.5703125" style="14" customWidth="1"/>
    <col min="4" max="4" width="10.28515625" style="14" bestFit="1" customWidth="1"/>
    <col min="5" max="5" width="12" style="14" customWidth="1"/>
    <col min="6" max="6" width="14.42578125" style="14" customWidth="1"/>
    <col min="7" max="7" width="9.85546875" style="8" customWidth="1"/>
    <col min="8" max="8" width="9.5703125" style="14" customWidth="1"/>
    <col min="9" max="9" width="12.28515625" style="8" customWidth="1"/>
    <col min="10" max="10" width="12.28515625" style="14" bestFit="1" customWidth="1"/>
    <col min="11" max="11" width="9.140625" style="8" bestFit="1" customWidth="1"/>
    <col min="12" max="12" width="10.28515625" style="8" bestFit="1" customWidth="1"/>
    <col min="13" max="13" width="11.42578125" style="8" customWidth="1"/>
    <col min="14" max="14" width="12.5703125" style="8" customWidth="1"/>
    <col min="15" max="16384" width="9" style="8"/>
  </cols>
  <sheetData>
    <row r="1" spans="1:14" ht="18" customHeight="1">
      <c r="A1" s="9" t="s">
        <v>18</v>
      </c>
    </row>
    <row r="2" spans="1:14" s="1" customFormat="1" ht="18" customHeight="1">
      <c r="A2" s="5" t="s">
        <v>0</v>
      </c>
      <c r="B2" s="5" t="s">
        <v>1</v>
      </c>
      <c r="C2" s="21" t="s">
        <v>10</v>
      </c>
      <c r="D2" s="21" t="s">
        <v>11</v>
      </c>
      <c r="E2" s="21" t="s">
        <v>46</v>
      </c>
      <c r="F2" s="21" t="s">
        <v>45</v>
      </c>
      <c r="G2" s="5" t="s">
        <v>14</v>
      </c>
      <c r="H2" s="21" t="s">
        <v>47</v>
      </c>
      <c r="I2" s="5" t="s">
        <v>15</v>
      </c>
      <c r="J2" s="21" t="s">
        <v>12</v>
      </c>
      <c r="K2" s="5" t="s">
        <v>7</v>
      </c>
      <c r="L2" s="5" t="s">
        <v>8</v>
      </c>
      <c r="M2" s="5" t="s">
        <v>13</v>
      </c>
      <c r="N2" s="5" t="s">
        <v>16</v>
      </c>
    </row>
    <row r="3" spans="1:14" ht="18" customHeight="1">
      <c r="A3" s="15">
        <v>1</v>
      </c>
      <c r="B3" s="7">
        <v>42460</v>
      </c>
      <c r="C3" s="20">
        <v>2680</v>
      </c>
      <c r="D3" s="20">
        <v>0</v>
      </c>
      <c r="E3" s="20"/>
      <c r="F3" s="20">
        <f>销售订单执行报表!F44/0.9</f>
        <v>2294.4444444444443</v>
      </c>
      <c r="G3" s="11"/>
      <c r="H3" s="20"/>
      <c r="I3" s="11"/>
      <c r="J3" s="20">
        <v>0</v>
      </c>
      <c r="K3" s="11"/>
      <c r="L3" s="11"/>
      <c r="M3" s="11"/>
      <c r="N3" s="10"/>
    </row>
    <row r="4" spans="1:14" ht="18" customHeight="1">
      <c r="A4" s="15">
        <v>2</v>
      </c>
      <c r="B4" s="7">
        <v>42095</v>
      </c>
      <c r="C4" s="20">
        <f>采购市场价基础表!D2</f>
        <v>2680</v>
      </c>
      <c r="D4" s="20">
        <f>工单原料耗用!R15+库存原料!E6</f>
        <v>201.89130434782609</v>
      </c>
      <c r="E4" s="20">
        <v>20</v>
      </c>
      <c r="F4" s="20">
        <f>F3+G4-H4</f>
        <v>2288.333333333333</v>
      </c>
      <c r="G4" s="11">
        <f>49.5/0.9</f>
        <v>55</v>
      </c>
      <c r="H4" s="20">
        <f>工单原料耗用!O15/0.9</f>
        <v>61.111111111111107</v>
      </c>
      <c r="I4" s="11">
        <f>D4-E4-F4</f>
        <v>-2106.442028985507</v>
      </c>
      <c r="J4" s="20">
        <f t="shared" ref="J4:J33" si="0">(C4-C3)*I3</f>
        <v>0</v>
      </c>
      <c r="K4" s="11">
        <v>100</v>
      </c>
      <c r="L4" s="11">
        <v>2650</v>
      </c>
      <c r="M4" s="11">
        <f t="shared" ref="M4:M34" si="1">(C4-L4)*K4</f>
        <v>3000</v>
      </c>
      <c r="N4" s="12">
        <f>M4+J4</f>
        <v>3000</v>
      </c>
    </row>
    <row r="5" spans="1:14" ht="18" customHeight="1">
      <c r="A5" s="15">
        <v>3</v>
      </c>
      <c r="B5" s="7">
        <v>42096</v>
      </c>
      <c r="C5" s="20">
        <f>采购市场价基础表!D3</f>
        <v>2700</v>
      </c>
      <c r="D5" s="20">
        <v>1000</v>
      </c>
      <c r="E5" s="20">
        <v>20</v>
      </c>
      <c r="F5" s="20">
        <v>2337.2222222222222</v>
      </c>
      <c r="G5" s="11">
        <f>49.5/0.99</f>
        <v>50</v>
      </c>
      <c r="H5" s="20"/>
      <c r="I5" s="11">
        <f>D5-E5-F5</f>
        <v>-1357.2222222222222</v>
      </c>
      <c r="J5" s="20">
        <f t="shared" si="0"/>
        <v>-42128.840579710144</v>
      </c>
      <c r="K5" s="11"/>
      <c r="L5" s="11"/>
      <c r="M5" s="11">
        <f t="shared" si="1"/>
        <v>0</v>
      </c>
      <c r="N5" s="12">
        <f t="shared" ref="N5:N34" si="2">M5+J5</f>
        <v>-42128.840579710144</v>
      </c>
    </row>
    <row r="6" spans="1:14" ht="18" customHeight="1">
      <c r="A6" s="15">
        <v>4</v>
      </c>
      <c r="B6" s="7">
        <v>42097</v>
      </c>
      <c r="C6" s="20">
        <f>采购市场价基础表!D4</f>
        <v>2710</v>
      </c>
      <c r="D6" s="20">
        <v>1200</v>
      </c>
      <c r="E6" s="20"/>
      <c r="F6" s="20">
        <v>2337.2222222222222</v>
      </c>
      <c r="G6" s="11"/>
      <c r="H6" s="20"/>
      <c r="I6" s="11">
        <f t="shared" ref="I6:I34" si="3">D6-E6-F6</f>
        <v>-1137.2222222222222</v>
      </c>
      <c r="J6" s="20">
        <f t="shared" si="0"/>
        <v>-13572.222222222223</v>
      </c>
      <c r="K6" s="11"/>
      <c r="L6" s="11"/>
      <c r="M6" s="11">
        <f t="shared" si="1"/>
        <v>0</v>
      </c>
      <c r="N6" s="12">
        <f t="shared" si="2"/>
        <v>-13572.222222222223</v>
      </c>
    </row>
    <row r="7" spans="1:14" ht="18" customHeight="1">
      <c r="A7" s="15">
        <v>5</v>
      </c>
      <c r="B7" s="7">
        <v>42098</v>
      </c>
      <c r="C7" s="20">
        <f>采购市场价基础表!D5</f>
        <v>2680</v>
      </c>
      <c r="D7" s="20">
        <v>1500</v>
      </c>
      <c r="E7" s="20"/>
      <c r="F7" s="20">
        <v>2757.2222222222222</v>
      </c>
      <c r="G7" s="11">
        <v>420</v>
      </c>
      <c r="H7" s="20"/>
      <c r="I7" s="11">
        <f t="shared" si="3"/>
        <v>-1257.2222222222222</v>
      </c>
      <c r="J7" s="20">
        <f t="shared" si="0"/>
        <v>34116.666666666664</v>
      </c>
      <c r="K7" s="11"/>
      <c r="L7" s="11"/>
      <c r="M7" s="11">
        <f t="shared" si="1"/>
        <v>0</v>
      </c>
      <c r="N7" s="12">
        <f t="shared" si="2"/>
        <v>34116.666666666664</v>
      </c>
    </row>
    <row r="8" spans="1:14" ht="18" customHeight="1">
      <c r="A8" s="15">
        <v>6</v>
      </c>
      <c r="B8" s="7">
        <v>42099</v>
      </c>
      <c r="C8" s="20">
        <f>采购市场价基础表!D6</f>
        <v>2660</v>
      </c>
      <c r="D8" s="20">
        <v>1200</v>
      </c>
      <c r="E8" s="20"/>
      <c r="F8" s="20">
        <v>2757.2222222222222</v>
      </c>
      <c r="G8" s="11"/>
      <c r="H8" s="20"/>
      <c r="I8" s="11">
        <f t="shared" si="3"/>
        <v>-1557.2222222222222</v>
      </c>
      <c r="J8" s="20">
        <f t="shared" si="0"/>
        <v>25144.444444444445</v>
      </c>
      <c r="K8" s="11"/>
      <c r="L8" s="11"/>
      <c r="M8" s="11">
        <f t="shared" si="1"/>
        <v>0</v>
      </c>
      <c r="N8" s="12">
        <f t="shared" si="2"/>
        <v>25144.444444444445</v>
      </c>
    </row>
    <row r="9" spans="1:14" ht="18" customHeight="1">
      <c r="A9" s="15">
        <v>7</v>
      </c>
      <c r="B9" s="7">
        <v>42100</v>
      </c>
      <c r="C9" s="20">
        <f>采购市场价基础表!D7</f>
        <v>2738</v>
      </c>
      <c r="D9" s="20">
        <v>800</v>
      </c>
      <c r="E9" s="20"/>
      <c r="F9" s="20">
        <v>2757.2222222222222</v>
      </c>
      <c r="G9" s="11"/>
      <c r="H9" s="20"/>
      <c r="I9" s="11">
        <f t="shared" si="3"/>
        <v>-1957.2222222222222</v>
      </c>
      <c r="J9" s="20">
        <f t="shared" si="0"/>
        <v>-121463.33333333333</v>
      </c>
      <c r="K9" s="11"/>
      <c r="L9" s="11"/>
      <c r="M9" s="11">
        <f t="shared" si="1"/>
        <v>0</v>
      </c>
      <c r="N9" s="12">
        <f t="shared" si="2"/>
        <v>-121463.33333333333</v>
      </c>
    </row>
    <row r="10" spans="1:14" ht="18" customHeight="1">
      <c r="A10" s="15">
        <v>8</v>
      </c>
      <c r="B10" s="7">
        <v>42101</v>
      </c>
      <c r="C10" s="20">
        <f>采购市场价基础表!D8</f>
        <v>2680</v>
      </c>
      <c r="D10" s="20">
        <v>800</v>
      </c>
      <c r="E10" s="20"/>
      <c r="F10" s="20">
        <v>2636.0101010101012</v>
      </c>
      <c r="G10" s="11"/>
      <c r="H10" s="20">
        <f>120/0.99</f>
        <v>121.21212121212122</v>
      </c>
      <c r="I10" s="11">
        <f t="shared" si="3"/>
        <v>-1836.0101010101012</v>
      </c>
      <c r="J10" s="20">
        <f t="shared" si="0"/>
        <v>113518.88888888889</v>
      </c>
      <c r="K10" s="11"/>
      <c r="L10" s="11"/>
      <c r="M10" s="11">
        <f t="shared" si="1"/>
        <v>0</v>
      </c>
      <c r="N10" s="12">
        <f t="shared" si="2"/>
        <v>113518.88888888889</v>
      </c>
    </row>
    <row r="11" spans="1:14" ht="18" customHeight="1">
      <c r="A11" s="15">
        <v>9</v>
      </c>
      <c r="B11" s="7">
        <v>42102</v>
      </c>
      <c r="C11" s="20">
        <f>采购市场价基础表!D9</f>
        <v>2700</v>
      </c>
      <c r="D11" s="20">
        <v>800</v>
      </c>
      <c r="E11" s="20"/>
      <c r="F11" s="20">
        <v>2636.0101010101012</v>
      </c>
      <c r="G11" s="11"/>
      <c r="H11" s="20"/>
      <c r="I11" s="11">
        <f t="shared" si="3"/>
        <v>-1836.0101010101012</v>
      </c>
      <c r="J11" s="20">
        <f t="shared" si="0"/>
        <v>-36720.202020202021</v>
      </c>
      <c r="K11" s="11"/>
      <c r="L11" s="11"/>
      <c r="M11" s="11">
        <f t="shared" si="1"/>
        <v>0</v>
      </c>
      <c r="N11" s="12">
        <f t="shared" si="2"/>
        <v>-36720.202020202021</v>
      </c>
    </row>
    <row r="12" spans="1:14" ht="18" customHeight="1">
      <c r="A12" s="15">
        <v>10</v>
      </c>
      <c r="B12" s="7">
        <v>42103</v>
      </c>
      <c r="C12" s="20">
        <f>采购市场价基础表!D10</f>
        <v>2710</v>
      </c>
      <c r="D12" s="20">
        <v>800</v>
      </c>
      <c r="E12" s="20">
        <v>55</v>
      </c>
      <c r="F12" s="20">
        <v>2636.0101010101012</v>
      </c>
      <c r="G12" s="11"/>
      <c r="H12" s="20"/>
      <c r="I12" s="11">
        <f t="shared" si="3"/>
        <v>-1891.0101010101012</v>
      </c>
      <c r="J12" s="20">
        <f t="shared" si="0"/>
        <v>-18360.101010101011</v>
      </c>
      <c r="K12" s="11">
        <v>700</v>
      </c>
      <c r="L12" s="11">
        <v>2700</v>
      </c>
      <c r="M12" s="11">
        <f t="shared" si="1"/>
        <v>7000</v>
      </c>
      <c r="N12" s="12">
        <f t="shared" si="2"/>
        <v>-11360.101010101011</v>
      </c>
    </row>
    <row r="13" spans="1:14" ht="18" customHeight="1">
      <c r="A13" s="15">
        <v>11</v>
      </c>
      <c r="B13" s="7">
        <v>42104</v>
      </c>
      <c r="C13" s="20">
        <f>采购市场价基础表!D11</f>
        <v>2680</v>
      </c>
      <c r="D13" s="20">
        <v>800</v>
      </c>
      <c r="E13" s="20"/>
      <c r="F13" s="20">
        <v>2636.0101010101012</v>
      </c>
      <c r="G13" s="11"/>
      <c r="H13" s="20"/>
      <c r="I13" s="11">
        <f t="shared" si="3"/>
        <v>-1836.0101010101012</v>
      </c>
      <c r="J13" s="20">
        <f t="shared" si="0"/>
        <v>56730.303030303032</v>
      </c>
      <c r="K13" s="11"/>
      <c r="L13" s="11"/>
      <c r="M13" s="11">
        <f t="shared" si="1"/>
        <v>0</v>
      </c>
      <c r="N13" s="12">
        <f t="shared" si="2"/>
        <v>56730.303030303032</v>
      </c>
    </row>
    <row r="14" spans="1:14" ht="18" customHeight="1">
      <c r="A14" s="15">
        <v>12</v>
      </c>
      <c r="B14" s="7">
        <v>42105</v>
      </c>
      <c r="C14" s="20">
        <f>采购市场价基础表!D12</f>
        <v>2660</v>
      </c>
      <c r="D14" s="20">
        <v>800</v>
      </c>
      <c r="E14" s="20"/>
      <c r="F14" s="20">
        <v>2736.0101010101012</v>
      </c>
      <c r="G14" s="11">
        <f>99/0.99</f>
        <v>100</v>
      </c>
      <c r="H14" s="20"/>
      <c r="I14" s="11">
        <f t="shared" si="3"/>
        <v>-1936.0101010101012</v>
      </c>
      <c r="J14" s="20">
        <f t="shared" si="0"/>
        <v>36720.202020202021</v>
      </c>
      <c r="K14" s="11"/>
      <c r="L14" s="11"/>
      <c r="M14" s="11">
        <f t="shared" si="1"/>
        <v>0</v>
      </c>
      <c r="N14" s="12">
        <f t="shared" si="2"/>
        <v>36720.202020202021</v>
      </c>
    </row>
    <row r="15" spans="1:14" ht="18" customHeight="1">
      <c r="A15" s="15">
        <v>13</v>
      </c>
      <c r="B15" s="7">
        <v>42106</v>
      </c>
      <c r="C15" s="20">
        <f>采购市场价基础表!D13</f>
        <v>2738</v>
      </c>
      <c r="D15" s="20">
        <v>800</v>
      </c>
      <c r="E15" s="20"/>
      <c r="F15" s="20">
        <v>2574.3939393939395</v>
      </c>
      <c r="G15" s="11"/>
      <c r="H15" s="20">
        <f>160/0.99</f>
        <v>161.61616161616161</v>
      </c>
      <c r="I15" s="11">
        <f t="shared" si="3"/>
        <v>-1774.3939393939395</v>
      </c>
      <c r="J15" s="20">
        <f t="shared" si="0"/>
        <v>-151008.7878787879</v>
      </c>
      <c r="K15" s="11"/>
      <c r="L15" s="11"/>
      <c r="M15" s="11">
        <f t="shared" si="1"/>
        <v>0</v>
      </c>
      <c r="N15" s="12">
        <f t="shared" si="2"/>
        <v>-151008.7878787879</v>
      </c>
    </row>
    <row r="16" spans="1:14" ht="18" customHeight="1">
      <c r="A16" s="15">
        <v>14</v>
      </c>
      <c r="B16" s="7">
        <v>42107</v>
      </c>
      <c r="C16" s="20">
        <f>采购市场价基础表!D14</f>
        <v>2680</v>
      </c>
      <c r="D16" s="20">
        <v>800</v>
      </c>
      <c r="E16" s="20">
        <v>22</v>
      </c>
      <c r="F16" s="20">
        <v>2774.3939393939395</v>
      </c>
      <c r="G16" s="11">
        <f>198/0.99</f>
        <v>200</v>
      </c>
      <c r="H16" s="20"/>
      <c r="I16" s="11">
        <f>D16-E16-F16</f>
        <v>-1996.3939393939395</v>
      </c>
      <c r="J16" s="20">
        <f t="shared" si="0"/>
        <v>102914.84848484849</v>
      </c>
      <c r="K16" s="11">
        <v>80</v>
      </c>
      <c r="L16" s="11">
        <v>2800</v>
      </c>
      <c r="M16" s="11">
        <f t="shared" si="1"/>
        <v>-9600</v>
      </c>
      <c r="N16" s="12">
        <f t="shared" si="2"/>
        <v>93314.848484848495</v>
      </c>
    </row>
    <row r="17" spans="1:14" ht="18" customHeight="1">
      <c r="A17" s="15">
        <v>15</v>
      </c>
      <c r="B17" s="7">
        <v>42108</v>
      </c>
      <c r="C17" s="20">
        <f>采购市场价基础表!D15</f>
        <v>2700</v>
      </c>
      <c r="D17" s="20">
        <v>800</v>
      </c>
      <c r="E17" s="20"/>
      <c r="F17" s="20">
        <v>2774.3939393939395</v>
      </c>
      <c r="G17" s="11"/>
      <c r="H17" s="20"/>
      <c r="I17" s="11">
        <f t="shared" si="3"/>
        <v>-1974.3939393939395</v>
      </c>
      <c r="J17" s="20">
        <f t="shared" si="0"/>
        <v>-39927.878787878792</v>
      </c>
      <c r="K17" s="11"/>
      <c r="L17" s="11"/>
      <c r="M17" s="11">
        <f t="shared" si="1"/>
        <v>0</v>
      </c>
      <c r="N17" s="12">
        <f t="shared" si="2"/>
        <v>-39927.878787878792</v>
      </c>
    </row>
    <row r="18" spans="1:14" ht="18" customHeight="1">
      <c r="A18" s="15">
        <v>16</v>
      </c>
      <c r="B18" s="7">
        <v>42109</v>
      </c>
      <c r="C18" s="20">
        <f>采购市场价基础表!D16</f>
        <v>2800</v>
      </c>
      <c r="D18" s="20">
        <v>800</v>
      </c>
      <c r="E18" s="20"/>
      <c r="F18" s="20">
        <v>2894.3939393939395</v>
      </c>
      <c r="G18" s="11">
        <v>120</v>
      </c>
      <c r="H18" s="20"/>
      <c r="I18" s="11">
        <f t="shared" si="3"/>
        <v>-2094.3939393939395</v>
      </c>
      <c r="J18" s="20">
        <f t="shared" si="0"/>
        <v>-197439.39393939395</v>
      </c>
      <c r="K18" s="11"/>
      <c r="L18" s="11"/>
      <c r="M18" s="11">
        <f t="shared" si="1"/>
        <v>0</v>
      </c>
      <c r="N18" s="12">
        <f t="shared" si="2"/>
        <v>-197439.39393939395</v>
      </c>
    </row>
    <row r="19" spans="1:14" ht="18" customHeight="1">
      <c r="A19" s="15">
        <v>17</v>
      </c>
      <c r="B19" s="7">
        <v>42110</v>
      </c>
      <c r="C19" s="20">
        <f>采购市场价基础表!D17</f>
        <v>2680</v>
      </c>
      <c r="D19" s="20">
        <v>800</v>
      </c>
      <c r="E19" s="20"/>
      <c r="F19" s="20">
        <v>2974.3939393939395</v>
      </c>
      <c r="G19" s="11">
        <v>80</v>
      </c>
      <c r="H19" s="20"/>
      <c r="I19" s="11">
        <f t="shared" si="3"/>
        <v>-2174.3939393939395</v>
      </c>
      <c r="J19" s="20">
        <f t="shared" si="0"/>
        <v>251327.27272727274</v>
      </c>
      <c r="K19" s="11"/>
      <c r="L19" s="11"/>
      <c r="M19" s="11">
        <f t="shared" si="1"/>
        <v>0</v>
      </c>
      <c r="N19" s="12">
        <f t="shared" si="2"/>
        <v>251327.27272727274</v>
      </c>
    </row>
    <row r="20" spans="1:14" ht="18" customHeight="1">
      <c r="A20" s="15">
        <v>18</v>
      </c>
      <c r="B20" s="7">
        <v>42111</v>
      </c>
      <c r="C20" s="20">
        <f>采购市场价基础表!D18</f>
        <v>2660</v>
      </c>
      <c r="D20" s="20">
        <v>800</v>
      </c>
      <c r="E20" s="20"/>
      <c r="F20" s="20">
        <v>2862.0707070707072</v>
      </c>
      <c r="G20" s="11">
        <v>120</v>
      </c>
      <c r="H20" s="20">
        <f>230/0.99</f>
        <v>232.32323232323233</v>
      </c>
      <c r="I20" s="11">
        <f t="shared" si="3"/>
        <v>-2062.0707070707072</v>
      </c>
      <c r="J20" s="20">
        <f t="shared" si="0"/>
        <v>43487.878787878792</v>
      </c>
      <c r="K20" s="10"/>
      <c r="L20" s="10"/>
      <c r="M20" s="11">
        <f t="shared" si="1"/>
        <v>0</v>
      </c>
      <c r="N20" s="12">
        <f t="shared" si="2"/>
        <v>43487.878787878792</v>
      </c>
    </row>
    <row r="21" spans="1:14" ht="18" customHeight="1">
      <c r="A21" s="15">
        <v>19</v>
      </c>
      <c r="B21" s="7">
        <v>42112</v>
      </c>
      <c r="C21" s="20">
        <f>采购市场价基础表!D19</f>
        <v>2738</v>
      </c>
      <c r="D21" s="20">
        <v>800</v>
      </c>
      <c r="E21" s="20">
        <v>50</v>
      </c>
      <c r="F21" s="20">
        <v>2942.0707070707072</v>
      </c>
      <c r="G21" s="11">
        <v>80</v>
      </c>
      <c r="H21" s="20"/>
      <c r="I21" s="11">
        <f t="shared" si="3"/>
        <v>-2192.0707070707072</v>
      </c>
      <c r="J21" s="20">
        <f t="shared" si="0"/>
        <v>-160841.51515151517</v>
      </c>
      <c r="K21" s="10"/>
      <c r="L21" s="10"/>
      <c r="M21" s="11">
        <f t="shared" si="1"/>
        <v>0</v>
      </c>
      <c r="N21" s="12">
        <f t="shared" si="2"/>
        <v>-160841.51515151517</v>
      </c>
    </row>
    <row r="22" spans="1:14" ht="18" customHeight="1">
      <c r="A22" s="15">
        <v>20</v>
      </c>
      <c r="B22" s="7">
        <v>42113</v>
      </c>
      <c r="C22" s="20">
        <f>采购市场价基础表!D20</f>
        <v>2660</v>
      </c>
      <c r="D22" s="20">
        <v>800</v>
      </c>
      <c r="E22" s="20"/>
      <c r="F22" s="20">
        <v>2942.0707070707072</v>
      </c>
      <c r="G22" s="11"/>
      <c r="H22" s="20"/>
      <c r="I22" s="11">
        <f t="shared" si="3"/>
        <v>-2142.0707070707072</v>
      </c>
      <c r="J22" s="20">
        <f t="shared" si="0"/>
        <v>170981.51515151517</v>
      </c>
      <c r="K22" s="10"/>
      <c r="L22" s="10"/>
      <c r="M22" s="11">
        <f t="shared" si="1"/>
        <v>0</v>
      </c>
      <c r="N22" s="12">
        <f t="shared" si="2"/>
        <v>170981.51515151517</v>
      </c>
    </row>
    <row r="23" spans="1:14" ht="18" customHeight="1">
      <c r="A23" s="15">
        <v>21</v>
      </c>
      <c r="B23" s="7">
        <v>42114</v>
      </c>
      <c r="C23" s="20">
        <f>采购市场价基础表!D21</f>
        <v>2738</v>
      </c>
      <c r="D23" s="20">
        <v>800</v>
      </c>
      <c r="E23" s="20"/>
      <c r="F23" s="20">
        <v>2942.0707070707072</v>
      </c>
      <c r="G23" s="11"/>
      <c r="H23" s="20"/>
      <c r="I23" s="11">
        <f t="shared" si="3"/>
        <v>-2142.0707070707072</v>
      </c>
      <c r="J23" s="20">
        <f t="shared" si="0"/>
        <v>-167081.51515151517</v>
      </c>
      <c r="K23" s="10"/>
      <c r="L23" s="10"/>
      <c r="M23" s="11">
        <f t="shared" si="1"/>
        <v>0</v>
      </c>
      <c r="N23" s="12">
        <f t="shared" si="2"/>
        <v>-167081.51515151517</v>
      </c>
    </row>
    <row r="24" spans="1:14" ht="18" customHeight="1">
      <c r="A24" s="15">
        <v>22</v>
      </c>
      <c r="B24" s="7">
        <v>42115</v>
      </c>
      <c r="C24" s="20">
        <f>采购市场价基础表!D22</f>
        <v>2680</v>
      </c>
      <c r="D24" s="20">
        <v>800</v>
      </c>
      <c r="E24" s="20"/>
      <c r="F24" s="20">
        <v>2942.0707070707072</v>
      </c>
      <c r="G24" s="11"/>
      <c r="H24" s="20"/>
      <c r="I24" s="11">
        <f t="shared" si="3"/>
        <v>-2142.0707070707072</v>
      </c>
      <c r="J24" s="20">
        <f t="shared" si="0"/>
        <v>124240.10101010102</v>
      </c>
      <c r="K24" s="10"/>
      <c r="L24" s="10"/>
      <c r="M24" s="11">
        <f t="shared" si="1"/>
        <v>0</v>
      </c>
      <c r="N24" s="12">
        <f t="shared" si="2"/>
        <v>124240.10101010102</v>
      </c>
    </row>
    <row r="25" spans="1:14" ht="18" customHeight="1">
      <c r="A25" s="15">
        <v>23</v>
      </c>
      <c r="B25" s="7">
        <v>42116</v>
      </c>
      <c r="C25" s="20">
        <f>采购市场价基础表!D23</f>
        <v>2700</v>
      </c>
      <c r="D25" s="20">
        <v>800</v>
      </c>
      <c r="E25" s="20"/>
      <c r="F25" s="20">
        <v>2942.0707070707072</v>
      </c>
      <c r="G25" s="11"/>
      <c r="H25" s="20"/>
      <c r="I25" s="11">
        <f t="shared" si="3"/>
        <v>-2142.0707070707072</v>
      </c>
      <c r="J25" s="20">
        <f t="shared" si="0"/>
        <v>-42841.414141414141</v>
      </c>
      <c r="K25" s="10"/>
      <c r="L25" s="10"/>
      <c r="M25" s="11">
        <f t="shared" si="1"/>
        <v>0</v>
      </c>
      <c r="N25" s="12">
        <f t="shared" si="2"/>
        <v>-42841.414141414141</v>
      </c>
    </row>
    <row r="26" spans="1:14" ht="18" customHeight="1">
      <c r="A26" s="15">
        <v>24</v>
      </c>
      <c r="B26" s="7">
        <v>42117</v>
      </c>
      <c r="C26" s="20">
        <f>采购市场价基础表!D24</f>
        <v>2800</v>
      </c>
      <c r="D26" s="20">
        <v>800</v>
      </c>
      <c r="E26" s="20"/>
      <c r="F26" s="20">
        <v>2942.0707070707072</v>
      </c>
      <c r="G26" s="11"/>
      <c r="H26" s="20"/>
      <c r="I26" s="11">
        <f t="shared" si="3"/>
        <v>-2142.0707070707072</v>
      </c>
      <c r="J26" s="20">
        <f t="shared" si="0"/>
        <v>-214207.07070707073</v>
      </c>
      <c r="K26" s="10"/>
      <c r="L26" s="10"/>
      <c r="M26" s="11">
        <f t="shared" si="1"/>
        <v>0</v>
      </c>
      <c r="N26" s="12">
        <f t="shared" si="2"/>
        <v>-214207.07070707073</v>
      </c>
    </row>
    <row r="27" spans="1:14" ht="18" customHeight="1">
      <c r="A27" s="15">
        <v>25</v>
      </c>
      <c r="B27" s="7">
        <v>42118</v>
      </c>
      <c r="C27" s="20">
        <f>采购市场价基础表!D25</f>
        <v>2800</v>
      </c>
      <c r="D27" s="20">
        <v>800</v>
      </c>
      <c r="E27" s="20"/>
      <c r="F27" s="20">
        <v>2942.0707070707072</v>
      </c>
      <c r="G27" s="11"/>
      <c r="H27" s="20"/>
      <c r="I27" s="11">
        <f t="shared" si="3"/>
        <v>-2142.0707070707072</v>
      </c>
      <c r="J27" s="20">
        <f t="shared" si="0"/>
        <v>0</v>
      </c>
      <c r="K27" s="10"/>
      <c r="L27" s="10"/>
      <c r="M27" s="11">
        <f t="shared" si="1"/>
        <v>0</v>
      </c>
      <c r="N27" s="12">
        <f t="shared" si="2"/>
        <v>0</v>
      </c>
    </row>
    <row r="28" spans="1:14" ht="18" customHeight="1">
      <c r="A28" s="15">
        <v>26</v>
      </c>
      <c r="B28" s="7">
        <v>42119</v>
      </c>
      <c r="C28" s="20">
        <f>采购市场价基础表!D26</f>
        <v>2885</v>
      </c>
      <c r="D28" s="20">
        <v>800</v>
      </c>
      <c r="E28" s="20"/>
      <c r="F28" s="20">
        <v>2942.0707070707072</v>
      </c>
      <c r="G28" s="11"/>
      <c r="H28" s="20"/>
      <c r="I28" s="11">
        <f t="shared" si="3"/>
        <v>-2142.0707070707072</v>
      </c>
      <c r="J28" s="20">
        <f t="shared" si="0"/>
        <v>-182076.01010101012</v>
      </c>
      <c r="K28" s="10"/>
      <c r="L28" s="10"/>
      <c r="M28" s="11">
        <f t="shared" si="1"/>
        <v>0</v>
      </c>
      <c r="N28" s="12">
        <f t="shared" si="2"/>
        <v>-182076.01010101012</v>
      </c>
    </row>
    <row r="29" spans="1:14" ht="18" customHeight="1">
      <c r="A29" s="15">
        <v>27</v>
      </c>
      <c r="B29" s="7">
        <v>42120</v>
      </c>
      <c r="C29" s="20">
        <f>采购市场价基础表!D27</f>
        <v>2800</v>
      </c>
      <c r="D29" s="20">
        <v>800</v>
      </c>
      <c r="E29" s="20"/>
      <c r="F29" s="20">
        <v>2942.0707070707072</v>
      </c>
      <c r="G29" s="11"/>
      <c r="H29" s="20"/>
      <c r="I29" s="11">
        <f t="shared" si="3"/>
        <v>-2142.0707070707072</v>
      </c>
      <c r="J29" s="20">
        <f t="shared" si="0"/>
        <v>182076.01010101012</v>
      </c>
      <c r="K29" s="10"/>
      <c r="L29" s="10"/>
      <c r="M29" s="11">
        <f t="shared" si="1"/>
        <v>0</v>
      </c>
      <c r="N29" s="12">
        <f t="shared" si="2"/>
        <v>182076.01010101012</v>
      </c>
    </row>
    <row r="30" spans="1:14" ht="18" customHeight="1">
      <c r="A30" s="15">
        <v>28</v>
      </c>
      <c r="B30" s="7">
        <v>42121</v>
      </c>
      <c r="C30" s="20">
        <f>采购市场价基础表!D28</f>
        <v>2780</v>
      </c>
      <c r="D30" s="20">
        <v>800</v>
      </c>
      <c r="E30" s="20"/>
      <c r="F30" s="20">
        <v>2942.0707070707072</v>
      </c>
      <c r="G30" s="11"/>
      <c r="H30" s="20"/>
      <c r="I30" s="11">
        <f t="shared" si="3"/>
        <v>-2142.0707070707072</v>
      </c>
      <c r="J30" s="20">
        <f t="shared" si="0"/>
        <v>42841.414141414141</v>
      </c>
      <c r="K30" s="10"/>
      <c r="L30" s="10"/>
      <c r="M30" s="11">
        <f t="shared" si="1"/>
        <v>0</v>
      </c>
      <c r="N30" s="12">
        <f t="shared" si="2"/>
        <v>42841.414141414141</v>
      </c>
    </row>
    <row r="31" spans="1:14" ht="18" customHeight="1">
      <c r="A31" s="15">
        <v>29</v>
      </c>
      <c r="B31" s="7">
        <v>42122</v>
      </c>
      <c r="C31" s="20">
        <f>采购市场价基础表!D29</f>
        <v>2770</v>
      </c>
      <c r="D31" s="20">
        <v>800</v>
      </c>
      <c r="E31" s="20"/>
      <c r="F31" s="20">
        <v>2942.0707070707072</v>
      </c>
      <c r="G31" s="11"/>
      <c r="H31" s="20"/>
      <c r="I31" s="11">
        <f t="shared" si="3"/>
        <v>-2142.0707070707072</v>
      </c>
      <c r="J31" s="20">
        <f t="shared" si="0"/>
        <v>21420.707070707071</v>
      </c>
      <c r="K31" s="10"/>
      <c r="L31" s="10"/>
      <c r="M31" s="11">
        <f t="shared" si="1"/>
        <v>0</v>
      </c>
      <c r="N31" s="12">
        <f t="shared" si="2"/>
        <v>21420.707070707071</v>
      </c>
    </row>
    <row r="32" spans="1:14" ht="18" customHeight="1">
      <c r="A32" s="15">
        <v>30</v>
      </c>
      <c r="B32" s="7">
        <v>42123</v>
      </c>
      <c r="C32" s="20">
        <f>采购市场价基础表!D30</f>
        <v>2750</v>
      </c>
      <c r="D32" s="20">
        <v>2900</v>
      </c>
      <c r="E32" s="20"/>
      <c r="F32" s="20">
        <v>2942.0707070707072</v>
      </c>
      <c r="G32" s="11"/>
      <c r="H32" s="20"/>
      <c r="I32" s="11">
        <f t="shared" si="3"/>
        <v>-42.070707070707158</v>
      </c>
      <c r="J32" s="20">
        <f t="shared" si="0"/>
        <v>42841.414141414141</v>
      </c>
      <c r="K32" s="10"/>
      <c r="L32" s="10"/>
      <c r="M32" s="11">
        <f t="shared" si="1"/>
        <v>0</v>
      </c>
      <c r="N32" s="12">
        <f t="shared" si="2"/>
        <v>42841.414141414141</v>
      </c>
    </row>
    <row r="33" spans="1:14" ht="18" customHeight="1">
      <c r="A33" s="15">
        <v>31</v>
      </c>
      <c r="B33" s="7">
        <v>42124</v>
      </c>
      <c r="C33" s="20">
        <f>采购市场价基础表!D31</f>
        <v>2730</v>
      </c>
      <c r="D33" s="20">
        <v>3100</v>
      </c>
      <c r="E33" s="20"/>
      <c r="F33" s="20">
        <v>2942.0707070707072</v>
      </c>
      <c r="G33" s="11"/>
      <c r="H33" s="20"/>
      <c r="I33" s="11">
        <f t="shared" si="3"/>
        <v>157.92929292929284</v>
      </c>
      <c r="J33" s="20">
        <f t="shared" si="0"/>
        <v>841.41414141414316</v>
      </c>
      <c r="K33" s="10"/>
      <c r="L33" s="10"/>
      <c r="M33" s="11">
        <f t="shared" si="1"/>
        <v>0</v>
      </c>
      <c r="N33" s="12">
        <f t="shared" si="2"/>
        <v>841.41414141414316</v>
      </c>
    </row>
    <row r="34" spans="1:14" ht="18" customHeight="1">
      <c r="A34" s="15">
        <v>32</v>
      </c>
      <c r="B34" s="7"/>
      <c r="C34" s="20"/>
      <c r="D34" s="20"/>
      <c r="E34" s="20"/>
      <c r="F34" s="20"/>
      <c r="G34" s="11"/>
      <c r="H34" s="20"/>
      <c r="I34" s="11">
        <f t="shared" si="3"/>
        <v>0</v>
      </c>
      <c r="J34" s="20">
        <f>IF(C34=0,0,(C34-C33)*I33)</f>
        <v>0</v>
      </c>
      <c r="K34" s="10"/>
      <c r="L34" s="10"/>
      <c r="M34" s="11">
        <f t="shared" si="1"/>
        <v>0</v>
      </c>
      <c r="N34" s="12">
        <f t="shared" si="2"/>
        <v>0</v>
      </c>
    </row>
    <row r="35" spans="1:14" ht="18" customHeight="1">
      <c r="A35" s="100" t="s">
        <v>17</v>
      </c>
      <c r="B35" s="100"/>
      <c r="C35" s="100"/>
      <c r="D35" s="100"/>
      <c r="E35" s="31">
        <f>SUM(E4:E34)</f>
        <v>167</v>
      </c>
      <c r="F35" s="26"/>
      <c r="G35" s="12">
        <f>SUM(G4:G34)</f>
        <v>1225</v>
      </c>
      <c r="H35" s="26"/>
      <c r="I35" s="10"/>
      <c r="J35" s="20">
        <f>SUM(J3:J34)</f>
        <v>-138465.20421607388</v>
      </c>
      <c r="K35" s="12">
        <f>SUM(K4:K34)</f>
        <v>880</v>
      </c>
      <c r="L35" s="10"/>
      <c r="M35" s="20">
        <f>SUM(M3:M34)</f>
        <v>400</v>
      </c>
      <c r="N35" s="20">
        <f>SUM(N3:N34)</f>
        <v>-138065.20421607388</v>
      </c>
    </row>
  </sheetData>
  <mergeCells count="1">
    <mergeCell ref="A35:D35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20"/>
  <sheetViews>
    <sheetView tabSelected="1" workbookViewId="0">
      <pane ySplit="2" topLeftCell="A3" activePane="bottomLeft" state="frozen"/>
      <selection activeCell="D1" sqref="D1"/>
      <selection pane="bottomLeft" activeCell="K9" sqref="K9"/>
    </sheetView>
  </sheetViews>
  <sheetFormatPr defaultColWidth="9" defaultRowHeight="12.75"/>
  <cols>
    <col min="1" max="1" width="4.7109375" style="16" bestFit="1" customWidth="1"/>
    <col min="2" max="2" width="12.28515625" style="8" customWidth="1"/>
    <col min="3" max="3" width="11.28515625" style="8" customWidth="1"/>
    <col min="4" max="4" width="21.42578125" style="8" customWidth="1"/>
    <col min="5" max="5" width="9" style="8"/>
    <col min="6" max="7" width="4.7109375" style="8" bestFit="1" customWidth="1"/>
    <col min="8" max="8" width="9" style="8"/>
    <col min="9" max="9" width="10.7109375" style="18" customWidth="1"/>
    <col min="10" max="14" width="9" style="8"/>
    <col min="15" max="15" width="8.5703125" style="8" bestFit="1" customWidth="1"/>
    <col min="16" max="16" width="14.5703125" style="8" customWidth="1"/>
    <col min="17" max="18" width="9" style="8"/>
    <col min="19" max="19" width="10.28515625" style="18" bestFit="1" customWidth="1"/>
    <col min="20" max="20" width="10.28515625" style="8" bestFit="1" customWidth="1"/>
    <col min="21" max="21" width="11.140625" style="18" customWidth="1"/>
    <col min="22" max="16384" width="9" style="8"/>
  </cols>
  <sheetData>
    <row r="2" spans="1:21" s="39" customFormat="1" ht="30">
      <c r="A2" s="19" t="s">
        <v>0</v>
      </c>
      <c r="B2" s="40" t="s">
        <v>48</v>
      </c>
      <c r="C2" s="40" t="s">
        <v>60</v>
      </c>
      <c r="D2" s="40" t="s">
        <v>50</v>
      </c>
      <c r="E2" s="40" t="s">
        <v>61</v>
      </c>
      <c r="F2" s="40" t="s">
        <v>62</v>
      </c>
      <c r="G2" s="40" t="s">
        <v>63</v>
      </c>
      <c r="H2" s="41" t="s">
        <v>169</v>
      </c>
      <c r="I2" s="42" t="s">
        <v>170</v>
      </c>
      <c r="J2" s="19" t="s">
        <v>173</v>
      </c>
      <c r="K2" s="19" t="s">
        <v>174</v>
      </c>
      <c r="L2" s="19" t="s">
        <v>175</v>
      </c>
      <c r="M2" s="40" t="s">
        <v>176</v>
      </c>
      <c r="N2" s="40" t="s">
        <v>177</v>
      </c>
      <c r="O2" s="43" t="s">
        <v>91</v>
      </c>
      <c r="P2" s="43" t="s">
        <v>92</v>
      </c>
      <c r="Q2" s="43" t="s">
        <v>52</v>
      </c>
      <c r="R2" s="41" t="s">
        <v>171</v>
      </c>
      <c r="S2" s="38" t="s">
        <v>202</v>
      </c>
      <c r="T2" s="19" t="s">
        <v>172</v>
      </c>
      <c r="U2" s="61" t="s">
        <v>203</v>
      </c>
    </row>
    <row r="3" spans="1:21" ht="13.5">
      <c r="A3" s="28">
        <v>1</v>
      </c>
      <c r="B3" s="10" t="s">
        <v>53</v>
      </c>
      <c r="C3" s="10" t="s">
        <v>54</v>
      </c>
      <c r="D3" s="10" t="s">
        <v>55</v>
      </c>
      <c r="E3" s="10" t="s">
        <v>59</v>
      </c>
      <c r="F3" s="10" t="s">
        <v>78</v>
      </c>
      <c r="G3" s="10">
        <v>360</v>
      </c>
      <c r="H3" s="32">
        <v>2579.9999999910001</v>
      </c>
      <c r="I3" s="33">
        <v>60</v>
      </c>
      <c r="J3" s="10"/>
      <c r="K3" s="10"/>
      <c r="L3" s="10"/>
      <c r="M3" s="11">
        <v>359.09</v>
      </c>
      <c r="N3" s="11">
        <v>0</v>
      </c>
      <c r="O3" s="34">
        <v>42465</v>
      </c>
      <c r="P3" s="35" t="s">
        <v>93</v>
      </c>
      <c r="Q3" s="32">
        <v>39.9</v>
      </c>
      <c r="R3" s="36">
        <v>103053.32</v>
      </c>
      <c r="S3" s="11">
        <f t="shared" ref="S3:S34" si="0">R3/Q3</f>
        <v>2582.7899749373437</v>
      </c>
      <c r="T3" s="12">
        <f>IF(S3=0,0,S3+I3)</f>
        <v>2642.7899749373437</v>
      </c>
      <c r="U3" s="11">
        <f>IF(N3=0,0,H3+I3)</f>
        <v>0</v>
      </c>
    </row>
    <row r="4" spans="1:21" ht="13.5">
      <c r="A4" s="28">
        <v>2</v>
      </c>
      <c r="B4" s="10" t="s">
        <v>53</v>
      </c>
      <c r="C4" s="10" t="s">
        <v>54</v>
      </c>
      <c r="D4" s="10" t="s">
        <v>55</v>
      </c>
      <c r="E4" s="10" t="s">
        <v>59</v>
      </c>
      <c r="F4" s="10"/>
      <c r="G4" s="10"/>
      <c r="H4" s="37"/>
      <c r="I4" s="33">
        <v>60</v>
      </c>
      <c r="J4" s="10"/>
      <c r="K4" s="10"/>
      <c r="L4" s="10"/>
      <c r="M4" s="11"/>
      <c r="N4" s="11"/>
      <c r="O4" s="34">
        <v>42465</v>
      </c>
      <c r="P4" s="35" t="s">
        <v>94</v>
      </c>
      <c r="Q4" s="32">
        <v>39.92</v>
      </c>
      <c r="R4" s="36">
        <v>103104.99</v>
      </c>
      <c r="S4" s="11">
        <f t="shared" si="0"/>
        <v>2582.7903306613225</v>
      </c>
      <c r="T4" s="12">
        <f t="shared" ref="T4:T67" si="1">IF(S4=0,0,S4+I4)</f>
        <v>2642.7903306613225</v>
      </c>
      <c r="U4" s="11">
        <f t="shared" ref="U4:U67" si="2">IF(N4=0,0,H4+I4)</f>
        <v>0</v>
      </c>
    </row>
    <row r="5" spans="1:21" ht="13.5">
      <c r="A5" s="28">
        <v>3</v>
      </c>
      <c r="B5" s="10" t="s">
        <v>53</v>
      </c>
      <c r="C5" s="10" t="s">
        <v>54</v>
      </c>
      <c r="D5" s="10" t="s">
        <v>55</v>
      </c>
      <c r="E5" s="10" t="s">
        <v>59</v>
      </c>
      <c r="F5" s="10"/>
      <c r="G5" s="10"/>
      <c r="H5" s="37"/>
      <c r="I5" s="33">
        <v>60</v>
      </c>
      <c r="J5" s="10"/>
      <c r="K5" s="10"/>
      <c r="L5" s="10"/>
      <c r="M5" s="11"/>
      <c r="N5" s="11"/>
      <c r="O5" s="34">
        <v>42465</v>
      </c>
      <c r="P5" s="35" t="s">
        <v>95</v>
      </c>
      <c r="Q5" s="32">
        <v>39.92</v>
      </c>
      <c r="R5" s="36">
        <v>103105.01</v>
      </c>
      <c r="S5" s="11">
        <f t="shared" si="0"/>
        <v>2582.7908316633266</v>
      </c>
      <c r="T5" s="12">
        <f>IF(S5=0,0,S5+I5)</f>
        <v>2642.7908316633266</v>
      </c>
      <c r="U5" s="11">
        <f t="shared" si="2"/>
        <v>0</v>
      </c>
    </row>
    <row r="6" spans="1:21" ht="13.5">
      <c r="A6" s="28">
        <v>4</v>
      </c>
      <c r="B6" s="10" t="s">
        <v>53</v>
      </c>
      <c r="C6" s="10" t="s">
        <v>54</v>
      </c>
      <c r="D6" s="10" t="s">
        <v>55</v>
      </c>
      <c r="E6" s="10" t="s">
        <v>59</v>
      </c>
      <c r="F6" s="10"/>
      <c r="G6" s="10"/>
      <c r="H6" s="37"/>
      <c r="I6" s="33">
        <v>60</v>
      </c>
      <c r="J6" s="10"/>
      <c r="K6" s="10"/>
      <c r="L6" s="10"/>
      <c r="M6" s="11"/>
      <c r="N6" s="11"/>
      <c r="O6" s="34">
        <v>42465</v>
      </c>
      <c r="P6" s="35" t="s">
        <v>96</v>
      </c>
      <c r="Q6" s="32">
        <v>39.86</v>
      </c>
      <c r="R6" s="36">
        <v>102950.02</v>
      </c>
      <c r="S6" s="11">
        <f t="shared" si="0"/>
        <v>2582.7902659307579</v>
      </c>
      <c r="T6" s="12">
        <f t="shared" si="1"/>
        <v>2642.7902659307579</v>
      </c>
      <c r="U6" s="11">
        <f t="shared" si="2"/>
        <v>0</v>
      </c>
    </row>
    <row r="7" spans="1:21" ht="13.5">
      <c r="A7" s="28">
        <v>5</v>
      </c>
      <c r="B7" s="10" t="s">
        <v>53</v>
      </c>
      <c r="C7" s="10" t="s">
        <v>54</v>
      </c>
      <c r="D7" s="10" t="s">
        <v>55</v>
      </c>
      <c r="E7" s="10" t="s">
        <v>59</v>
      </c>
      <c r="F7" s="10"/>
      <c r="G7" s="10"/>
      <c r="H7" s="37"/>
      <c r="I7" s="33">
        <v>60</v>
      </c>
      <c r="J7" s="10"/>
      <c r="K7" s="10"/>
      <c r="L7" s="10"/>
      <c r="M7" s="11"/>
      <c r="N7" s="11"/>
      <c r="O7" s="34">
        <v>42465</v>
      </c>
      <c r="P7" s="35" t="s">
        <v>97</v>
      </c>
      <c r="Q7" s="32">
        <v>39.9</v>
      </c>
      <c r="R7" s="36">
        <v>103053.32</v>
      </c>
      <c r="S7" s="11">
        <f t="shared" si="0"/>
        <v>2582.7899749373437</v>
      </c>
      <c r="T7" s="12">
        <f t="shared" si="1"/>
        <v>2642.7899749373437</v>
      </c>
      <c r="U7" s="11">
        <f t="shared" si="2"/>
        <v>0</v>
      </c>
    </row>
    <row r="8" spans="1:21" ht="13.5">
      <c r="A8" s="28">
        <v>6</v>
      </c>
      <c r="B8" s="10" t="s">
        <v>53</v>
      </c>
      <c r="C8" s="10" t="s">
        <v>54</v>
      </c>
      <c r="D8" s="10" t="s">
        <v>55</v>
      </c>
      <c r="E8" s="10" t="s">
        <v>59</v>
      </c>
      <c r="F8" s="10"/>
      <c r="G8" s="10"/>
      <c r="H8" s="37"/>
      <c r="I8" s="33">
        <v>60</v>
      </c>
      <c r="J8" s="10"/>
      <c r="K8" s="10"/>
      <c r="L8" s="10"/>
      <c r="M8" s="11"/>
      <c r="N8" s="11"/>
      <c r="O8" s="34">
        <v>42465</v>
      </c>
      <c r="P8" s="35" t="s">
        <v>98</v>
      </c>
      <c r="Q8" s="32">
        <v>39.9</v>
      </c>
      <c r="R8" s="36">
        <v>103053.32</v>
      </c>
      <c r="S8" s="11">
        <f t="shared" si="0"/>
        <v>2582.7899749373437</v>
      </c>
      <c r="T8" s="12">
        <f t="shared" si="1"/>
        <v>2642.7899749373437</v>
      </c>
      <c r="U8" s="11">
        <f t="shared" si="2"/>
        <v>0</v>
      </c>
    </row>
    <row r="9" spans="1:21" ht="13.5">
      <c r="A9" s="28">
        <v>7</v>
      </c>
      <c r="B9" s="10" t="s">
        <v>53</v>
      </c>
      <c r="C9" s="10" t="s">
        <v>54</v>
      </c>
      <c r="D9" s="10" t="s">
        <v>55</v>
      </c>
      <c r="E9" s="10" t="s">
        <v>59</v>
      </c>
      <c r="F9" s="10"/>
      <c r="G9" s="10"/>
      <c r="H9" s="37"/>
      <c r="I9" s="33">
        <v>60</v>
      </c>
      <c r="J9" s="10"/>
      <c r="K9" s="10"/>
      <c r="L9" s="10"/>
      <c r="M9" s="11"/>
      <c r="N9" s="11"/>
      <c r="O9" s="34">
        <v>42465</v>
      </c>
      <c r="P9" s="35" t="s">
        <v>99</v>
      </c>
      <c r="Q9" s="32">
        <v>39.9</v>
      </c>
      <c r="R9" s="36">
        <v>103053.32</v>
      </c>
      <c r="S9" s="11">
        <f t="shared" si="0"/>
        <v>2582.7899749373437</v>
      </c>
      <c r="T9" s="12">
        <f t="shared" si="1"/>
        <v>2642.7899749373437</v>
      </c>
      <c r="U9" s="11">
        <f t="shared" si="2"/>
        <v>0</v>
      </c>
    </row>
    <row r="10" spans="1:21" ht="13.5">
      <c r="A10" s="28">
        <v>8</v>
      </c>
      <c r="B10" s="10" t="s">
        <v>53</v>
      </c>
      <c r="C10" s="10" t="s">
        <v>54</v>
      </c>
      <c r="D10" s="10" t="s">
        <v>55</v>
      </c>
      <c r="E10" s="10" t="s">
        <v>59</v>
      </c>
      <c r="F10" s="10"/>
      <c r="G10" s="10"/>
      <c r="H10" s="37"/>
      <c r="I10" s="33">
        <v>60</v>
      </c>
      <c r="J10" s="10"/>
      <c r="K10" s="10"/>
      <c r="L10" s="10"/>
      <c r="M10" s="11"/>
      <c r="N10" s="11"/>
      <c r="O10" s="34">
        <v>42465</v>
      </c>
      <c r="P10" s="35" t="s">
        <v>100</v>
      </c>
      <c r="Q10" s="32">
        <v>39.89</v>
      </c>
      <c r="R10" s="36">
        <v>103027.5</v>
      </c>
      <c r="S10" s="11">
        <f t="shared" si="0"/>
        <v>2582.7901729756832</v>
      </c>
      <c r="T10" s="12">
        <f t="shared" si="1"/>
        <v>2642.7901729756832</v>
      </c>
      <c r="U10" s="11">
        <f t="shared" si="2"/>
        <v>0</v>
      </c>
    </row>
    <row r="11" spans="1:21" ht="13.5">
      <c r="A11" s="28">
        <v>9</v>
      </c>
      <c r="B11" s="10" t="s">
        <v>53</v>
      </c>
      <c r="C11" s="10" t="s">
        <v>54</v>
      </c>
      <c r="D11" s="10" t="s">
        <v>55</v>
      </c>
      <c r="E11" s="10" t="s">
        <v>59</v>
      </c>
      <c r="F11" s="10"/>
      <c r="G11" s="10"/>
      <c r="H11" s="37"/>
      <c r="I11" s="33">
        <v>60</v>
      </c>
      <c r="J11" s="10"/>
      <c r="K11" s="10"/>
      <c r="L11" s="10"/>
      <c r="M11" s="11"/>
      <c r="N11" s="11"/>
      <c r="O11" s="34">
        <v>42465</v>
      </c>
      <c r="P11" s="35" t="s">
        <v>101</v>
      </c>
      <c r="Q11" s="32">
        <v>39.9</v>
      </c>
      <c r="R11" s="36">
        <v>103030.75</v>
      </c>
      <c r="S11" s="11">
        <f t="shared" si="0"/>
        <v>2582.2243107769423</v>
      </c>
      <c r="T11" s="12">
        <f t="shared" si="1"/>
        <v>2642.2243107769423</v>
      </c>
      <c r="U11" s="11">
        <f t="shared" si="2"/>
        <v>0</v>
      </c>
    </row>
    <row r="12" spans="1:21" ht="13.5">
      <c r="A12" s="28">
        <v>10</v>
      </c>
      <c r="B12" s="10" t="s">
        <v>64</v>
      </c>
      <c r="C12" s="10" t="s">
        <v>54</v>
      </c>
      <c r="D12" s="10" t="s">
        <v>55</v>
      </c>
      <c r="E12" s="10" t="s">
        <v>59</v>
      </c>
      <c r="F12" s="10" t="s">
        <v>78</v>
      </c>
      <c r="G12" s="10">
        <v>360</v>
      </c>
      <c r="H12" s="32">
        <v>2560.0000010580002</v>
      </c>
      <c r="I12" s="33">
        <v>60</v>
      </c>
      <c r="J12" s="10"/>
      <c r="K12" s="10"/>
      <c r="L12" s="10"/>
      <c r="M12" s="11">
        <v>347.58</v>
      </c>
      <c r="N12" s="11">
        <v>12.42</v>
      </c>
      <c r="O12" s="34">
        <v>42465</v>
      </c>
      <c r="P12" s="35" t="s">
        <v>102</v>
      </c>
      <c r="Q12" s="32">
        <v>37.200000000000003</v>
      </c>
      <c r="R12" s="36">
        <v>95195.520000000004</v>
      </c>
      <c r="S12" s="11">
        <f t="shared" si="0"/>
        <v>2559.0193548387097</v>
      </c>
      <c r="T12" s="12">
        <f>IF(S12=0,0,S12+I12)</f>
        <v>2619.0193548387097</v>
      </c>
      <c r="U12" s="11">
        <f t="shared" si="2"/>
        <v>2620.0000010580002</v>
      </c>
    </row>
    <row r="13" spans="1:21" ht="13.5">
      <c r="A13" s="28">
        <v>11</v>
      </c>
      <c r="B13" s="10" t="s">
        <v>64</v>
      </c>
      <c r="C13" s="10" t="s">
        <v>54</v>
      </c>
      <c r="D13" s="10" t="s">
        <v>55</v>
      </c>
      <c r="E13" s="10" t="s">
        <v>59</v>
      </c>
      <c r="F13" s="10"/>
      <c r="G13" s="10"/>
      <c r="H13" s="37"/>
      <c r="I13" s="33">
        <v>55</v>
      </c>
      <c r="J13" s="10"/>
      <c r="K13" s="10"/>
      <c r="L13" s="10"/>
      <c r="M13" s="11"/>
      <c r="N13" s="11"/>
      <c r="O13" s="34">
        <v>42465</v>
      </c>
      <c r="P13" s="35" t="s">
        <v>103</v>
      </c>
      <c r="Q13" s="32">
        <v>41.3</v>
      </c>
      <c r="R13" s="36">
        <v>105687.39</v>
      </c>
      <c r="S13" s="11">
        <f t="shared" si="0"/>
        <v>2559.0167070217917</v>
      </c>
      <c r="T13" s="12">
        <f t="shared" si="1"/>
        <v>2614.0167070217917</v>
      </c>
      <c r="U13" s="11">
        <f t="shared" si="2"/>
        <v>0</v>
      </c>
    </row>
    <row r="14" spans="1:21" ht="13.5">
      <c r="A14" s="28">
        <v>12</v>
      </c>
      <c r="B14" s="10" t="s">
        <v>64</v>
      </c>
      <c r="C14" s="10" t="s">
        <v>54</v>
      </c>
      <c r="D14" s="10" t="s">
        <v>55</v>
      </c>
      <c r="E14" s="10" t="s">
        <v>59</v>
      </c>
      <c r="F14" s="10"/>
      <c r="G14" s="10"/>
      <c r="H14" s="37"/>
      <c r="I14" s="33">
        <v>60</v>
      </c>
      <c r="J14" s="10"/>
      <c r="K14" s="10"/>
      <c r="L14" s="10"/>
      <c r="M14" s="11"/>
      <c r="N14" s="11"/>
      <c r="O14" s="34">
        <v>42465</v>
      </c>
      <c r="P14" s="35" t="s">
        <v>104</v>
      </c>
      <c r="Q14" s="32">
        <v>40.82</v>
      </c>
      <c r="R14" s="36">
        <v>0</v>
      </c>
      <c r="S14" s="11">
        <f t="shared" si="0"/>
        <v>0</v>
      </c>
      <c r="T14" s="12">
        <f t="shared" si="1"/>
        <v>0</v>
      </c>
      <c r="U14" s="11">
        <f t="shared" si="2"/>
        <v>0</v>
      </c>
    </row>
    <row r="15" spans="1:21" ht="13.5">
      <c r="A15" s="28">
        <v>13</v>
      </c>
      <c r="B15" s="10" t="s">
        <v>64</v>
      </c>
      <c r="C15" s="10" t="s">
        <v>54</v>
      </c>
      <c r="D15" s="10" t="s">
        <v>55</v>
      </c>
      <c r="E15" s="10" t="s">
        <v>59</v>
      </c>
      <c r="F15" s="10"/>
      <c r="G15" s="10"/>
      <c r="H15" s="37"/>
      <c r="I15" s="33"/>
      <c r="J15" s="10"/>
      <c r="K15" s="10"/>
      <c r="L15" s="10"/>
      <c r="M15" s="11"/>
      <c r="N15" s="11"/>
      <c r="O15" s="34">
        <v>42465</v>
      </c>
      <c r="P15" s="35" t="s">
        <v>104</v>
      </c>
      <c r="Q15" s="32">
        <v>-40.82</v>
      </c>
      <c r="R15" s="36">
        <v>0</v>
      </c>
      <c r="S15" s="11">
        <f t="shared" si="0"/>
        <v>0</v>
      </c>
      <c r="T15" s="12">
        <f t="shared" si="1"/>
        <v>0</v>
      </c>
      <c r="U15" s="11">
        <f t="shared" si="2"/>
        <v>0</v>
      </c>
    </row>
    <row r="16" spans="1:21" ht="13.5">
      <c r="A16" s="28">
        <v>14</v>
      </c>
      <c r="B16" s="10" t="s">
        <v>64</v>
      </c>
      <c r="C16" s="10" t="s">
        <v>54</v>
      </c>
      <c r="D16" s="10" t="s">
        <v>55</v>
      </c>
      <c r="E16" s="10" t="s">
        <v>59</v>
      </c>
      <c r="F16" s="10"/>
      <c r="G16" s="10"/>
      <c r="H16" s="37"/>
      <c r="I16" s="33">
        <v>55</v>
      </c>
      <c r="J16" s="10"/>
      <c r="K16" s="10"/>
      <c r="L16" s="10"/>
      <c r="M16" s="11"/>
      <c r="N16" s="11"/>
      <c r="O16" s="34">
        <v>42465</v>
      </c>
      <c r="P16" s="35" t="s">
        <v>104</v>
      </c>
      <c r="Q16" s="32">
        <v>40.82</v>
      </c>
      <c r="R16" s="36">
        <v>104459.06</v>
      </c>
      <c r="S16" s="11">
        <f t="shared" si="0"/>
        <v>2559.016658500735</v>
      </c>
      <c r="T16" s="12">
        <f t="shared" si="1"/>
        <v>2614.016658500735</v>
      </c>
      <c r="U16" s="11">
        <f t="shared" si="2"/>
        <v>0</v>
      </c>
    </row>
    <row r="17" spans="1:21" ht="13.5">
      <c r="A17" s="28">
        <v>15</v>
      </c>
      <c r="B17" s="10" t="s">
        <v>64</v>
      </c>
      <c r="C17" s="10" t="s">
        <v>54</v>
      </c>
      <c r="D17" s="10" t="s">
        <v>55</v>
      </c>
      <c r="E17" s="10" t="s">
        <v>59</v>
      </c>
      <c r="F17" s="10"/>
      <c r="G17" s="10"/>
      <c r="H17" s="37"/>
      <c r="I17" s="33">
        <v>65</v>
      </c>
      <c r="J17" s="10"/>
      <c r="K17" s="10"/>
      <c r="L17" s="10"/>
      <c r="M17" s="11"/>
      <c r="N17" s="11"/>
      <c r="O17" s="34">
        <v>42466</v>
      </c>
      <c r="P17" s="35" t="s">
        <v>105</v>
      </c>
      <c r="Q17" s="32">
        <v>35.64</v>
      </c>
      <c r="R17" s="36">
        <v>91203.35</v>
      </c>
      <c r="S17" s="11">
        <f t="shared" si="0"/>
        <v>2559.0165544332212</v>
      </c>
      <c r="T17" s="12">
        <f t="shared" si="1"/>
        <v>2624.0165544332212</v>
      </c>
      <c r="U17" s="11">
        <f t="shared" si="2"/>
        <v>0</v>
      </c>
    </row>
    <row r="18" spans="1:21" ht="13.5">
      <c r="A18" s="28">
        <v>16</v>
      </c>
      <c r="B18" s="10" t="s">
        <v>64</v>
      </c>
      <c r="C18" s="10" t="s">
        <v>54</v>
      </c>
      <c r="D18" s="10" t="s">
        <v>55</v>
      </c>
      <c r="E18" s="10" t="s">
        <v>59</v>
      </c>
      <c r="F18" s="10"/>
      <c r="G18" s="10"/>
      <c r="H18" s="37"/>
      <c r="I18" s="33">
        <v>65</v>
      </c>
      <c r="J18" s="10"/>
      <c r="K18" s="10"/>
      <c r="L18" s="10"/>
      <c r="M18" s="11"/>
      <c r="N18" s="11"/>
      <c r="O18" s="34">
        <v>42467</v>
      </c>
      <c r="P18" s="35" t="s">
        <v>106</v>
      </c>
      <c r="Q18" s="32">
        <v>38.700000000000003</v>
      </c>
      <c r="R18" s="36">
        <v>99033.94</v>
      </c>
      <c r="S18" s="11">
        <f t="shared" si="0"/>
        <v>2559.0165374677003</v>
      </c>
      <c r="T18" s="12">
        <f t="shared" si="1"/>
        <v>2624.0165374677003</v>
      </c>
      <c r="U18" s="11">
        <f t="shared" si="2"/>
        <v>0</v>
      </c>
    </row>
    <row r="19" spans="1:21" ht="13.5">
      <c r="A19" s="28">
        <v>17</v>
      </c>
      <c r="B19" s="10" t="s">
        <v>64</v>
      </c>
      <c r="C19" s="10" t="s">
        <v>54</v>
      </c>
      <c r="D19" s="10" t="s">
        <v>55</v>
      </c>
      <c r="E19" s="10" t="s">
        <v>59</v>
      </c>
      <c r="F19" s="10"/>
      <c r="G19" s="10"/>
      <c r="H19" s="37"/>
      <c r="I19" s="33">
        <v>55</v>
      </c>
      <c r="J19" s="10"/>
      <c r="K19" s="10"/>
      <c r="L19" s="10"/>
      <c r="M19" s="11"/>
      <c r="N19" s="11"/>
      <c r="O19" s="34">
        <v>42467</v>
      </c>
      <c r="P19" s="35" t="s">
        <v>107</v>
      </c>
      <c r="Q19" s="32">
        <v>39.58</v>
      </c>
      <c r="R19" s="36">
        <v>101285.87</v>
      </c>
      <c r="S19" s="11">
        <f t="shared" si="0"/>
        <v>2559.0164224355735</v>
      </c>
      <c r="T19" s="12">
        <f t="shared" si="1"/>
        <v>2614.0164224355735</v>
      </c>
      <c r="U19" s="11">
        <f t="shared" si="2"/>
        <v>0</v>
      </c>
    </row>
    <row r="20" spans="1:21" ht="13.5">
      <c r="A20" s="28">
        <v>18</v>
      </c>
      <c r="B20" s="10" t="s">
        <v>64</v>
      </c>
      <c r="C20" s="10" t="s">
        <v>54</v>
      </c>
      <c r="D20" s="10" t="s">
        <v>55</v>
      </c>
      <c r="E20" s="10" t="s">
        <v>59</v>
      </c>
      <c r="F20" s="10"/>
      <c r="G20" s="10"/>
      <c r="H20" s="37"/>
      <c r="I20" s="33">
        <v>55</v>
      </c>
      <c r="J20" s="10"/>
      <c r="K20" s="10"/>
      <c r="L20" s="10"/>
      <c r="M20" s="11"/>
      <c r="N20" s="11"/>
      <c r="O20" s="34">
        <v>42467</v>
      </c>
      <c r="P20" s="35" t="s">
        <v>108</v>
      </c>
      <c r="Q20" s="32">
        <v>39.619999999999997</v>
      </c>
      <c r="R20" s="36">
        <v>101388.24</v>
      </c>
      <c r="S20" s="11">
        <f t="shared" si="0"/>
        <v>2559.0166582534075</v>
      </c>
      <c r="T20" s="12">
        <f t="shared" si="1"/>
        <v>2614.0166582534075</v>
      </c>
      <c r="U20" s="11">
        <f t="shared" si="2"/>
        <v>0</v>
      </c>
    </row>
    <row r="21" spans="1:21" ht="13.5">
      <c r="A21" s="28">
        <v>19</v>
      </c>
      <c r="B21" s="10" t="s">
        <v>64</v>
      </c>
      <c r="C21" s="10" t="s">
        <v>54</v>
      </c>
      <c r="D21" s="10" t="s">
        <v>55</v>
      </c>
      <c r="E21" s="10" t="s">
        <v>59</v>
      </c>
      <c r="F21" s="10"/>
      <c r="G21" s="10"/>
      <c r="H21" s="37"/>
      <c r="I21" s="33">
        <v>55</v>
      </c>
      <c r="J21" s="10"/>
      <c r="K21" s="10"/>
      <c r="L21" s="10"/>
      <c r="M21" s="11"/>
      <c r="N21" s="11"/>
      <c r="O21" s="34">
        <v>42467</v>
      </c>
      <c r="P21" s="35" t="s">
        <v>109</v>
      </c>
      <c r="Q21" s="32">
        <v>39.619999999999997</v>
      </c>
      <c r="R21" s="36">
        <v>101388.23</v>
      </c>
      <c r="S21" s="11">
        <f t="shared" si="0"/>
        <v>2559.0164058556284</v>
      </c>
      <c r="T21" s="12">
        <f t="shared" si="1"/>
        <v>2614.0164058556284</v>
      </c>
      <c r="U21" s="11">
        <f t="shared" si="2"/>
        <v>0</v>
      </c>
    </row>
    <row r="22" spans="1:21" ht="13.5">
      <c r="A22" s="28">
        <v>20</v>
      </c>
      <c r="B22" s="10" t="s">
        <v>64</v>
      </c>
      <c r="C22" s="10" t="s">
        <v>54</v>
      </c>
      <c r="D22" s="10" t="s">
        <v>55</v>
      </c>
      <c r="E22" s="10" t="s">
        <v>59</v>
      </c>
      <c r="F22" s="10"/>
      <c r="G22" s="10"/>
      <c r="H22" s="37"/>
      <c r="I22" s="33">
        <v>65</v>
      </c>
      <c r="J22" s="10"/>
      <c r="K22" s="10"/>
      <c r="L22" s="10"/>
      <c r="M22" s="11"/>
      <c r="N22" s="11"/>
      <c r="O22" s="34">
        <v>42467</v>
      </c>
      <c r="P22" s="35" t="s">
        <v>110</v>
      </c>
      <c r="Q22" s="32">
        <v>35.1</v>
      </c>
      <c r="R22" s="36">
        <v>89907.199999999997</v>
      </c>
      <c r="S22" s="11">
        <f t="shared" si="0"/>
        <v>2561.4586894586892</v>
      </c>
      <c r="T22" s="12">
        <f t="shared" si="1"/>
        <v>2626.4586894586892</v>
      </c>
      <c r="U22" s="11">
        <f t="shared" si="2"/>
        <v>0</v>
      </c>
    </row>
    <row r="23" spans="1:21" ht="13.5">
      <c r="A23" s="28">
        <v>21</v>
      </c>
      <c r="B23" s="10" t="s">
        <v>65</v>
      </c>
      <c r="C23" s="10" t="s">
        <v>66</v>
      </c>
      <c r="D23" s="10" t="s">
        <v>55</v>
      </c>
      <c r="E23" s="10" t="s">
        <v>77</v>
      </c>
      <c r="F23" s="10" t="s">
        <v>78</v>
      </c>
      <c r="G23" s="10">
        <v>40</v>
      </c>
      <c r="H23" s="32">
        <v>2369.9999999962001</v>
      </c>
      <c r="I23" s="33">
        <v>70</v>
      </c>
      <c r="J23" s="10"/>
      <c r="K23" s="10"/>
      <c r="L23" s="10"/>
      <c r="M23" s="11">
        <v>39.978999999999999</v>
      </c>
      <c r="N23" s="11">
        <v>2.1000000000000001E-2</v>
      </c>
      <c r="O23" s="34">
        <v>42472</v>
      </c>
      <c r="P23" s="35" t="s">
        <v>111</v>
      </c>
      <c r="Q23" s="32">
        <v>39.978999999999999</v>
      </c>
      <c r="R23" s="36">
        <v>95128.6</v>
      </c>
      <c r="S23" s="11">
        <f t="shared" si="0"/>
        <v>2379.4642187148256</v>
      </c>
      <c r="T23" s="12">
        <f t="shared" si="1"/>
        <v>2449.4642187148256</v>
      </c>
      <c r="U23" s="11">
        <f t="shared" si="2"/>
        <v>2439.9999999962001</v>
      </c>
    </row>
    <row r="24" spans="1:21" ht="13.5">
      <c r="A24" s="28">
        <v>22</v>
      </c>
      <c r="B24" s="10" t="s">
        <v>67</v>
      </c>
      <c r="C24" s="10" t="s">
        <v>66</v>
      </c>
      <c r="D24" s="10" t="s">
        <v>55</v>
      </c>
      <c r="E24" s="10" t="s">
        <v>59</v>
      </c>
      <c r="F24" s="10" t="s">
        <v>78</v>
      </c>
      <c r="G24" s="10">
        <v>280</v>
      </c>
      <c r="H24" s="32">
        <v>2569.9999999933998</v>
      </c>
      <c r="I24" s="33">
        <v>60</v>
      </c>
      <c r="J24" s="10"/>
      <c r="K24" s="10"/>
      <c r="L24" s="10"/>
      <c r="M24" s="11">
        <v>279.31900000000002</v>
      </c>
      <c r="N24" s="11">
        <v>0</v>
      </c>
      <c r="O24" s="34">
        <v>42471</v>
      </c>
      <c r="P24" s="35" t="s">
        <v>112</v>
      </c>
      <c r="Q24" s="32">
        <v>39.999000000000002</v>
      </c>
      <c r="R24" s="36">
        <v>102849.62</v>
      </c>
      <c r="S24" s="11">
        <f t="shared" si="0"/>
        <v>2571.3047826195652</v>
      </c>
      <c r="T24" s="12">
        <f t="shared" si="1"/>
        <v>2631.3047826195652</v>
      </c>
      <c r="U24" s="11">
        <f t="shared" si="2"/>
        <v>0</v>
      </c>
    </row>
    <row r="25" spans="1:21" ht="13.5">
      <c r="A25" s="28">
        <v>23</v>
      </c>
      <c r="B25" s="10" t="s">
        <v>67</v>
      </c>
      <c r="C25" s="10" t="s">
        <v>66</v>
      </c>
      <c r="D25" s="10" t="s">
        <v>55</v>
      </c>
      <c r="E25" s="10" t="s">
        <v>59</v>
      </c>
      <c r="F25" s="10"/>
      <c r="G25" s="10"/>
      <c r="H25" s="37"/>
      <c r="I25" s="33">
        <v>60</v>
      </c>
      <c r="J25" s="10"/>
      <c r="K25" s="10"/>
      <c r="L25" s="10"/>
      <c r="M25" s="11"/>
      <c r="N25" s="11"/>
      <c r="O25" s="34">
        <v>42467</v>
      </c>
      <c r="P25" s="35" t="s">
        <v>113</v>
      </c>
      <c r="Q25" s="32">
        <v>39.840000000000003</v>
      </c>
      <c r="R25" s="36">
        <v>102440.78</v>
      </c>
      <c r="S25" s="11">
        <f t="shared" si="0"/>
        <v>2571.3047188755017</v>
      </c>
      <c r="T25" s="12">
        <f t="shared" si="1"/>
        <v>2631.3047188755017</v>
      </c>
      <c r="U25" s="11">
        <f t="shared" si="2"/>
        <v>0</v>
      </c>
    </row>
    <row r="26" spans="1:21" ht="13.5">
      <c r="A26" s="28">
        <v>24</v>
      </c>
      <c r="B26" s="10" t="s">
        <v>67</v>
      </c>
      <c r="C26" s="10" t="s">
        <v>66</v>
      </c>
      <c r="D26" s="10" t="s">
        <v>55</v>
      </c>
      <c r="E26" s="10" t="s">
        <v>59</v>
      </c>
      <c r="F26" s="10"/>
      <c r="G26" s="10"/>
      <c r="H26" s="37"/>
      <c r="I26" s="33">
        <v>60</v>
      </c>
      <c r="J26" s="10"/>
      <c r="K26" s="10"/>
      <c r="L26" s="10"/>
      <c r="M26" s="11"/>
      <c r="N26" s="11"/>
      <c r="O26" s="34">
        <v>42467</v>
      </c>
      <c r="P26" s="35" t="s">
        <v>114</v>
      </c>
      <c r="Q26" s="32">
        <v>39.9</v>
      </c>
      <c r="R26" s="36">
        <v>102595.06</v>
      </c>
      <c r="S26" s="11">
        <f t="shared" si="0"/>
        <v>2571.304761904762</v>
      </c>
      <c r="T26" s="12">
        <f t="shared" si="1"/>
        <v>2631.304761904762</v>
      </c>
      <c r="U26" s="11">
        <f t="shared" si="2"/>
        <v>0</v>
      </c>
    </row>
    <row r="27" spans="1:21" ht="13.5">
      <c r="A27" s="28">
        <v>25</v>
      </c>
      <c r="B27" s="10" t="s">
        <v>67</v>
      </c>
      <c r="C27" s="10" t="s">
        <v>66</v>
      </c>
      <c r="D27" s="10" t="s">
        <v>55</v>
      </c>
      <c r="E27" s="10" t="s">
        <v>59</v>
      </c>
      <c r="F27" s="10"/>
      <c r="G27" s="10"/>
      <c r="H27" s="37"/>
      <c r="I27" s="33">
        <v>60</v>
      </c>
      <c r="J27" s="10"/>
      <c r="K27" s="10"/>
      <c r="L27" s="10"/>
      <c r="M27" s="11"/>
      <c r="N27" s="11"/>
      <c r="O27" s="34">
        <v>42467</v>
      </c>
      <c r="P27" s="35" t="s">
        <v>115</v>
      </c>
      <c r="Q27" s="32">
        <v>39.92</v>
      </c>
      <c r="R27" s="36">
        <v>102646.49</v>
      </c>
      <c r="S27" s="11">
        <f t="shared" si="0"/>
        <v>2571.3048597194388</v>
      </c>
      <c r="T27" s="12">
        <f t="shared" si="1"/>
        <v>2631.3048597194388</v>
      </c>
      <c r="U27" s="11">
        <f t="shared" si="2"/>
        <v>0</v>
      </c>
    </row>
    <row r="28" spans="1:21" ht="13.5">
      <c r="A28" s="28">
        <v>26</v>
      </c>
      <c r="B28" s="10" t="s">
        <v>67</v>
      </c>
      <c r="C28" s="10" t="s">
        <v>66</v>
      </c>
      <c r="D28" s="10" t="s">
        <v>55</v>
      </c>
      <c r="E28" s="10" t="s">
        <v>59</v>
      </c>
      <c r="F28" s="10"/>
      <c r="G28" s="10"/>
      <c r="H28" s="37"/>
      <c r="I28" s="33">
        <v>60</v>
      </c>
      <c r="J28" s="10"/>
      <c r="K28" s="10"/>
      <c r="L28" s="10"/>
      <c r="M28" s="11"/>
      <c r="N28" s="11"/>
      <c r="O28" s="34">
        <v>42467</v>
      </c>
      <c r="P28" s="35" t="s">
        <v>116</v>
      </c>
      <c r="Q28" s="32">
        <v>39.9</v>
      </c>
      <c r="R28" s="36">
        <v>102595.06</v>
      </c>
      <c r="S28" s="11">
        <f t="shared" si="0"/>
        <v>2571.304761904762</v>
      </c>
      <c r="T28" s="12">
        <f t="shared" si="1"/>
        <v>2631.304761904762</v>
      </c>
      <c r="U28" s="11">
        <f t="shared" si="2"/>
        <v>0</v>
      </c>
    </row>
    <row r="29" spans="1:21" ht="13.5">
      <c r="A29" s="28">
        <v>27</v>
      </c>
      <c r="B29" s="10" t="s">
        <v>67</v>
      </c>
      <c r="C29" s="10" t="s">
        <v>66</v>
      </c>
      <c r="D29" s="10" t="s">
        <v>55</v>
      </c>
      <c r="E29" s="10" t="s">
        <v>59</v>
      </c>
      <c r="F29" s="10"/>
      <c r="G29" s="10"/>
      <c r="H29" s="37"/>
      <c r="I29" s="33">
        <v>60</v>
      </c>
      <c r="J29" s="10"/>
      <c r="K29" s="10"/>
      <c r="L29" s="10"/>
      <c r="M29" s="11"/>
      <c r="N29" s="11"/>
      <c r="O29" s="34">
        <v>42468</v>
      </c>
      <c r="P29" s="35" t="s">
        <v>117</v>
      </c>
      <c r="Q29" s="32">
        <v>39.880000000000003</v>
      </c>
      <c r="R29" s="36">
        <v>102543.63</v>
      </c>
      <c r="S29" s="11">
        <f t="shared" si="0"/>
        <v>2571.3046639919758</v>
      </c>
      <c r="T29" s="12">
        <f t="shared" si="1"/>
        <v>2631.3046639919758</v>
      </c>
      <c r="U29" s="11">
        <f t="shared" si="2"/>
        <v>0</v>
      </c>
    </row>
    <row r="30" spans="1:21" ht="13.5">
      <c r="A30" s="28">
        <v>28</v>
      </c>
      <c r="B30" s="10" t="s">
        <v>67</v>
      </c>
      <c r="C30" s="10" t="s">
        <v>66</v>
      </c>
      <c r="D30" s="10" t="s">
        <v>55</v>
      </c>
      <c r="E30" s="10" t="s">
        <v>59</v>
      </c>
      <c r="F30" s="10"/>
      <c r="G30" s="10"/>
      <c r="H30" s="37"/>
      <c r="I30" s="33">
        <v>60</v>
      </c>
      <c r="J30" s="10"/>
      <c r="K30" s="10"/>
      <c r="L30" s="10"/>
      <c r="M30" s="11"/>
      <c r="N30" s="11"/>
      <c r="O30" s="34">
        <v>42467</v>
      </c>
      <c r="P30" s="35" t="s">
        <v>118</v>
      </c>
      <c r="Q30" s="32">
        <v>39.880000000000003</v>
      </c>
      <c r="R30" s="36">
        <v>102543.63</v>
      </c>
      <c r="S30" s="11">
        <f t="shared" si="0"/>
        <v>2571.3046639919758</v>
      </c>
      <c r="T30" s="12">
        <f t="shared" si="1"/>
        <v>2631.3046639919758</v>
      </c>
      <c r="U30" s="11">
        <f t="shared" si="2"/>
        <v>0</v>
      </c>
    </row>
    <row r="31" spans="1:21" ht="13.5">
      <c r="A31" s="28">
        <v>29</v>
      </c>
      <c r="B31" s="10" t="s">
        <v>68</v>
      </c>
      <c r="C31" s="10" t="s">
        <v>66</v>
      </c>
      <c r="D31" s="10" t="s">
        <v>55</v>
      </c>
      <c r="E31" s="10" t="s">
        <v>59</v>
      </c>
      <c r="F31" s="10" t="s">
        <v>78</v>
      </c>
      <c r="G31" s="10">
        <v>500</v>
      </c>
      <c r="H31" s="32">
        <v>2600.9999999950001</v>
      </c>
      <c r="I31" s="33">
        <v>48</v>
      </c>
      <c r="J31" s="10"/>
      <c r="K31" s="10"/>
      <c r="L31" s="10"/>
      <c r="M31" s="11">
        <v>499.48</v>
      </c>
      <c r="N31" s="11">
        <v>0</v>
      </c>
      <c r="O31" s="34">
        <v>42469</v>
      </c>
      <c r="P31" s="35" t="s">
        <v>119</v>
      </c>
      <c r="Q31" s="32">
        <v>49.963999999999999</v>
      </c>
      <c r="R31" s="36">
        <v>130029.21</v>
      </c>
      <c r="S31" s="11">
        <f t="shared" si="0"/>
        <v>2602.4579697382119</v>
      </c>
      <c r="T31" s="12">
        <f t="shared" si="1"/>
        <v>2650.4579697382119</v>
      </c>
      <c r="U31" s="11">
        <f t="shared" si="2"/>
        <v>0</v>
      </c>
    </row>
    <row r="32" spans="1:21" ht="13.5">
      <c r="A32" s="28">
        <v>30</v>
      </c>
      <c r="B32" s="10" t="s">
        <v>68</v>
      </c>
      <c r="C32" s="10" t="s">
        <v>66</v>
      </c>
      <c r="D32" s="10" t="s">
        <v>55</v>
      </c>
      <c r="E32" s="10" t="s">
        <v>59</v>
      </c>
      <c r="F32" s="10"/>
      <c r="G32" s="10"/>
      <c r="H32" s="37"/>
      <c r="I32" s="33">
        <v>48</v>
      </c>
      <c r="J32" s="10"/>
      <c r="K32" s="10"/>
      <c r="L32" s="10"/>
      <c r="M32" s="11"/>
      <c r="N32" s="11"/>
      <c r="O32" s="34">
        <v>42469</v>
      </c>
      <c r="P32" s="35" t="s">
        <v>120</v>
      </c>
      <c r="Q32" s="32">
        <v>49.984000000000002</v>
      </c>
      <c r="R32" s="36">
        <v>130081.26</v>
      </c>
      <c r="S32" s="11">
        <f t="shared" si="0"/>
        <v>2602.4579865556975</v>
      </c>
      <c r="T32" s="12">
        <f t="shared" si="1"/>
        <v>2650.4579865556975</v>
      </c>
      <c r="U32" s="11">
        <f t="shared" si="2"/>
        <v>0</v>
      </c>
    </row>
    <row r="33" spans="1:21" ht="13.5">
      <c r="A33" s="28">
        <v>31</v>
      </c>
      <c r="B33" s="10" t="s">
        <v>68</v>
      </c>
      <c r="C33" s="10" t="s">
        <v>66</v>
      </c>
      <c r="D33" s="10" t="s">
        <v>55</v>
      </c>
      <c r="E33" s="10" t="s">
        <v>59</v>
      </c>
      <c r="F33" s="10"/>
      <c r="G33" s="10"/>
      <c r="H33" s="37"/>
      <c r="I33" s="33">
        <v>48</v>
      </c>
      <c r="J33" s="10"/>
      <c r="K33" s="10"/>
      <c r="L33" s="10"/>
      <c r="M33" s="11"/>
      <c r="N33" s="11"/>
      <c r="O33" s="34">
        <v>42469</v>
      </c>
      <c r="P33" s="35" t="s">
        <v>121</v>
      </c>
      <c r="Q33" s="32">
        <v>49.963999999999999</v>
      </c>
      <c r="R33" s="36">
        <v>130029.21</v>
      </c>
      <c r="S33" s="11">
        <f t="shared" si="0"/>
        <v>2602.4579697382119</v>
      </c>
      <c r="T33" s="12">
        <f t="shared" si="1"/>
        <v>2650.4579697382119</v>
      </c>
      <c r="U33" s="11">
        <f t="shared" si="2"/>
        <v>0</v>
      </c>
    </row>
    <row r="34" spans="1:21" ht="13.5">
      <c r="A34" s="28">
        <v>32</v>
      </c>
      <c r="B34" s="10" t="s">
        <v>68</v>
      </c>
      <c r="C34" s="10" t="s">
        <v>66</v>
      </c>
      <c r="D34" s="10" t="s">
        <v>55</v>
      </c>
      <c r="E34" s="10" t="s">
        <v>59</v>
      </c>
      <c r="F34" s="10"/>
      <c r="G34" s="10"/>
      <c r="H34" s="37"/>
      <c r="I34" s="33">
        <v>48</v>
      </c>
      <c r="J34" s="10"/>
      <c r="K34" s="10"/>
      <c r="L34" s="10"/>
      <c r="M34" s="11"/>
      <c r="N34" s="11"/>
      <c r="O34" s="34">
        <v>42469</v>
      </c>
      <c r="P34" s="35" t="s">
        <v>122</v>
      </c>
      <c r="Q34" s="32">
        <v>49.884</v>
      </c>
      <c r="R34" s="36">
        <v>129821.01</v>
      </c>
      <c r="S34" s="11">
        <f t="shared" si="0"/>
        <v>2602.4579023334136</v>
      </c>
      <c r="T34" s="12">
        <f t="shared" si="1"/>
        <v>2650.4579023334136</v>
      </c>
      <c r="U34" s="11">
        <f t="shared" si="2"/>
        <v>0</v>
      </c>
    </row>
    <row r="35" spans="1:21" ht="13.5">
      <c r="A35" s="28">
        <v>33</v>
      </c>
      <c r="B35" s="10" t="s">
        <v>68</v>
      </c>
      <c r="C35" s="10" t="s">
        <v>66</v>
      </c>
      <c r="D35" s="10" t="s">
        <v>55</v>
      </c>
      <c r="E35" s="10" t="s">
        <v>59</v>
      </c>
      <c r="F35" s="10"/>
      <c r="G35" s="10"/>
      <c r="H35" s="37"/>
      <c r="I35" s="33">
        <v>48</v>
      </c>
      <c r="J35" s="10"/>
      <c r="K35" s="10"/>
      <c r="L35" s="10"/>
      <c r="M35" s="11"/>
      <c r="N35" s="11"/>
      <c r="O35" s="34">
        <v>42469</v>
      </c>
      <c r="P35" s="35" t="s">
        <v>123</v>
      </c>
      <c r="Q35" s="32">
        <v>49.963999999999999</v>
      </c>
      <c r="R35" s="36">
        <v>130029.21</v>
      </c>
      <c r="S35" s="11">
        <f t="shared" ref="S35:S66" si="3">R35/Q35</f>
        <v>2602.4579697382119</v>
      </c>
      <c r="T35" s="12">
        <f t="shared" si="1"/>
        <v>2650.4579697382119</v>
      </c>
      <c r="U35" s="11">
        <f t="shared" si="2"/>
        <v>0</v>
      </c>
    </row>
    <row r="36" spans="1:21" ht="13.5">
      <c r="A36" s="28">
        <v>34</v>
      </c>
      <c r="B36" s="10" t="s">
        <v>68</v>
      </c>
      <c r="C36" s="10" t="s">
        <v>66</v>
      </c>
      <c r="D36" s="10" t="s">
        <v>55</v>
      </c>
      <c r="E36" s="10" t="s">
        <v>59</v>
      </c>
      <c r="F36" s="10"/>
      <c r="G36" s="10"/>
      <c r="H36" s="37"/>
      <c r="I36" s="33">
        <v>48</v>
      </c>
      <c r="J36" s="10"/>
      <c r="K36" s="10"/>
      <c r="L36" s="10"/>
      <c r="M36" s="11"/>
      <c r="N36" s="11"/>
      <c r="O36" s="34">
        <v>42468</v>
      </c>
      <c r="P36" s="35" t="s">
        <v>124</v>
      </c>
      <c r="Q36" s="32">
        <v>49.944000000000003</v>
      </c>
      <c r="R36" s="36">
        <v>129997.98</v>
      </c>
      <c r="S36" s="11">
        <f t="shared" si="3"/>
        <v>2602.8748197981736</v>
      </c>
      <c r="T36" s="12">
        <f t="shared" si="1"/>
        <v>2650.8748197981736</v>
      </c>
      <c r="U36" s="11">
        <f t="shared" si="2"/>
        <v>0</v>
      </c>
    </row>
    <row r="37" spans="1:21" ht="13.5">
      <c r="A37" s="28">
        <v>35</v>
      </c>
      <c r="B37" s="10" t="s">
        <v>68</v>
      </c>
      <c r="C37" s="10" t="s">
        <v>66</v>
      </c>
      <c r="D37" s="10" t="s">
        <v>55</v>
      </c>
      <c r="E37" s="10" t="s">
        <v>59</v>
      </c>
      <c r="F37" s="10"/>
      <c r="G37" s="10"/>
      <c r="H37" s="37"/>
      <c r="I37" s="33">
        <v>48</v>
      </c>
      <c r="J37" s="10"/>
      <c r="K37" s="10"/>
      <c r="L37" s="10"/>
      <c r="M37" s="11"/>
      <c r="N37" s="11"/>
      <c r="O37" s="34">
        <v>42468</v>
      </c>
      <c r="P37" s="35" t="s">
        <v>125</v>
      </c>
      <c r="Q37" s="32">
        <v>49.944000000000003</v>
      </c>
      <c r="R37" s="36">
        <v>129997.98</v>
      </c>
      <c r="S37" s="11">
        <f t="shared" si="3"/>
        <v>2602.8748197981736</v>
      </c>
      <c r="T37" s="12">
        <f t="shared" si="1"/>
        <v>2650.8748197981736</v>
      </c>
      <c r="U37" s="11">
        <f t="shared" si="2"/>
        <v>0</v>
      </c>
    </row>
    <row r="38" spans="1:21" ht="13.5">
      <c r="A38" s="28">
        <v>36</v>
      </c>
      <c r="B38" s="10" t="s">
        <v>68</v>
      </c>
      <c r="C38" s="10" t="s">
        <v>66</v>
      </c>
      <c r="D38" s="10" t="s">
        <v>55</v>
      </c>
      <c r="E38" s="10" t="s">
        <v>59</v>
      </c>
      <c r="F38" s="10"/>
      <c r="G38" s="10"/>
      <c r="H38" s="37"/>
      <c r="I38" s="33">
        <v>48</v>
      </c>
      <c r="J38" s="10"/>
      <c r="K38" s="10"/>
      <c r="L38" s="10"/>
      <c r="M38" s="11"/>
      <c r="N38" s="11"/>
      <c r="O38" s="34">
        <v>42468</v>
      </c>
      <c r="P38" s="35" t="s">
        <v>126</v>
      </c>
      <c r="Q38" s="32">
        <v>49.923999999999999</v>
      </c>
      <c r="R38" s="36">
        <v>129945.92</v>
      </c>
      <c r="S38" s="11">
        <f t="shared" si="3"/>
        <v>2602.8747696498676</v>
      </c>
      <c r="T38" s="12">
        <f t="shared" si="1"/>
        <v>2650.8747696498676</v>
      </c>
      <c r="U38" s="11">
        <f t="shared" si="2"/>
        <v>0</v>
      </c>
    </row>
    <row r="39" spans="1:21" ht="13.5">
      <c r="A39" s="28">
        <v>37</v>
      </c>
      <c r="B39" s="10" t="s">
        <v>68</v>
      </c>
      <c r="C39" s="10" t="s">
        <v>66</v>
      </c>
      <c r="D39" s="10" t="s">
        <v>55</v>
      </c>
      <c r="E39" s="10" t="s">
        <v>59</v>
      </c>
      <c r="F39" s="10"/>
      <c r="G39" s="10"/>
      <c r="H39" s="37"/>
      <c r="I39" s="33">
        <v>48</v>
      </c>
      <c r="J39" s="10"/>
      <c r="K39" s="10"/>
      <c r="L39" s="10"/>
      <c r="M39" s="11"/>
      <c r="N39" s="11"/>
      <c r="O39" s="34">
        <v>42468</v>
      </c>
      <c r="P39" s="35" t="s">
        <v>127</v>
      </c>
      <c r="Q39" s="32">
        <v>49.944000000000003</v>
      </c>
      <c r="R39" s="36">
        <v>129997.98</v>
      </c>
      <c r="S39" s="11">
        <f t="shared" si="3"/>
        <v>2602.8748197981736</v>
      </c>
      <c r="T39" s="12">
        <f t="shared" si="1"/>
        <v>2650.8748197981736</v>
      </c>
      <c r="U39" s="11">
        <f t="shared" si="2"/>
        <v>0</v>
      </c>
    </row>
    <row r="40" spans="1:21" ht="13.5">
      <c r="A40" s="28">
        <v>38</v>
      </c>
      <c r="B40" s="10" t="s">
        <v>68</v>
      </c>
      <c r="C40" s="10" t="s">
        <v>66</v>
      </c>
      <c r="D40" s="10" t="s">
        <v>55</v>
      </c>
      <c r="E40" s="10" t="s">
        <v>59</v>
      </c>
      <c r="F40" s="10"/>
      <c r="G40" s="10"/>
      <c r="H40" s="37"/>
      <c r="I40" s="33">
        <v>48</v>
      </c>
      <c r="J40" s="10"/>
      <c r="K40" s="10"/>
      <c r="L40" s="10"/>
      <c r="M40" s="11"/>
      <c r="N40" s="11"/>
      <c r="O40" s="34">
        <v>42468</v>
      </c>
      <c r="P40" s="35" t="s">
        <v>128</v>
      </c>
      <c r="Q40" s="32">
        <v>49.963999999999999</v>
      </c>
      <c r="R40" s="36">
        <v>130050.04</v>
      </c>
      <c r="S40" s="11">
        <f t="shared" si="3"/>
        <v>2602.8748699063326</v>
      </c>
      <c r="T40" s="12">
        <f t="shared" si="1"/>
        <v>2650.8748699063326</v>
      </c>
      <c r="U40" s="11">
        <f t="shared" si="2"/>
        <v>0</v>
      </c>
    </row>
    <row r="41" spans="1:21" ht="13.5">
      <c r="A41" s="28">
        <v>39</v>
      </c>
      <c r="B41" s="10" t="s">
        <v>69</v>
      </c>
      <c r="C41" s="10" t="s">
        <v>70</v>
      </c>
      <c r="D41" s="10" t="s">
        <v>55</v>
      </c>
      <c r="E41" s="10" t="s">
        <v>59</v>
      </c>
      <c r="F41" s="10" t="s">
        <v>78</v>
      </c>
      <c r="G41" s="10">
        <v>200</v>
      </c>
      <c r="H41" s="32">
        <v>2559.9999999958</v>
      </c>
      <c r="I41" s="33">
        <v>60</v>
      </c>
      <c r="J41" s="10"/>
      <c r="K41" s="10"/>
      <c r="L41" s="10"/>
      <c r="M41" s="11">
        <v>199.42</v>
      </c>
      <c r="N41" s="11">
        <v>0</v>
      </c>
      <c r="O41" s="34">
        <v>42468</v>
      </c>
      <c r="P41" s="35" t="s">
        <v>129</v>
      </c>
      <c r="Q41" s="32">
        <v>39.92</v>
      </c>
      <c r="R41" s="36">
        <v>102283.33</v>
      </c>
      <c r="S41" s="11">
        <f t="shared" si="3"/>
        <v>2562.2076653306613</v>
      </c>
      <c r="T41" s="12">
        <f t="shared" si="1"/>
        <v>2622.2076653306613</v>
      </c>
      <c r="U41" s="11">
        <f t="shared" si="2"/>
        <v>0</v>
      </c>
    </row>
    <row r="42" spans="1:21" ht="13.5">
      <c r="A42" s="28">
        <v>40</v>
      </c>
      <c r="B42" s="10" t="s">
        <v>69</v>
      </c>
      <c r="C42" s="10" t="s">
        <v>70</v>
      </c>
      <c r="D42" s="10" t="s">
        <v>55</v>
      </c>
      <c r="E42" s="10" t="s">
        <v>59</v>
      </c>
      <c r="F42" s="10"/>
      <c r="G42" s="10"/>
      <c r="H42" s="37"/>
      <c r="I42" s="33">
        <v>60</v>
      </c>
      <c r="J42" s="10"/>
      <c r="K42" s="10"/>
      <c r="L42" s="10"/>
      <c r="M42" s="11"/>
      <c r="N42" s="11"/>
      <c r="O42" s="34">
        <v>42468</v>
      </c>
      <c r="P42" s="35" t="s">
        <v>129</v>
      </c>
      <c r="Q42" s="32">
        <v>39.840000000000003</v>
      </c>
      <c r="R42" s="36">
        <v>102078.37</v>
      </c>
      <c r="S42" s="11">
        <f t="shared" si="3"/>
        <v>2562.2080823293168</v>
      </c>
      <c r="T42" s="12">
        <f t="shared" si="1"/>
        <v>2622.2080823293168</v>
      </c>
      <c r="U42" s="11">
        <f t="shared" si="2"/>
        <v>0</v>
      </c>
    </row>
    <row r="43" spans="1:21" ht="13.5">
      <c r="A43" s="28">
        <v>41</v>
      </c>
      <c r="B43" s="10" t="s">
        <v>69</v>
      </c>
      <c r="C43" s="10" t="s">
        <v>70</v>
      </c>
      <c r="D43" s="10" t="s">
        <v>55</v>
      </c>
      <c r="E43" s="10" t="s">
        <v>59</v>
      </c>
      <c r="F43" s="10"/>
      <c r="G43" s="10"/>
      <c r="H43" s="37"/>
      <c r="I43" s="33">
        <v>60</v>
      </c>
      <c r="J43" s="10"/>
      <c r="K43" s="10"/>
      <c r="L43" s="10"/>
      <c r="M43" s="11"/>
      <c r="N43" s="11"/>
      <c r="O43" s="34">
        <v>42469</v>
      </c>
      <c r="P43" s="35" t="s">
        <v>130</v>
      </c>
      <c r="Q43" s="32">
        <v>39.880000000000003</v>
      </c>
      <c r="R43" s="36">
        <v>102180.85</v>
      </c>
      <c r="S43" s="11">
        <f t="shared" si="3"/>
        <v>2562.2078736208628</v>
      </c>
      <c r="T43" s="12">
        <f t="shared" si="1"/>
        <v>2622.2078736208628</v>
      </c>
      <c r="U43" s="11">
        <f t="shared" si="2"/>
        <v>0</v>
      </c>
    </row>
    <row r="44" spans="1:21" ht="13.5">
      <c r="A44" s="28">
        <v>42</v>
      </c>
      <c r="B44" s="10" t="s">
        <v>69</v>
      </c>
      <c r="C44" s="10" t="s">
        <v>70</v>
      </c>
      <c r="D44" s="10" t="s">
        <v>55</v>
      </c>
      <c r="E44" s="10" t="s">
        <v>59</v>
      </c>
      <c r="F44" s="10"/>
      <c r="G44" s="10"/>
      <c r="H44" s="37"/>
      <c r="I44" s="33"/>
      <c r="J44" s="10"/>
      <c r="K44" s="10"/>
      <c r="L44" s="10"/>
      <c r="M44" s="11"/>
      <c r="N44" s="11"/>
      <c r="O44" s="34">
        <v>42470</v>
      </c>
      <c r="P44" s="35" t="s">
        <v>131</v>
      </c>
      <c r="Q44" s="32">
        <v>39.9</v>
      </c>
      <c r="R44" s="36">
        <v>102232.11</v>
      </c>
      <c r="S44" s="11">
        <f t="shared" si="3"/>
        <v>2562.2082706766919</v>
      </c>
      <c r="T44" s="12">
        <f t="shared" si="1"/>
        <v>2562.2082706766919</v>
      </c>
      <c r="U44" s="11">
        <f t="shared" si="2"/>
        <v>0</v>
      </c>
    </row>
    <row r="45" spans="1:21" ht="13.5">
      <c r="A45" s="28">
        <v>43</v>
      </c>
      <c r="B45" s="10" t="s">
        <v>69</v>
      </c>
      <c r="C45" s="10" t="s">
        <v>70</v>
      </c>
      <c r="D45" s="10" t="s">
        <v>55</v>
      </c>
      <c r="E45" s="10" t="s">
        <v>59</v>
      </c>
      <c r="F45" s="10"/>
      <c r="G45" s="10"/>
      <c r="H45" s="37"/>
      <c r="I45" s="33">
        <v>60</v>
      </c>
      <c r="J45" s="10"/>
      <c r="K45" s="10"/>
      <c r="L45" s="10"/>
      <c r="M45" s="11"/>
      <c r="N45" s="11"/>
      <c r="O45" s="34">
        <v>42469</v>
      </c>
      <c r="P45" s="35" t="s">
        <v>132</v>
      </c>
      <c r="Q45" s="32">
        <v>39.880000000000003</v>
      </c>
      <c r="R45" s="36">
        <v>102180.85</v>
      </c>
      <c r="S45" s="11">
        <f t="shared" si="3"/>
        <v>2562.2078736208628</v>
      </c>
      <c r="T45" s="12">
        <f t="shared" si="1"/>
        <v>2622.2078736208628</v>
      </c>
      <c r="U45" s="11">
        <f t="shared" si="2"/>
        <v>0</v>
      </c>
    </row>
    <row r="46" spans="1:21" ht="13.5">
      <c r="A46" s="28">
        <v>44</v>
      </c>
      <c r="B46" s="10" t="s">
        <v>71</v>
      </c>
      <c r="C46" s="10" t="s">
        <v>72</v>
      </c>
      <c r="D46" s="10" t="s">
        <v>55</v>
      </c>
      <c r="E46" s="10" t="s">
        <v>77</v>
      </c>
      <c r="F46" s="10" t="s">
        <v>78</v>
      </c>
      <c r="G46" s="10">
        <v>40</v>
      </c>
      <c r="H46" s="32">
        <v>2489.9999999900001</v>
      </c>
      <c r="I46" s="33"/>
      <c r="J46" s="10"/>
      <c r="K46" s="10"/>
      <c r="L46" s="10"/>
      <c r="M46" s="11">
        <v>39.884</v>
      </c>
      <c r="N46" s="11">
        <v>0</v>
      </c>
      <c r="O46" s="34">
        <v>42480</v>
      </c>
      <c r="P46" s="35" t="s">
        <v>133</v>
      </c>
      <c r="Q46" s="32">
        <v>39.884</v>
      </c>
      <c r="R46" s="36">
        <v>99525.3</v>
      </c>
      <c r="S46" s="11">
        <f t="shared" si="3"/>
        <v>2495.3690703038815</v>
      </c>
      <c r="T46" s="12">
        <f t="shared" si="1"/>
        <v>2495.3690703038815</v>
      </c>
      <c r="U46" s="11">
        <f t="shared" si="2"/>
        <v>0</v>
      </c>
    </row>
    <row r="47" spans="1:21" ht="13.5">
      <c r="A47" s="28">
        <v>45</v>
      </c>
      <c r="B47" s="10" t="s">
        <v>73</v>
      </c>
      <c r="C47" s="10" t="s">
        <v>72</v>
      </c>
      <c r="D47" s="10" t="s">
        <v>55</v>
      </c>
      <c r="E47" s="10" t="s">
        <v>59</v>
      </c>
      <c r="F47" s="10" t="s">
        <v>78</v>
      </c>
      <c r="G47" s="10">
        <v>500</v>
      </c>
      <c r="H47" s="32">
        <v>2694.9999999973002</v>
      </c>
      <c r="I47" s="33">
        <v>50</v>
      </c>
      <c r="J47" s="10"/>
      <c r="K47" s="10"/>
      <c r="L47" s="10"/>
      <c r="M47" s="11">
        <v>499.36</v>
      </c>
      <c r="N47" s="11">
        <v>0.64</v>
      </c>
      <c r="O47" s="34">
        <v>42481</v>
      </c>
      <c r="P47" s="35" t="s">
        <v>134</v>
      </c>
      <c r="Q47" s="32">
        <v>48.2</v>
      </c>
      <c r="R47" s="36">
        <v>130067.87</v>
      </c>
      <c r="S47" s="11">
        <f t="shared" si="3"/>
        <v>2698.5035269709542</v>
      </c>
      <c r="T47" s="12">
        <f t="shared" si="1"/>
        <v>2748.5035269709542</v>
      </c>
      <c r="U47" s="11">
        <f t="shared" si="2"/>
        <v>2744.9999999973002</v>
      </c>
    </row>
    <row r="48" spans="1:21" ht="13.5">
      <c r="A48" s="28">
        <v>46</v>
      </c>
      <c r="B48" s="10" t="s">
        <v>73</v>
      </c>
      <c r="C48" s="10" t="s">
        <v>72</v>
      </c>
      <c r="D48" s="10" t="s">
        <v>55</v>
      </c>
      <c r="E48" s="10" t="s">
        <v>59</v>
      </c>
      <c r="F48" s="10"/>
      <c r="G48" s="10"/>
      <c r="H48" s="37"/>
      <c r="I48" s="33">
        <v>48</v>
      </c>
      <c r="J48" s="10"/>
      <c r="K48" s="10"/>
      <c r="L48" s="10"/>
      <c r="M48" s="11"/>
      <c r="N48" s="11"/>
      <c r="O48" s="34">
        <v>42481</v>
      </c>
      <c r="P48" s="35" t="s">
        <v>134</v>
      </c>
      <c r="Q48" s="32">
        <v>42.2</v>
      </c>
      <c r="R48" s="36">
        <v>113876.85</v>
      </c>
      <c r="S48" s="11">
        <f t="shared" si="3"/>
        <v>2698.5035545023698</v>
      </c>
      <c r="T48" s="12">
        <f t="shared" si="1"/>
        <v>2746.5035545023698</v>
      </c>
      <c r="U48" s="11">
        <f t="shared" si="2"/>
        <v>0</v>
      </c>
    </row>
    <row r="49" spans="1:21" ht="13.5">
      <c r="A49" s="28">
        <v>47</v>
      </c>
      <c r="B49" s="10" t="s">
        <v>73</v>
      </c>
      <c r="C49" s="10" t="s">
        <v>72</v>
      </c>
      <c r="D49" s="10" t="s">
        <v>55</v>
      </c>
      <c r="E49" s="10" t="s">
        <v>59</v>
      </c>
      <c r="F49" s="10"/>
      <c r="G49" s="10"/>
      <c r="H49" s="37"/>
      <c r="I49" s="33">
        <v>48</v>
      </c>
      <c r="J49" s="10"/>
      <c r="K49" s="10"/>
      <c r="L49" s="10"/>
      <c r="M49" s="11"/>
      <c r="N49" s="11"/>
      <c r="O49" s="34">
        <v>42481</v>
      </c>
      <c r="P49" s="35" t="s">
        <v>134</v>
      </c>
      <c r="Q49" s="32">
        <v>37.659999999999997</v>
      </c>
      <c r="R49" s="36">
        <v>101625.63</v>
      </c>
      <c r="S49" s="11">
        <f t="shared" si="3"/>
        <v>2698.5031864046737</v>
      </c>
      <c r="T49" s="12">
        <f t="shared" si="1"/>
        <v>2746.5031864046737</v>
      </c>
      <c r="U49" s="11">
        <f t="shared" si="2"/>
        <v>0</v>
      </c>
    </row>
    <row r="50" spans="1:21" ht="13.5">
      <c r="A50" s="28">
        <v>48</v>
      </c>
      <c r="B50" s="10" t="s">
        <v>73</v>
      </c>
      <c r="C50" s="10" t="s">
        <v>72</v>
      </c>
      <c r="D50" s="10" t="s">
        <v>55</v>
      </c>
      <c r="E50" s="10" t="s">
        <v>59</v>
      </c>
      <c r="F50" s="10"/>
      <c r="G50" s="10"/>
      <c r="H50" s="37"/>
      <c r="I50" s="33">
        <v>48</v>
      </c>
      <c r="J50" s="10"/>
      <c r="K50" s="10"/>
      <c r="L50" s="10"/>
      <c r="M50" s="11"/>
      <c r="N50" s="11"/>
      <c r="O50" s="34">
        <v>42480</v>
      </c>
      <c r="P50" s="35" t="s">
        <v>135</v>
      </c>
      <c r="Q50" s="32">
        <v>44.18</v>
      </c>
      <c r="R50" s="36">
        <v>119219.88</v>
      </c>
      <c r="S50" s="11">
        <f t="shared" si="3"/>
        <v>2698.5033952014487</v>
      </c>
      <c r="T50" s="12">
        <f t="shared" si="1"/>
        <v>2746.5033952014487</v>
      </c>
      <c r="U50" s="11">
        <f t="shared" si="2"/>
        <v>0</v>
      </c>
    </row>
    <row r="51" spans="1:21" ht="13.5">
      <c r="A51" s="28">
        <v>49</v>
      </c>
      <c r="B51" s="10" t="s">
        <v>73</v>
      </c>
      <c r="C51" s="10" t="s">
        <v>72</v>
      </c>
      <c r="D51" s="10" t="s">
        <v>55</v>
      </c>
      <c r="E51" s="10" t="s">
        <v>59</v>
      </c>
      <c r="F51" s="10"/>
      <c r="G51" s="10"/>
      <c r="H51" s="37"/>
      <c r="I51" s="33">
        <v>48</v>
      </c>
      <c r="J51" s="10"/>
      <c r="K51" s="10"/>
      <c r="L51" s="10"/>
      <c r="M51" s="11"/>
      <c r="N51" s="11"/>
      <c r="O51" s="34">
        <v>42480</v>
      </c>
      <c r="P51" s="35" t="s">
        <v>135</v>
      </c>
      <c r="Q51" s="32">
        <v>41.44</v>
      </c>
      <c r="R51" s="36">
        <v>111825.99</v>
      </c>
      <c r="S51" s="11">
        <f t="shared" si="3"/>
        <v>2698.5036196911201</v>
      </c>
      <c r="T51" s="12">
        <f t="shared" si="1"/>
        <v>2746.5036196911201</v>
      </c>
      <c r="U51" s="11">
        <f t="shared" si="2"/>
        <v>0</v>
      </c>
    </row>
    <row r="52" spans="1:21" ht="13.5">
      <c r="A52" s="28">
        <v>50</v>
      </c>
      <c r="B52" s="10" t="s">
        <v>73</v>
      </c>
      <c r="C52" s="10" t="s">
        <v>72</v>
      </c>
      <c r="D52" s="10" t="s">
        <v>55</v>
      </c>
      <c r="E52" s="10" t="s">
        <v>59</v>
      </c>
      <c r="F52" s="10"/>
      <c r="G52" s="10"/>
      <c r="H52" s="37"/>
      <c r="I52" s="33">
        <v>48</v>
      </c>
      <c r="J52" s="10"/>
      <c r="K52" s="10"/>
      <c r="L52" s="10"/>
      <c r="M52" s="11"/>
      <c r="N52" s="11"/>
      <c r="O52" s="34">
        <v>42481</v>
      </c>
      <c r="P52" s="35" t="s">
        <v>134</v>
      </c>
      <c r="Q52" s="32">
        <v>44.42</v>
      </c>
      <c r="R52" s="36">
        <v>119867.52</v>
      </c>
      <c r="S52" s="11">
        <f t="shared" si="3"/>
        <v>2698.5033768572716</v>
      </c>
      <c r="T52" s="12">
        <f t="shared" si="1"/>
        <v>2746.5033768572716</v>
      </c>
      <c r="U52" s="11">
        <f t="shared" si="2"/>
        <v>0</v>
      </c>
    </row>
    <row r="53" spans="1:21" ht="13.5">
      <c r="A53" s="28">
        <v>51</v>
      </c>
      <c r="B53" s="10" t="s">
        <v>73</v>
      </c>
      <c r="C53" s="10" t="s">
        <v>72</v>
      </c>
      <c r="D53" s="10" t="s">
        <v>55</v>
      </c>
      <c r="E53" s="10" t="s">
        <v>59</v>
      </c>
      <c r="F53" s="10"/>
      <c r="G53" s="10"/>
      <c r="H53" s="37"/>
      <c r="I53" s="33">
        <v>48</v>
      </c>
      <c r="J53" s="10"/>
      <c r="K53" s="10"/>
      <c r="L53" s="10"/>
      <c r="M53" s="11"/>
      <c r="N53" s="11"/>
      <c r="O53" s="34">
        <v>42480</v>
      </c>
      <c r="P53" s="35" t="s">
        <v>135</v>
      </c>
      <c r="Q53" s="32">
        <v>44.74</v>
      </c>
      <c r="R53" s="36">
        <v>120731.04</v>
      </c>
      <c r="S53" s="11">
        <f t="shared" si="3"/>
        <v>2698.5033527045148</v>
      </c>
      <c r="T53" s="12">
        <f t="shared" si="1"/>
        <v>2746.5033527045148</v>
      </c>
      <c r="U53" s="11">
        <f t="shared" si="2"/>
        <v>0</v>
      </c>
    </row>
    <row r="54" spans="1:21" ht="13.5">
      <c r="A54" s="28">
        <v>52</v>
      </c>
      <c r="B54" s="10" t="s">
        <v>73</v>
      </c>
      <c r="C54" s="10" t="s">
        <v>72</v>
      </c>
      <c r="D54" s="10" t="s">
        <v>55</v>
      </c>
      <c r="E54" s="10" t="s">
        <v>59</v>
      </c>
      <c r="F54" s="10"/>
      <c r="G54" s="10"/>
      <c r="H54" s="37"/>
      <c r="I54" s="33">
        <v>48</v>
      </c>
      <c r="J54" s="10"/>
      <c r="K54" s="10"/>
      <c r="L54" s="10"/>
      <c r="M54" s="11"/>
      <c r="N54" s="11"/>
      <c r="O54" s="34">
        <v>42480</v>
      </c>
      <c r="P54" s="35" t="s">
        <v>135</v>
      </c>
      <c r="Q54" s="32">
        <v>46.8</v>
      </c>
      <c r="R54" s="36">
        <v>126289.96</v>
      </c>
      <c r="S54" s="11">
        <f t="shared" si="3"/>
        <v>2698.5034188034192</v>
      </c>
      <c r="T54" s="12">
        <f t="shared" si="1"/>
        <v>2746.5034188034192</v>
      </c>
      <c r="U54" s="11">
        <f t="shared" si="2"/>
        <v>0</v>
      </c>
    </row>
    <row r="55" spans="1:21" ht="13.5">
      <c r="A55" s="28">
        <v>53</v>
      </c>
      <c r="B55" s="10" t="s">
        <v>73</v>
      </c>
      <c r="C55" s="10" t="s">
        <v>72</v>
      </c>
      <c r="D55" s="10" t="s">
        <v>55</v>
      </c>
      <c r="E55" s="10" t="s">
        <v>59</v>
      </c>
      <c r="F55" s="10"/>
      <c r="G55" s="10"/>
      <c r="H55" s="37"/>
      <c r="I55" s="33">
        <v>48</v>
      </c>
      <c r="J55" s="10"/>
      <c r="K55" s="10"/>
      <c r="L55" s="10"/>
      <c r="M55" s="11"/>
      <c r="N55" s="11"/>
      <c r="O55" s="34">
        <v>42480</v>
      </c>
      <c r="P55" s="35" t="s">
        <v>135</v>
      </c>
      <c r="Q55" s="32">
        <v>40</v>
      </c>
      <c r="R55" s="36">
        <v>107940.13</v>
      </c>
      <c r="S55" s="11">
        <f t="shared" si="3"/>
        <v>2698.5032500000002</v>
      </c>
      <c r="T55" s="12">
        <f t="shared" si="1"/>
        <v>2746.5032500000002</v>
      </c>
      <c r="U55" s="11">
        <f t="shared" si="2"/>
        <v>0</v>
      </c>
    </row>
    <row r="56" spans="1:21" ht="13.5">
      <c r="A56" s="28">
        <v>54</v>
      </c>
      <c r="B56" s="10" t="s">
        <v>73</v>
      </c>
      <c r="C56" s="10" t="s">
        <v>72</v>
      </c>
      <c r="D56" s="10" t="s">
        <v>55</v>
      </c>
      <c r="E56" s="10" t="s">
        <v>59</v>
      </c>
      <c r="F56" s="10"/>
      <c r="G56" s="10"/>
      <c r="H56" s="37"/>
      <c r="I56" s="33">
        <v>48</v>
      </c>
      <c r="J56" s="10"/>
      <c r="K56" s="10"/>
      <c r="L56" s="10"/>
      <c r="M56" s="11"/>
      <c r="N56" s="11"/>
      <c r="O56" s="34">
        <v>42480</v>
      </c>
      <c r="P56" s="35" t="s">
        <v>135</v>
      </c>
      <c r="Q56" s="32">
        <v>41.14</v>
      </c>
      <c r="R56" s="36">
        <v>111016.43</v>
      </c>
      <c r="S56" s="11">
        <f t="shared" si="3"/>
        <v>2698.5034030140978</v>
      </c>
      <c r="T56" s="12">
        <f t="shared" si="1"/>
        <v>2746.5034030140978</v>
      </c>
      <c r="U56" s="11">
        <f t="shared" si="2"/>
        <v>0</v>
      </c>
    </row>
    <row r="57" spans="1:21" ht="13.5">
      <c r="A57" s="28">
        <v>55</v>
      </c>
      <c r="B57" s="10" t="s">
        <v>73</v>
      </c>
      <c r="C57" s="10" t="s">
        <v>72</v>
      </c>
      <c r="D57" s="10" t="s">
        <v>55</v>
      </c>
      <c r="E57" s="10" t="s">
        <v>59</v>
      </c>
      <c r="F57" s="10"/>
      <c r="G57" s="10"/>
      <c r="H57" s="37"/>
      <c r="I57" s="33">
        <v>48</v>
      </c>
      <c r="J57" s="10"/>
      <c r="K57" s="10"/>
      <c r="L57" s="10"/>
      <c r="M57" s="11"/>
      <c r="N57" s="11"/>
      <c r="O57" s="34">
        <v>42485</v>
      </c>
      <c r="P57" s="35" t="s">
        <v>136</v>
      </c>
      <c r="Q57" s="32">
        <v>29.7</v>
      </c>
      <c r="R57" s="36">
        <v>79939.97</v>
      </c>
      <c r="S57" s="11">
        <f t="shared" si="3"/>
        <v>2691.5814814814817</v>
      </c>
      <c r="T57" s="12">
        <f t="shared" si="1"/>
        <v>2739.5814814814817</v>
      </c>
      <c r="U57" s="11">
        <f t="shared" si="2"/>
        <v>0</v>
      </c>
    </row>
    <row r="58" spans="1:21" ht="13.5">
      <c r="A58" s="28">
        <v>56</v>
      </c>
      <c r="B58" s="10" t="s">
        <v>73</v>
      </c>
      <c r="C58" s="10" t="s">
        <v>72</v>
      </c>
      <c r="D58" s="10" t="s">
        <v>55</v>
      </c>
      <c r="E58" s="10" t="s">
        <v>59</v>
      </c>
      <c r="F58" s="10"/>
      <c r="G58" s="10"/>
      <c r="H58" s="37"/>
      <c r="I58" s="33">
        <v>48</v>
      </c>
      <c r="J58" s="10"/>
      <c r="K58" s="10"/>
      <c r="L58" s="10"/>
      <c r="M58" s="11"/>
      <c r="N58" s="11"/>
      <c r="O58" s="34">
        <v>42484</v>
      </c>
      <c r="P58" s="35" t="s">
        <v>136</v>
      </c>
      <c r="Q58" s="32">
        <v>36.64</v>
      </c>
      <c r="R58" s="36">
        <v>98619.56</v>
      </c>
      <c r="S58" s="11">
        <f t="shared" si="3"/>
        <v>2691.5818777292575</v>
      </c>
      <c r="T58" s="12">
        <f t="shared" si="1"/>
        <v>2739.5818777292575</v>
      </c>
      <c r="U58" s="11">
        <f t="shared" si="2"/>
        <v>0</v>
      </c>
    </row>
    <row r="59" spans="1:21" ht="13.5">
      <c r="A59" s="28">
        <v>57</v>
      </c>
      <c r="B59" s="10" t="s">
        <v>73</v>
      </c>
      <c r="C59" s="10" t="s">
        <v>72</v>
      </c>
      <c r="D59" s="10" t="s">
        <v>55</v>
      </c>
      <c r="E59" s="10" t="s">
        <v>59</v>
      </c>
      <c r="F59" s="10"/>
      <c r="G59" s="10"/>
      <c r="H59" s="37"/>
      <c r="I59" s="33">
        <v>48</v>
      </c>
      <c r="J59" s="10"/>
      <c r="K59" s="10"/>
      <c r="L59" s="10"/>
      <c r="M59" s="11"/>
      <c r="N59" s="11"/>
      <c r="O59" s="34">
        <v>42512</v>
      </c>
      <c r="P59" s="35" t="s">
        <v>137</v>
      </c>
      <c r="Q59" s="32">
        <v>2.2400000000000002</v>
      </c>
      <c r="R59" s="36">
        <v>0</v>
      </c>
      <c r="S59" s="11">
        <f t="shared" si="3"/>
        <v>0</v>
      </c>
      <c r="T59" s="12">
        <f t="shared" si="1"/>
        <v>0</v>
      </c>
      <c r="U59" s="11">
        <f t="shared" si="2"/>
        <v>0</v>
      </c>
    </row>
    <row r="60" spans="1:21" ht="13.5">
      <c r="A60" s="28">
        <v>58</v>
      </c>
      <c r="B60" s="10" t="s">
        <v>74</v>
      </c>
      <c r="C60" s="10" t="s">
        <v>72</v>
      </c>
      <c r="D60" s="10" t="s">
        <v>55</v>
      </c>
      <c r="E60" s="10" t="s">
        <v>59</v>
      </c>
      <c r="F60" s="10" t="s">
        <v>78</v>
      </c>
      <c r="G60" s="10">
        <v>200</v>
      </c>
      <c r="H60" s="32">
        <v>2778.9999999907</v>
      </c>
      <c r="I60" s="33">
        <v>48</v>
      </c>
      <c r="J60" s="10"/>
      <c r="K60" s="10"/>
      <c r="L60" s="10"/>
      <c r="M60" s="11">
        <v>149.792</v>
      </c>
      <c r="N60" s="11">
        <v>50.207999999999998</v>
      </c>
      <c r="O60" s="34">
        <v>42482</v>
      </c>
      <c r="P60" s="35" t="s">
        <v>138</v>
      </c>
      <c r="Q60" s="32">
        <v>49.944000000000003</v>
      </c>
      <c r="R60" s="36">
        <v>138908.32</v>
      </c>
      <c r="S60" s="11">
        <f t="shared" si="3"/>
        <v>2781.2814352074324</v>
      </c>
      <c r="T60" s="12">
        <f t="shared" si="1"/>
        <v>2829.2814352074324</v>
      </c>
      <c r="U60" s="11">
        <f t="shared" si="2"/>
        <v>2826.9999999907</v>
      </c>
    </row>
    <row r="61" spans="1:21" ht="13.5">
      <c r="A61" s="28">
        <v>59</v>
      </c>
      <c r="B61" s="10" t="s">
        <v>74</v>
      </c>
      <c r="C61" s="10" t="s">
        <v>72</v>
      </c>
      <c r="D61" s="10" t="s">
        <v>55</v>
      </c>
      <c r="E61" s="10" t="s">
        <v>59</v>
      </c>
      <c r="F61" s="10"/>
      <c r="G61" s="10"/>
      <c r="H61" s="37"/>
      <c r="I61" s="33">
        <v>48</v>
      </c>
      <c r="J61" s="10"/>
      <c r="K61" s="10"/>
      <c r="L61" s="10"/>
      <c r="M61" s="11"/>
      <c r="N61" s="11"/>
      <c r="O61" s="34">
        <v>42481</v>
      </c>
      <c r="P61" s="35" t="s">
        <v>134</v>
      </c>
      <c r="Q61" s="32">
        <v>49.904000000000003</v>
      </c>
      <c r="R61" s="36">
        <v>138797.07999999999</v>
      </c>
      <c r="S61" s="11">
        <f t="shared" si="3"/>
        <v>2781.2816607887139</v>
      </c>
      <c r="T61" s="12">
        <f t="shared" si="1"/>
        <v>2829.2816607887139</v>
      </c>
      <c r="U61" s="11">
        <f t="shared" si="2"/>
        <v>0</v>
      </c>
    </row>
    <row r="62" spans="1:21" ht="13.5">
      <c r="A62" s="28">
        <v>60</v>
      </c>
      <c r="B62" s="10" t="s">
        <v>74</v>
      </c>
      <c r="C62" s="10" t="s">
        <v>72</v>
      </c>
      <c r="D62" s="10" t="s">
        <v>55</v>
      </c>
      <c r="E62" s="10" t="s">
        <v>59</v>
      </c>
      <c r="F62" s="10"/>
      <c r="G62" s="10"/>
      <c r="H62" s="37"/>
      <c r="I62" s="33">
        <v>48</v>
      </c>
      <c r="J62" s="10"/>
      <c r="K62" s="10"/>
      <c r="L62" s="10"/>
      <c r="M62" s="11"/>
      <c r="N62" s="11"/>
      <c r="O62" s="34">
        <v>42482</v>
      </c>
      <c r="P62" s="35" t="s">
        <v>139</v>
      </c>
      <c r="Q62" s="32">
        <v>49.944000000000003</v>
      </c>
      <c r="R62" s="36">
        <v>138908.32</v>
      </c>
      <c r="S62" s="11">
        <f t="shared" si="3"/>
        <v>2781.2814352074324</v>
      </c>
      <c r="T62" s="12">
        <f t="shared" si="1"/>
        <v>2829.2814352074324</v>
      </c>
      <c r="U62" s="11">
        <f t="shared" si="2"/>
        <v>0</v>
      </c>
    </row>
    <row r="63" spans="1:21" ht="13.5">
      <c r="A63" s="28">
        <v>61</v>
      </c>
      <c r="B63" s="10" t="s">
        <v>74</v>
      </c>
      <c r="C63" s="10" t="s">
        <v>72</v>
      </c>
      <c r="D63" s="10" t="s">
        <v>55</v>
      </c>
      <c r="E63" s="10" t="s">
        <v>59</v>
      </c>
      <c r="F63" s="10"/>
      <c r="G63" s="10"/>
      <c r="H63" s="37"/>
      <c r="I63" s="33">
        <v>48</v>
      </c>
      <c r="J63" s="10"/>
      <c r="K63" s="10"/>
      <c r="L63" s="10"/>
      <c r="M63" s="11"/>
      <c r="N63" s="11"/>
      <c r="O63" s="34">
        <v>42480</v>
      </c>
      <c r="P63" s="35" t="s">
        <v>139</v>
      </c>
      <c r="Q63" s="32">
        <v>49.963999999999999</v>
      </c>
      <c r="R63" s="36">
        <v>138963.96</v>
      </c>
      <c r="S63" s="11">
        <f t="shared" si="3"/>
        <v>2781.2817228404451</v>
      </c>
      <c r="T63" s="12">
        <f t="shared" si="1"/>
        <v>2829.2817228404451</v>
      </c>
      <c r="U63" s="11">
        <f t="shared" si="2"/>
        <v>0</v>
      </c>
    </row>
    <row r="64" spans="1:21" ht="13.5">
      <c r="A64" s="28">
        <v>62</v>
      </c>
      <c r="B64" s="10" t="s">
        <v>75</v>
      </c>
      <c r="C64" s="10" t="s">
        <v>76</v>
      </c>
      <c r="D64" s="10" t="s">
        <v>55</v>
      </c>
      <c r="E64" s="10" t="s">
        <v>77</v>
      </c>
      <c r="F64" s="10" t="s">
        <v>78</v>
      </c>
      <c r="G64" s="10">
        <v>40</v>
      </c>
      <c r="H64" s="32">
        <v>2649.9999999967999</v>
      </c>
      <c r="I64" s="33">
        <v>35</v>
      </c>
      <c r="J64" s="10"/>
      <c r="K64" s="10"/>
      <c r="L64" s="10"/>
      <c r="M64" s="11">
        <v>39.954000000000001</v>
      </c>
      <c r="N64" s="11">
        <v>0</v>
      </c>
      <c r="O64" s="34">
        <v>42483</v>
      </c>
      <c r="P64" s="35" t="s">
        <v>140</v>
      </c>
      <c r="Q64" s="32">
        <v>39.954000000000001</v>
      </c>
      <c r="R64" s="36">
        <v>105920.5</v>
      </c>
      <c r="S64" s="11">
        <f t="shared" si="3"/>
        <v>2651.0612204034637</v>
      </c>
      <c r="T64" s="12">
        <f t="shared" si="1"/>
        <v>2686.0612204034637</v>
      </c>
      <c r="U64" s="11">
        <f t="shared" si="2"/>
        <v>0</v>
      </c>
    </row>
    <row r="65" spans="1:21" ht="13.5">
      <c r="A65" s="28">
        <v>63</v>
      </c>
      <c r="B65" s="10" t="s">
        <v>80</v>
      </c>
      <c r="C65" s="10" t="s">
        <v>81</v>
      </c>
      <c r="D65" s="10" t="s">
        <v>79</v>
      </c>
      <c r="E65" s="10" t="s">
        <v>84</v>
      </c>
      <c r="F65" s="10" t="s">
        <v>78</v>
      </c>
      <c r="G65" s="10">
        <v>200</v>
      </c>
      <c r="H65" s="32">
        <v>2534.9999999904999</v>
      </c>
      <c r="I65" s="33"/>
      <c r="J65" s="10"/>
      <c r="K65" s="10"/>
      <c r="L65" s="10"/>
      <c r="M65" s="11">
        <v>201.21299999999999</v>
      </c>
      <c r="N65" s="11">
        <v>0</v>
      </c>
      <c r="O65" s="34">
        <v>42477</v>
      </c>
      <c r="P65" s="35" t="s">
        <v>141</v>
      </c>
      <c r="Q65" s="32">
        <v>50.383000000000003</v>
      </c>
      <c r="R65" s="36">
        <v>127720.92</v>
      </c>
      <c r="S65" s="11">
        <f t="shared" si="3"/>
        <v>2535.0002977194686</v>
      </c>
      <c r="T65" s="12">
        <f t="shared" si="1"/>
        <v>2535.0002977194686</v>
      </c>
      <c r="U65" s="11">
        <f t="shared" si="2"/>
        <v>0</v>
      </c>
    </row>
    <row r="66" spans="1:21" ht="13.5">
      <c r="A66" s="28">
        <v>64</v>
      </c>
      <c r="B66" s="10" t="s">
        <v>80</v>
      </c>
      <c r="C66" s="10" t="s">
        <v>81</v>
      </c>
      <c r="D66" s="10" t="s">
        <v>79</v>
      </c>
      <c r="E66" s="10" t="s">
        <v>84</v>
      </c>
      <c r="F66" s="10"/>
      <c r="G66" s="10"/>
      <c r="H66" s="37"/>
      <c r="I66" s="33"/>
      <c r="J66" s="10"/>
      <c r="K66" s="10"/>
      <c r="L66" s="10"/>
      <c r="M66" s="11"/>
      <c r="N66" s="11"/>
      <c r="O66" s="34">
        <v>42477</v>
      </c>
      <c r="P66" s="35" t="s">
        <v>42</v>
      </c>
      <c r="Q66" s="32">
        <v>50.622</v>
      </c>
      <c r="R66" s="36">
        <v>128326.76</v>
      </c>
      <c r="S66" s="11">
        <f t="shared" si="3"/>
        <v>2534.9998024574293</v>
      </c>
      <c r="T66" s="12">
        <f t="shared" si="1"/>
        <v>2534.9998024574293</v>
      </c>
      <c r="U66" s="11">
        <f t="shared" si="2"/>
        <v>0</v>
      </c>
    </row>
    <row r="67" spans="1:21" ht="13.5">
      <c r="A67" s="28">
        <v>65</v>
      </c>
      <c r="B67" s="10" t="s">
        <v>80</v>
      </c>
      <c r="C67" s="10" t="s">
        <v>81</v>
      </c>
      <c r="D67" s="10" t="s">
        <v>79</v>
      </c>
      <c r="E67" s="10" t="s">
        <v>84</v>
      </c>
      <c r="F67" s="10"/>
      <c r="G67" s="10"/>
      <c r="H67" s="37"/>
      <c r="I67" s="33"/>
      <c r="J67" s="10"/>
      <c r="K67" s="10"/>
      <c r="L67" s="10"/>
      <c r="M67" s="11"/>
      <c r="N67" s="11"/>
      <c r="O67" s="34">
        <v>42477</v>
      </c>
      <c r="P67" s="35" t="s">
        <v>141</v>
      </c>
      <c r="Q67" s="32">
        <v>50.383000000000003</v>
      </c>
      <c r="R67" s="36">
        <v>127720.91</v>
      </c>
      <c r="S67" s="11">
        <f t="shared" ref="S67:S98" si="4">R67/Q67</f>
        <v>2535.0000992398227</v>
      </c>
      <c r="T67" s="12">
        <f t="shared" si="1"/>
        <v>2535.0000992398227</v>
      </c>
      <c r="U67" s="11">
        <f t="shared" si="2"/>
        <v>0</v>
      </c>
    </row>
    <row r="68" spans="1:21" ht="13.5">
      <c r="A68" s="28">
        <v>66</v>
      </c>
      <c r="B68" s="10" t="s">
        <v>80</v>
      </c>
      <c r="C68" s="10" t="s">
        <v>81</v>
      </c>
      <c r="D68" s="10" t="s">
        <v>79</v>
      </c>
      <c r="E68" s="10" t="s">
        <v>84</v>
      </c>
      <c r="F68" s="10"/>
      <c r="G68" s="10"/>
      <c r="H68" s="37"/>
      <c r="I68" s="33"/>
      <c r="J68" s="10"/>
      <c r="K68" s="10"/>
      <c r="L68" s="10"/>
      <c r="M68" s="11"/>
      <c r="N68" s="11"/>
      <c r="O68" s="34">
        <v>42477</v>
      </c>
      <c r="P68" s="35" t="s">
        <v>141</v>
      </c>
      <c r="Q68" s="32">
        <v>49.825000000000003</v>
      </c>
      <c r="R68" s="36">
        <v>126306.37</v>
      </c>
      <c r="S68" s="11">
        <f t="shared" si="4"/>
        <v>2534.9998996487707</v>
      </c>
      <c r="T68" s="12">
        <f t="shared" ref="T68:T120" si="5">IF(S68=0,0,S68+I68)</f>
        <v>2534.9998996487707</v>
      </c>
      <c r="U68" s="11">
        <f t="shared" ref="U68:U120" si="6">IF(N68=0,0,H68+I68)</f>
        <v>0</v>
      </c>
    </row>
    <row r="69" spans="1:21" ht="13.5">
      <c r="A69" s="28">
        <v>67</v>
      </c>
      <c r="B69" s="10" t="s">
        <v>82</v>
      </c>
      <c r="C69" s="10" t="s">
        <v>83</v>
      </c>
      <c r="D69" s="10" t="s">
        <v>79</v>
      </c>
      <c r="E69" s="10" t="s">
        <v>84</v>
      </c>
      <c r="F69" s="10" t="s">
        <v>78</v>
      </c>
      <c r="G69" s="10">
        <v>500</v>
      </c>
      <c r="H69" s="32">
        <v>2704.9999999949</v>
      </c>
      <c r="I69" s="33"/>
      <c r="J69" s="10"/>
      <c r="K69" s="10"/>
      <c r="L69" s="10"/>
      <c r="M69" s="11">
        <v>504.25900000000001</v>
      </c>
      <c r="N69" s="11">
        <v>0</v>
      </c>
      <c r="O69" s="34">
        <v>42492</v>
      </c>
      <c r="P69" s="35" t="s">
        <v>142</v>
      </c>
      <c r="Q69" s="32">
        <v>50.622</v>
      </c>
      <c r="R69" s="36">
        <v>0</v>
      </c>
      <c r="S69" s="11">
        <f t="shared" si="4"/>
        <v>0</v>
      </c>
      <c r="T69" s="12">
        <f t="shared" si="5"/>
        <v>0</v>
      </c>
      <c r="U69" s="11">
        <f t="shared" si="6"/>
        <v>0</v>
      </c>
    </row>
    <row r="70" spans="1:21" ht="13.5">
      <c r="A70" s="28">
        <v>68</v>
      </c>
      <c r="B70" s="10" t="s">
        <v>82</v>
      </c>
      <c r="C70" s="10" t="s">
        <v>83</v>
      </c>
      <c r="D70" s="10" t="s">
        <v>79</v>
      </c>
      <c r="E70" s="10" t="s">
        <v>84</v>
      </c>
      <c r="F70" s="10"/>
      <c r="G70" s="10"/>
      <c r="H70" s="37"/>
      <c r="I70" s="33"/>
      <c r="J70" s="10"/>
      <c r="K70" s="10"/>
      <c r="L70" s="10"/>
      <c r="M70" s="11"/>
      <c r="N70" s="11"/>
      <c r="O70" s="34">
        <v>42493</v>
      </c>
      <c r="P70" s="35" t="s">
        <v>143</v>
      </c>
      <c r="Q70" s="32">
        <v>50.353000000000002</v>
      </c>
      <c r="R70" s="36">
        <v>0</v>
      </c>
      <c r="S70" s="11">
        <f t="shared" si="4"/>
        <v>0</v>
      </c>
      <c r="T70" s="12">
        <f t="shared" si="5"/>
        <v>0</v>
      </c>
      <c r="U70" s="11">
        <f t="shared" si="6"/>
        <v>0</v>
      </c>
    </row>
    <row r="71" spans="1:21" ht="13.5">
      <c r="A71" s="28">
        <v>69</v>
      </c>
      <c r="B71" s="10" t="s">
        <v>82</v>
      </c>
      <c r="C71" s="10" t="s">
        <v>83</v>
      </c>
      <c r="D71" s="10" t="s">
        <v>79</v>
      </c>
      <c r="E71" s="10" t="s">
        <v>84</v>
      </c>
      <c r="F71" s="10"/>
      <c r="G71" s="10"/>
      <c r="H71" s="37"/>
      <c r="I71" s="33"/>
      <c r="J71" s="10"/>
      <c r="K71" s="10"/>
      <c r="L71" s="10"/>
      <c r="M71" s="11"/>
      <c r="N71" s="11"/>
      <c r="O71" s="34">
        <v>42493</v>
      </c>
      <c r="P71" s="35" t="s">
        <v>143</v>
      </c>
      <c r="Q71" s="32">
        <v>50.203000000000003</v>
      </c>
      <c r="R71" s="36">
        <v>0</v>
      </c>
      <c r="S71" s="11">
        <f t="shared" si="4"/>
        <v>0</v>
      </c>
      <c r="T71" s="12">
        <f t="shared" si="5"/>
        <v>0</v>
      </c>
      <c r="U71" s="11">
        <f t="shared" si="6"/>
        <v>0</v>
      </c>
    </row>
    <row r="72" spans="1:21" ht="13.5">
      <c r="A72" s="28">
        <v>70</v>
      </c>
      <c r="B72" s="10" t="s">
        <v>82</v>
      </c>
      <c r="C72" s="10" t="s">
        <v>83</v>
      </c>
      <c r="D72" s="10" t="s">
        <v>79</v>
      </c>
      <c r="E72" s="10" t="s">
        <v>84</v>
      </c>
      <c r="F72" s="10"/>
      <c r="G72" s="10"/>
      <c r="H72" s="37"/>
      <c r="I72" s="33"/>
      <c r="J72" s="10"/>
      <c r="K72" s="10"/>
      <c r="L72" s="10"/>
      <c r="M72" s="11"/>
      <c r="N72" s="11"/>
      <c r="O72" s="34">
        <v>42493</v>
      </c>
      <c r="P72" s="35" t="s">
        <v>144</v>
      </c>
      <c r="Q72" s="32">
        <v>50.561999999999998</v>
      </c>
      <c r="R72" s="36">
        <v>0</v>
      </c>
      <c r="S72" s="11">
        <f t="shared" si="4"/>
        <v>0</v>
      </c>
      <c r="T72" s="12">
        <f t="shared" si="5"/>
        <v>0</v>
      </c>
      <c r="U72" s="11">
        <f t="shared" si="6"/>
        <v>0</v>
      </c>
    </row>
    <row r="73" spans="1:21" ht="13.5">
      <c r="A73" s="28">
        <v>71</v>
      </c>
      <c r="B73" s="10" t="s">
        <v>82</v>
      </c>
      <c r="C73" s="10" t="s">
        <v>83</v>
      </c>
      <c r="D73" s="10" t="s">
        <v>79</v>
      </c>
      <c r="E73" s="10" t="s">
        <v>84</v>
      </c>
      <c r="F73" s="10"/>
      <c r="G73" s="10"/>
      <c r="H73" s="37"/>
      <c r="I73" s="33"/>
      <c r="J73" s="10"/>
      <c r="K73" s="10"/>
      <c r="L73" s="10"/>
      <c r="M73" s="11"/>
      <c r="N73" s="11"/>
      <c r="O73" s="34">
        <v>42492</v>
      </c>
      <c r="P73" s="35" t="s">
        <v>145</v>
      </c>
      <c r="Q73" s="32">
        <v>51.56</v>
      </c>
      <c r="R73" s="36">
        <v>0</v>
      </c>
      <c r="S73" s="11">
        <f t="shared" si="4"/>
        <v>0</v>
      </c>
      <c r="T73" s="12">
        <f t="shared" si="5"/>
        <v>0</v>
      </c>
      <c r="U73" s="11">
        <f t="shared" si="6"/>
        <v>0</v>
      </c>
    </row>
    <row r="74" spans="1:21" ht="13.5">
      <c r="A74" s="28">
        <v>72</v>
      </c>
      <c r="B74" s="10" t="s">
        <v>82</v>
      </c>
      <c r="C74" s="10" t="s">
        <v>83</v>
      </c>
      <c r="D74" s="10" t="s">
        <v>79</v>
      </c>
      <c r="E74" s="10" t="s">
        <v>84</v>
      </c>
      <c r="F74" s="10"/>
      <c r="G74" s="10"/>
      <c r="H74" s="37"/>
      <c r="I74" s="33"/>
      <c r="J74" s="10"/>
      <c r="K74" s="10"/>
      <c r="L74" s="10"/>
      <c r="M74" s="11"/>
      <c r="N74" s="11"/>
      <c r="O74" s="34">
        <v>42493</v>
      </c>
      <c r="P74" s="35" t="s">
        <v>144</v>
      </c>
      <c r="Q74" s="32">
        <v>50.542000000000002</v>
      </c>
      <c r="R74" s="36">
        <v>0</v>
      </c>
      <c r="S74" s="11">
        <f t="shared" si="4"/>
        <v>0</v>
      </c>
      <c r="T74" s="12">
        <f t="shared" si="5"/>
        <v>0</v>
      </c>
      <c r="U74" s="11">
        <f t="shared" si="6"/>
        <v>0</v>
      </c>
    </row>
    <row r="75" spans="1:21" ht="13.5">
      <c r="A75" s="28">
        <v>73</v>
      </c>
      <c r="B75" s="10" t="s">
        <v>82</v>
      </c>
      <c r="C75" s="10" t="s">
        <v>83</v>
      </c>
      <c r="D75" s="10" t="s">
        <v>79</v>
      </c>
      <c r="E75" s="10" t="s">
        <v>84</v>
      </c>
      <c r="F75" s="10"/>
      <c r="G75" s="10"/>
      <c r="H75" s="37"/>
      <c r="I75" s="33"/>
      <c r="J75" s="10"/>
      <c r="K75" s="10"/>
      <c r="L75" s="10"/>
      <c r="M75" s="11"/>
      <c r="N75" s="11"/>
      <c r="O75" s="34">
        <v>42492</v>
      </c>
      <c r="P75" s="35" t="s">
        <v>145</v>
      </c>
      <c r="Q75" s="32">
        <v>50.064</v>
      </c>
      <c r="R75" s="36">
        <v>0</v>
      </c>
      <c r="S75" s="11">
        <f t="shared" si="4"/>
        <v>0</v>
      </c>
      <c r="T75" s="12">
        <f t="shared" si="5"/>
        <v>0</v>
      </c>
      <c r="U75" s="11">
        <f t="shared" si="6"/>
        <v>0</v>
      </c>
    </row>
    <row r="76" spans="1:21" ht="13.5">
      <c r="A76" s="28">
        <v>74</v>
      </c>
      <c r="B76" s="10" t="s">
        <v>82</v>
      </c>
      <c r="C76" s="10" t="s">
        <v>83</v>
      </c>
      <c r="D76" s="10" t="s">
        <v>79</v>
      </c>
      <c r="E76" s="10" t="s">
        <v>84</v>
      </c>
      <c r="F76" s="10"/>
      <c r="G76" s="10"/>
      <c r="H76" s="37"/>
      <c r="I76" s="33"/>
      <c r="J76" s="10"/>
      <c r="K76" s="10"/>
      <c r="L76" s="10"/>
      <c r="M76" s="11"/>
      <c r="N76" s="11"/>
      <c r="O76" s="34">
        <v>42492</v>
      </c>
      <c r="P76" s="35" t="s">
        <v>142</v>
      </c>
      <c r="Q76" s="32">
        <v>51.29</v>
      </c>
      <c r="R76" s="36">
        <v>0</v>
      </c>
      <c r="S76" s="11">
        <f t="shared" si="4"/>
        <v>0</v>
      </c>
      <c r="T76" s="12">
        <f t="shared" si="5"/>
        <v>0</v>
      </c>
      <c r="U76" s="11">
        <f t="shared" si="6"/>
        <v>0</v>
      </c>
    </row>
    <row r="77" spans="1:21" ht="13.5">
      <c r="A77" s="28">
        <v>75</v>
      </c>
      <c r="B77" s="10" t="s">
        <v>82</v>
      </c>
      <c r="C77" s="10" t="s">
        <v>83</v>
      </c>
      <c r="D77" s="10" t="s">
        <v>79</v>
      </c>
      <c r="E77" s="10" t="s">
        <v>84</v>
      </c>
      <c r="F77" s="10"/>
      <c r="G77" s="10"/>
      <c r="H77" s="37"/>
      <c r="I77" s="33"/>
      <c r="J77" s="10"/>
      <c r="K77" s="10"/>
      <c r="L77" s="10"/>
      <c r="M77" s="11"/>
      <c r="N77" s="11"/>
      <c r="O77" s="34">
        <v>42494</v>
      </c>
      <c r="P77" s="35" t="s">
        <v>146</v>
      </c>
      <c r="Q77" s="32">
        <v>51.52</v>
      </c>
      <c r="R77" s="36">
        <v>0</v>
      </c>
      <c r="S77" s="11">
        <f t="shared" si="4"/>
        <v>0</v>
      </c>
      <c r="T77" s="12">
        <f t="shared" si="5"/>
        <v>0</v>
      </c>
      <c r="U77" s="11">
        <f t="shared" si="6"/>
        <v>0</v>
      </c>
    </row>
    <row r="78" spans="1:21" ht="13.5">
      <c r="A78" s="28">
        <v>76</v>
      </c>
      <c r="B78" s="10" t="s">
        <v>82</v>
      </c>
      <c r="C78" s="10" t="s">
        <v>83</v>
      </c>
      <c r="D78" s="10" t="s">
        <v>79</v>
      </c>
      <c r="E78" s="10" t="s">
        <v>84</v>
      </c>
      <c r="F78" s="10"/>
      <c r="G78" s="10"/>
      <c r="H78" s="37"/>
      <c r="I78" s="33"/>
      <c r="J78" s="10"/>
      <c r="K78" s="10"/>
      <c r="L78" s="10"/>
      <c r="M78" s="11"/>
      <c r="N78" s="11"/>
      <c r="O78" s="34">
        <v>42491</v>
      </c>
      <c r="P78" s="35" t="s">
        <v>147</v>
      </c>
      <c r="Q78" s="32">
        <v>50.844000000000001</v>
      </c>
      <c r="R78" s="36">
        <v>0</v>
      </c>
      <c r="S78" s="11">
        <f t="shared" si="4"/>
        <v>0</v>
      </c>
      <c r="T78" s="12">
        <f t="shared" si="5"/>
        <v>0</v>
      </c>
      <c r="U78" s="11">
        <f t="shared" si="6"/>
        <v>0</v>
      </c>
    </row>
    <row r="79" spans="1:21" ht="13.5">
      <c r="A79" s="28">
        <v>77</v>
      </c>
      <c r="B79" s="10" t="s">
        <v>82</v>
      </c>
      <c r="C79" s="10" t="s">
        <v>83</v>
      </c>
      <c r="D79" s="10" t="s">
        <v>79</v>
      </c>
      <c r="E79" s="10" t="s">
        <v>84</v>
      </c>
      <c r="F79" s="10"/>
      <c r="G79" s="10"/>
      <c r="H79" s="37"/>
      <c r="I79" s="33"/>
      <c r="J79" s="10"/>
      <c r="K79" s="10"/>
      <c r="L79" s="10"/>
      <c r="M79" s="11"/>
      <c r="N79" s="11"/>
      <c r="O79" s="34">
        <v>42495</v>
      </c>
      <c r="P79" s="35" t="s">
        <v>145</v>
      </c>
      <c r="Q79" s="32">
        <v>-51.56</v>
      </c>
      <c r="R79" s="36">
        <v>0</v>
      </c>
      <c r="S79" s="11">
        <f t="shared" si="4"/>
        <v>0</v>
      </c>
      <c r="T79" s="12">
        <f t="shared" si="5"/>
        <v>0</v>
      </c>
      <c r="U79" s="11">
        <f t="shared" si="6"/>
        <v>0</v>
      </c>
    </row>
    <row r="80" spans="1:21" ht="13.5">
      <c r="A80" s="28">
        <v>78</v>
      </c>
      <c r="B80" s="10" t="s">
        <v>82</v>
      </c>
      <c r="C80" s="10" t="s">
        <v>83</v>
      </c>
      <c r="D80" s="10" t="s">
        <v>79</v>
      </c>
      <c r="E80" s="10" t="s">
        <v>84</v>
      </c>
      <c r="F80" s="10"/>
      <c r="G80" s="10"/>
      <c r="H80" s="37"/>
      <c r="I80" s="33"/>
      <c r="J80" s="10"/>
      <c r="K80" s="10"/>
      <c r="L80" s="10"/>
      <c r="M80" s="11"/>
      <c r="N80" s="11"/>
      <c r="O80" s="34">
        <v>42495</v>
      </c>
      <c r="P80" s="35" t="s">
        <v>145</v>
      </c>
      <c r="Q80" s="32">
        <v>-50.064</v>
      </c>
      <c r="R80" s="36">
        <v>0</v>
      </c>
      <c r="S80" s="11">
        <f t="shared" si="4"/>
        <v>0</v>
      </c>
      <c r="T80" s="12">
        <f t="shared" si="5"/>
        <v>0</v>
      </c>
      <c r="U80" s="11">
        <f t="shared" si="6"/>
        <v>0</v>
      </c>
    </row>
    <row r="81" spans="1:21" ht="13.5">
      <c r="A81" s="28">
        <v>79</v>
      </c>
      <c r="B81" s="10" t="s">
        <v>82</v>
      </c>
      <c r="C81" s="10" t="s">
        <v>83</v>
      </c>
      <c r="D81" s="10" t="s">
        <v>79</v>
      </c>
      <c r="E81" s="10" t="s">
        <v>84</v>
      </c>
      <c r="F81" s="10"/>
      <c r="G81" s="10"/>
      <c r="H81" s="37"/>
      <c r="I81" s="33"/>
      <c r="J81" s="10"/>
      <c r="K81" s="10"/>
      <c r="L81" s="10"/>
      <c r="M81" s="11"/>
      <c r="N81" s="11"/>
      <c r="O81" s="34">
        <v>42495</v>
      </c>
      <c r="P81" s="35" t="s">
        <v>144</v>
      </c>
      <c r="Q81" s="32">
        <v>-50.561999999999998</v>
      </c>
      <c r="R81" s="36">
        <v>0</v>
      </c>
      <c r="S81" s="11">
        <f t="shared" si="4"/>
        <v>0</v>
      </c>
      <c r="T81" s="12">
        <f t="shared" si="5"/>
        <v>0</v>
      </c>
      <c r="U81" s="11">
        <f t="shared" si="6"/>
        <v>0</v>
      </c>
    </row>
    <row r="82" spans="1:21" ht="13.5">
      <c r="A82" s="28">
        <v>80</v>
      </c>
      <c r="B82" s="10" t="s">
        <v>82</v>
      </c>
      <c r="C82" s="10" t="s">
        <v>83</v>
      </c>
      <c r="D82" s="10" t="s">
        <v>79</v>
      </c>
      <c r="E82" s="10" t="s">
        <v>84</v>
      </c>
      <c r="F82" s="10"/>
      <c r="G82" s="10"/>
      <c r="H82" s="37"/>
      <c r="I82" s="33"/>
      <c r="J82" s="10"/>
      <c r="K82" s="10"/>
      <c r="L82" s="10"/>
      <c r="M82" s="11"/>
      <c r="N82" s="11"/>
      <c r="O82" s="34">
        <v>42495</v>
      </c>
      <c r="P82" s="35" t="s">
        <v>144</v>
      </c>
      <c r="Q82" s="32">
        <v>-50.542000000000002</v>
      </c>
      <c r="R82" s="36">
        <v>0</v>
      </c>
      <c r="S82" s="11">
        <f t="shared" si="4"/>
        <v>0</v>
      </c>
      <c r="T82" s="12">
        <f t="shared" si="5"/>
        <v>0</v>
      </c>
      <c r="U82" s="11">
        <f t="shared" si="6"/>
        <v>0</v>
      </c>
    </row>
    <row r="83" spans="1:21" ht="13.5">
      <c r="A83" s="28">
        <v>81</v>
      </c>
      <c r="B83" s="10" t="s">
        <v>82</v>
      </c>
      <c r="C83" s="10" t="s">
        <v>83</v>
      </c>
      <c r="D83" s="10" t="s">
        <v>79</v>
      </c>
      <c r="E83" s="10" t="s">
        <v>84</v>
      </c>
      <c r="F83" s="10"/>
      <c r="G83" s="10"/>
      <c r="H83" s="37"/>
      <c r="I83" s="33"/>
      <c r="J83" s="10"/>
      <c r="K83" s="10"/>
      <c r="L83" s="10"/>
      <c r="M83" s="11"/>
      <c r="N83" s="11"/>
      <c r="O83" s="34">
        <v>42502</v>
      </c>
      <c r="P83" s="35" t="s">
        <v>146</v>
      </c>
      <c r="Q83" s="32">
        <v>-51.52</v>
      </c>
      <c r="R83" s="36">
        <v>0</v>
      </c>
      <c r="S83" s="11">
        <f t="shared" si="4"/>
        <v>0</v>
      </c>
      <c r="T83" s="12">
        <f t="shared" si="5"/>
        <v>0</v>
      </c>
      <c r="U83" s="11">
        <f t="shared" si="6"/>
        <v>0</v>
      </c>
    </row>
    <row r="84" spans="1:21" ht="13.5">
      <c r="A84" s="28">
        <v>82</v>
      </c>
      <c r="B84" s="10" t="s">
        <v>82</v>
      </c>
      <c r="C84" s="10" t="s">
        <v>83</v>
      </c>
      <c r="D84" s="10" t="s">
        <v>79</v>
      </c>
      <c r="E84" s="10" t="s">
        <v>84</v>
      </c>
      <c r="F84" s="10"/>
      <c r="G84" s="10"/>
      <c r="H84" s="37"/>
      <c r="I84" s="33"/>
      <c r="J84" s="10"/>
      <c r="K84" s="10"/>
      <c r="L84" s="10"/>
      <c r="M84" s="11"/>
      <c r="N84" s="11"/>
      <c r="O84" s="34">
        <v>42506</v>
      </c>
      <c r="P84" s="35" t="s">
        <v>148</v>
      </c>
      <c r="Q84" s="32">
        <v>50.183</v>
      </c>
      <c r="R84" s="36">
        <v>0</v>
      </c>
      <c r="S84" s="11">
        <f t="shared" si="4"/>
        <v>0</v>
      </c>
      <c r="T84" s="12">
        <f t="shared" si="5"/>
        <v>0</v>
      </c>
      <c r="U84" s="11">
        <f t="shared" si="6"/>
        <v>0</v>
      </c>
    </row>
    <row r="85" spans="1:21" ht="13.5">
      <c r="A85" s="28">
        <v>83</v>
      </c>
      <c r="B85" s="10" t="s">
        <v>82</v>
      </c>
      <c r="C85" s="10" t="s">
        <v>83</v>
      </c>
      <c r="D85" s="10" t="s">
        <v>79</v>
      </c>
      <c r="E85" s="10" t="s">
        <v>84</v>
      </c>
      <c r="F85" s="10"/>
      <c r="G85" s="10"/>
      <c r="H85" s="37"/>
      <c r="I85" s="33"/>
      <c r="J85" s="10"/>
      <c r="K85" s="10"/>
      <c r="L85" s="10"/>
      <c r="M85" s="11"/>
      <c r="N85" s="11"/>
      <c r="O85" s="34">
        <v>42506</v>
      </c>
      <c r="P85" s="35" t="s">
        <v>149</v>
      </c>
      <c r="Q85" s="32">
        <v>51.151000000000003</v>
      </c>
      <c r="R85" s="36">
        <v>0</v>
      </c>
      <c r="S85" s="11">
        <f t="shared" si="4"/>
        <v>0</v>
      </c>
      <c r="T85" s="12">
        <f t="shared" si="5"/>
        <v>0</v>
      </c>
      <c r="U85" s="11">
        <f t="shared" si="6"/>
        <v>0</v>
      </c>
    </row>
    <row r="86" spans="1:21" ht="13.5">
      <c r="A86" s="28">
        <v>84</v>
      </c>
      <c r="B86" s="10" t="s">
        <v>82</v>
      </c>
      <c r="C86" s="10" t="s">
        <v>83</v>
      </c>
      <c r="D86" s="10" t="s">
        <v>79</v>
      </c>
      <c r="E86" s="10" t="s">
        <v>84</v>
      </c>
      <c r="F86" s="10"/>
      <c r="G86" s="10"/>
      <c r="H86" s="37"/>
      <c r="I86" s="33"/>
      <c r="J86" s="10"/>
      <c r="K86" s="10"/>
      <c r="L86" s="10"/>
      <c r="M86" s="11"/>
      <c r="N86" s="11"/>
      <c r="O86" s="34">
        <v>42506</v>
      </c>
      <c r="P86" s="35" t="s">
        <v>149</v>
      </c>
      <c r="Q86" s="32">
        <v>49.823999999999998</v>
      </c>
      <c r="R86" s="36">
        <v>0</v>
      </c>
      <c r="S86" s="11">
        <f t="shared" si="4"/>
        <v>0</v>
      </c>
      <c r="T86" s="12">
        <f t="shared" si="5"/>
        <v>0</v>
      </c>
      <c r="U86" s="11">
        <f t="shared" si="6"/>
        <v>0</v>
      </c>
    </row>
    <row r="87" spans="1:21" ht="13.5">
      <c r="A87" s="28">
        <v>85</v>
      </c>
      <c r="B87" s="10" t="s">
        <v>82</v>
      </c>
      <c r="C87" s="10" t="s">
        <v>83</v>
      </c>
      <c r="D87" s="10" t="s">
        <v>79</v>
      </c>
      <c r="E87" s="10" t="s">
        <v>84</v>
      </c>
      <c r="F87" s="10"/>
      <c r="G87" s="10"/>
      <c r="H87" s="37"/>
      <c r="I87" s="33"/>
      <c r="J87" s="10"/>
      <c r="K87" s="10"/>
      <c r="L87" s="10"/>
      <c r="M87" s="11"/>
      <c r="N87" s="11"/>
      <c r="O87" s="34">
        <v>42507</v>
      </c>
      <c r="P87" s="35" t="s">
        <v>150</v>
      </c>
      <c r="Q87" s="32">
        <v>50.402999999999999</v>
      </c>
      <c r="R87" s="36">
        <v>0</v>
      </c>
      <c r="S87" s="11">
        <f t="shared" si="4"/>
        <v>0</v>
      </c>
      <c r="T87" s="12">
        <f t="shared" si="5"/>
        <v>0</v>
      </c>
      <c r="U87" s="11">
        <f t="shared" si="6"/>
        <v>0</v>
      </c>
    </row>
    <row r="88" spans="1:21" ht="13.5">
      <c r="A88" s="28">
        <v>86</v>
      </c>
      <c r="B88" s="10" t="s">
        <v>82</v>
      </c>
      <c r="C88" s="10" t="s">
        <v>83</v>
      </c>
      <c r="D88" s="10" t="s">
        <v>79</v>
      </c>
      <c r="E88" s="10" t="s">
        <v>84</v>
      </c>
      <c r="F88" s="10"/>
      <c r="G88" s="10"/>
      <c r="H88" s="37"/>
      <c r="I88" s="33"/>
      <c r="J88" s="10"/>
      <c r="K88" s="10"/>
      <c r="L88" s="10"/>
      <c r="M88" s="11"/>
      <c r="N88" s="11"/>
      <c r="O88" s="34">
        <v>42508</v>
      </c>
      <c r="P88" s="35" t="s">
        <v>151</v>
      </c>
      <c r="Q88" s="32">
        <v>49.386000000000003</v>
      </c>
      <c r="R88" s="36">
        <v>0</v>
      </c>
      <c r="S88" s="11">
        <f t="shared" si="4"/>
        <v>0</v>
      </c>
      <c r="T88" s="12">
        <f t="shared" si="5"/>
        <v>0</v>
      </c>
      <c r="U88" s="11">
        <f t="shared" si="6"/>
        <v>0</v>
      </c>
    </row>
    <row r="89" spans="1:21" ht="13.5">
      <c r="A89" s="28">
        <v>87</v>
      </c>
      <c r="B89" s="10" t="s">
        <v>56</v>
      </c>
      <c r="C89" s="10" t="s">
        <v>57</v>
      </c>
      <c r="D89" s="10" t="s">
        <v>58</v>
      </c>
      <c r="E89" s="10" t="s">
        <v>59</v>
      </c>
      <c r="F89" s="10" t="s">
        <v>78</v>
      </c>
      <c r="G89" s="10">
        <v>300</v>
      </c>
      <c r="H89" s="32">
        <v>2592.9999999923998</v>
      </c>
      <c r="I89" s="33">
        <v>60</v>
      </c>
      <c r="J89" s="10"/>
      <c r="K89" s="10"/>
      <c r="L89" s="10"/>
      <c r="M89" s="11">
        <v>299.71300000000002</v>
      </c>
      <c r="N89" s="11">
        <v>0</v>
      </c>
      <c r="O89" s="34">
        <v>42474</v>
      </c>
      <c r="P89" s="35" t="s">
        <v>152</v>
      </c>
      <c r="Q89" s="32">
        <v>49.823999999999998</v>
      </c>
      <c r="R89" s="36">
        <v>129690.37</v>
      </c>
      <c r="S89" s="11">
        <f t="shared" si="4"/>
        <v>2602.9698538856774</v>
      </c>
      <c r="T89" s="12">
        <f t="shared" si="5"/>
        <v>2662.9698538856774</v>
      </c>
      <c r="U89" s="11">
        <f t="shared" si="6"/>
        <v>0</v>
      </c>
    </row>
    <row r="90" spans="1:21" ht="13.5">
      <c r="A90" s="28">
        <v>88</v>
      </c>
      <c r="B90" s="10" t="s">
        <v>56</v>
      </c>
      <c r="C90" s="10" t="s">
        <v>57</v>
      </c>
      <c r="D90" s="10" t="s">
        <v>58</v>
      </c>
      <c r="E90" s="10" t="s">
        <v>59</v>
      </c>
      <c r="F90" s="10"/>
      <c r="G90" s="10"/>
      <c r="H90" s="37"/>
      <c r="I90" s="33">
        <v>60</v>
      </c>
      <c r="J90" s="10"/>
      <c r="K90" s="10"/>
      <c r="L90" s="10"/>
      <c r="M90" s="11"/>
      <c r="N90" s="11"/>
      <c r="O90" s="34">
        <v>42474</v>
      </c>
      <c r="P90" s="35" t="s">
        <v>153</v>
      </c>
      <c r="Q90" s="32">
        <v>49.784999999999997</v>
      </c>
      <c r="R90" s="36">
        <v>129588.85</v>
      </c>
      <c r="S90" s="11">
        <f t="shared" si="4"/>
        <v>2602.9697700110478</v>
      </c>
      <c r="T90" s="12">
        <f t="shared" si="5"/>
        <v>2662.9697700110478</v>
      </c>
      <c r="U90" s="11">
        <f t="shared" si="6"/>
        <v>0</v>
      </c>
    </row>
    <row r="91" spans="1:21" ht="13.5">
      <c r="A91" s="28">
        <v>89</v>
      </c>
      <c r="B91" s="10" t="s">
        <v>56</v>
      </c>
      <c r="C91" s="10" t="s">
        <v>57</v>
      </c>
      <c r="D91" s="10" t="s">
        <v>58</v>
      </c>
      <c r="E91" s="10" t="s">
        <v>59</v>
      </c>
      <c r="F91" s="10"/>
      <c r="G91" s="10"/>
      <c r="H91" s="37"/>
      <c r="I91" s="33">
        <v>60</v>
      </c>
      <c r="J91" s="10"/>
      <c r="K91" s="10"/>
      <c r="L91" s="10"/>
      <c r="M91" s="11"/>
      <c r="N91" s="11"/>
      <c r="O91" s="34">
        <v>42470</v>
      </c>
      <c r="P91" s="35" t="s">
        <v>154</v>
      </c>
      <c r="Q91" s="32">
        <v>49.834000000000003</v>
      </c>
      <c r="R91" s="36">
        <v>129716.4</v>
      </c>
      <c r="S91" s="11">
        <f t="shared" si="4"/>
        <v>2602.969859934984</v>
      </c>
      <c r="T91" s="12">
        <f t="shared" si="5"/>
        <v>2662.969859934984</v>
      </c>
      <c r="U91" s="11">
        <f t="shared" si="6"/>
        <v>0</v>
      </c>
    </row>
    <row r="92" spans="1:21" ht="13.5">
      <c r="A92" s="28">
        <v>90</v>
      </c>
      <c r="B92" s="10" t="s">
        <v>56</v>
      </c>
      <c r="C92" s="10" t="s">
        <v>57</v>
      </c>
      <c r="D92" s="10" t="s">
        <v>58</v>
      </c>
      <c r="E92" s="10" t="s">
        <v>59</v>
      </c>
      <c r="F92" s="10"/>
      <c r="G92" s="10"/>
      <c r="H92" s="37"/>
      <c r="I92" s="33">
        <v>60</v>
      </c>
      <c r="J92" s="10"/>
      <c r="K92" s="10"/>
      <c r="L92" s="10"/>
      <c r="M92" s="11"/>
      <c r="N92" s="11"/>
      <c r="O92" s="34">
        <v>42474</v>
      </c>
      <c r="P92" s="35" t="s">
        <v>155</v>
      </c>
      <c r="Q92" s="32">
        <v>49.884</v>
      </c>
      <c r="R92" s="36">
        <v>129846.55</v>
      </c>
      <c r="S92" s="11">
        <f t="shared" si="4"/>
        <v>2602.9698901451366</v>
      </c>
      <c r="T92" s="12">
        <f t="shared" si="5"/>
        <v>2662.9698901451366</v>
      </c>
      <c r="U92" s="11">
        <f t="shared" si="6"/>
        <v>0</v>
      </c>
    </row>
    <row r="93" spans="1:21" ht="13.5">
      <c r="A93" s="28">
        <v>91</v>
      </c>
      <c r="B93" s="10" t="s">
        <v>56</v>
      </c>
      <c r="C93" s="10" t="s">
        <v>57</v>
      </c>
      <c r="D93" s="10" t="s">
        <v>58</v>
      </c>
      <c r="E93" s="10" t="s">
        <v>59</v>
      </c>
      <c r="F93" s="10"/>
      <c r="G93" s="10"/>
      <c r="H93" s="37"/>
      <c r="I93" s="33">
        <v>60</v>
      </c>
      <c r="J93" s="10"/>
      <c r="K93" s="10"/>
      <c r="L93" s="10"/>
      <c r="M93" s="11"/>
      <c r="N93" s="11"/>
      <c r="O93" s="34">
        <v>42474</v>
      </c>
      <c r="P93" s="35" t="s">
        <v>153</v>
      </c>
      <c r="Q93" s="32">
        <v>43.951000000000001</v>
      </c>
      <c r="R93" s="36">
        <v>114403.12</v>
      </c>
      <c r="S93" s="11">
        <f t="shared" si="4"/>
        <v>2602.9696707697208</v>
      </c>
      <c r="T93" s="12">
        <f t="shared" si="5"/>
        <v>2662.9696707697208</v>
      </c>
      <c r="U93" s="11">
        <f t="shared" si="6"/>
        <v>0</v>
      </c>
    </row>
    <row r="94" spans="1:21" ht="13.5">
      <c r="A94" s="28">
        <v>92</v>
      </c>
      <c r="B94" s="10" t="s">
        <v>56</v>
      </c>
      <c r="C94" s="10" t="s">
        <v>57</v>
      </c>
      <c r="D94" s="10" t="s">
        <v>58</v>
      </c>
      <c r="E94" s="10" t="s">
        <v>59</v>
      </c>
      <c r="F94" s="10"/>
      <c r="G94" s="10"/>
      <c r="H94" s="37"/>
      <c r="I94" s="33">
        <v>60</v>
      </c>
      <c r="J94" s="10"/>
      <c r="K94" s="10"/>
      <c r="L94" s="10"/>
      <c r="M94" s="11"/>
      <c r="N94" s="11"/>
      <c r="O94" s="34">
        <v>42470</v>
      </c>
      <c r="P94" s="35" t="s">
        <v>154</v>
      </c>
      <c r="Q94" s="32">
        <v>42.125</v>
      </c>
      <c r="R94" s="36">
        <v>109650.1</v>
      </c>
      <c r="S94" s="11">
        <f t="shared" si="4"/>
        <v>2602.9697329376854</v>
      </c>
      <c r="T94" s="12">
        <f t="shared" si="5"/>
        <v>2662.9697329376854</v>
      </c>
      <c r="U94" s="11">
        <f t="shared" si="6"/>
        <v>0</v>
      </c>
    </row>
    <row r="95" spans="1:21" ht="13.5">
      <c r="A95" s="28">
        <v>93</v>
      </c>
      <c r="B95" s="10" t="s">
        <v>56</v>
      </c>
      <c r="C95" s="10" t="s">
        <v>57</v>
      </c>
      <c r="D95" s="10" t="s">
        <v>58</v>
      </c>
      <c r="E95" s="10" t="s">
        <v>59</v>
      </c>
      <c r="F95" s="10"/>
      <c r="G95" s="10"/>
      <c r="H95" s="37"/>
      <c r="I95" s="33">
        <v>55</v>
      </c>
      <c r="J95" s="10"/>
      <c r="K95" s="10"/>
      <c r="L95" s="10"/>
      <c r="M95" s="11"/>
      <c r="N95" s="11"/>
      <c r="O95" s="34">
        <v>42482</v>
      </c>
      <c r="P95" s="35" t="s">
        <v>156</v>
      </c>
      <c r="Q95" s="32">
        <v>14.31</v>
      </c>
      <c r="R95" s="36">
        <v>37609.71</v>
      </c>
      <c r="S95" s="11">
        <f t="shared" si="4"/>
        <v>2628.2117400419284</v>
      </c>
      <c r="T95" s="12">
        <f t="shared" si="5"/>
        <v>2683.2117400419284</v>
      </c>
      <c r="U95" s="11">
        <f t="shared" si="6"/>
        <v>0</v>
      </c>
    </row>
    <row r="96" spans="1:21" ht="13.5">
      <c r="A96" s="28">
        <v>94</v>
      </c>
      <c r="B96" s="10" t="s">
        <v>85</v>
      </c>
      <c r="C96" s="10" t="s">
        <v>57</v>
      </c>
      <c r="D96" s="10" t="s">
        <v>58</v>
      </c>
      <c r="E96" s="10" t="s">
        <v>59</v>
      </c>
      <c r="F96" s="10" t="s">
        <v>78</v>
      </c>
      <c r="G96" s="10">
        <v>500</v>
      </c>
      <c r="H96" s="32">
        <v>2626.9999999977999</v>
      </c>
      <c r="I96" s="33">
        <v>60</v>
      </c>
      <c r="J96" s="10"/>
      <c r="K96" s="10"/>
      <c r="L96" s="10"/>
      <c r="M96" s="11">
        <v>498.62400000000002</v>
      </c>
      <c r="N96" s="11">
        <v>0</v>
      </c>
      <c r="O96" s="34">
        <v>42474</v>
      </c>
      <c r="P96" s="35" t="s">
        <v>155</v>
      </c>
      <c r="Q96" s="32">
        <v>39.941000000000003</v>
      </c>
      <c r="R96" s="36">
        <v>103965.21</v>
      </c>
      <c r="S96" s="11">
        <f t="shared" si="4"/>
        <v>2602.9696302045518</v>
      </c>
      <c r="T96" s="12">
        <f t="shared" si="5"/>
        <v>2662.9696302045518</v>
      </c>
      <c r="U96" s="11">
        <f t="shared" si="6"/>
        <v>0</v>
      </c>
    </row>
    <row r="97" spans="1:21" ht="13.5">
      <c r="A97" s="28">
        <v>95</v>
      </c>
      <c r="B97" s="10" t="s">
        <v>85</v>
      </c>
      <c r="C97" s="10" t="s">
        <v>57</v>
      </c>
      <c r="D97" s="10" t="s">
        <v>58</v>
      </c>
      <c r="E97" s="10" t="s">
        <v>59</v>
      </c>
      <c r="F97" s="10"/>
      <c r="G97" s="10"/>
      <c r="H97" s="37"/>
      <c r="I97" s="33">
        <v>60</v>
      </c>
      <c r="J97" s="10"/>
      <c r="K97" s="10"/>
      <c r="L97" s="10"/>
      <c r="M97" s="11"/>
      <c r="N97" s="11"/>
      <c r="O97" s="34">
        <v>42474</v>
      </c>
      <c r="P97" s="35" t="s">
        <v>152</v>
      </c>
      <c r="Q97" s="32">
        <v>39.847000000000001</v>
      </c>
      <c r="R97" s="36">
        <v>103720.54</v>
      </c>
      <c r="S97" s="11">
        <f t="shared" si="4"/>
        <v>2602.9698597134034</v>
      </c>
      <c r="T97" s="12">
        <f t="shared" si="5"/>
        <v>2662.9698597134034</v>
      </c>
      <c r="U97" s="11">
        <f t="shared" si="6"/>
        <v>0</v>
      </c>
    </row>
    <row r="98" spans="1:21" ht="13.5">
      <c r="A98" s="28">
        <v>96</v>
      </c>
      <c r="B98" s="10" t="s">
        <v>85</v>
      </c>
      <c r="C98" s="10" t="s">
        <v>57</v>
      </c>
      <c r="D98" s="10" t="s">
        <v>58</v>
      </c>
      <c r="E98" s="10" t="s">
        <v>59</v>
      </c>
      <c r="F98" s="10"/>
      <c r="G98" s="10"/>
      <c r="H98" s="37"/>
      <c r="I98" s="33">
        <v>55</v>
      </c>
      <c r="J98" s="10"/>
      <c r="K98" s="10"/>
      <c r="L98" s="10"/>
      <c r="M98" s="11"/>
      <c r="N98" s="11"/>
      <c r="O98" s="34">
        <v>42482</v>
      </c>
      <c r="P98" s="35" t="s">
        <v>156</v>
      </c>
      <c r="Q98" s="32">
        <v>25.651</v>
      </c>
      <c r="R98" s="36">
        <v>67416.259999999995</v>
      </c>
      <c r="S98" s="11">
        <f t="shared" si="4"/>
        <v>2628.2117656231726</v>
      </c>
      <c r="T98" s="12">
        <f t="shared" si="5"/>
        <v>2683.2117656231726</v>
      </c>
      <c r="U98" s="11">
        <f t="shared" si="6"/>
        <v>0</v>
      </c>
    </row>
    <row r="99" spans="1:21" ht="13.5">
      <c r="A99" s="28">
        <v>97</v>
      </c>
      <c r="B99" s="10" t="s">
        <v>85</v>
      </c>
      <c r="C99" s="10" t="s">
        <v>57</v>
      </c>
      <c r="D99" s="10" t="s">
        <v>58</v>
      </c>
      <c r="E99" s="10" t="s">
        <v>59</v>
      </c>
      <c r="F99" s="10"/>
      <c r="G99" s="10"/>
      <c r="H99" s="37"/>
      <c r="I99" s="33">
        <v>55</v>
      </c>
      <c r="J99" s="10"/>
      <c r="K99" s="10"/>
      <c r="L99" s="10"/>
      <c r="M99" s="11"/>
      <c r="N99" s="11"/>
      <c r="O99" s="34">
        <v>42483</v>
      </c>
      <c r="P99" s="35" t="s">
        <v>157</v>
      </c>
      <c r="Q99" s="32">
        <v>39.881999999999998</v>
      </c>
      <c r="R99" s="36">
        <v>104818.34</v>
      </c>
      <c r="S99" s="11">
        <f t="shared" ref="S99:S120" si="7">R99/Q99</f>
        <v>2628.2117245875334</v>
      </c>
      <c r="T99" s="12">
        <f t="shared" si="5"/>
        <v>2683.2117245875334</v>
      </c>
      <c r="U99" s="11">
        <f t="shared" si="6"/>
        <v>0</v>
      </c>
    </row>
    <row r="100" spans="1:21" ht="13.5">
      <c r="A100" s="28">
        <v>98</v>
      </c>
      <c r="B100" s="10" t="s">
        <v>85</v>
      </c>
      <c r="C100" s="10" t="s">
        <v>57</v>
      </c>
      <c r="D100" s="10" t="s">
        <v>58</v>
      </c>
      <c r="E100" s="10" t="s">
        <v>59</v>
      </c>
      <c r="F100" s="10"/>
      <c r="G100" s="10"/>
      <c r="H100" s="37"/>
      <c r="I100" s="33">
        <v>55</v>
      </c>
      <c r="J100" s="10"/>
      <c r="K100" s="10"/>
      <c r="L100" s="10"/>
      <c r="M100" s="11"/>
      <c r="N100" s="11"/>
      <c r="O100" s="34">
        <v>42482</v>
      </c>
      <c r="P100" s="35" t="s">
        <v>156</v>
      </c>
      <c r="Q100" s="32">
        <v>39.871000000000002</v>
      </c>
      <c r="R100" s="36">
        <v>104789.43</v>
      </c>
      <c r="S100" s="11">
        <f t="shared" si="7"/>
        <v>2628.2117328384033</v>
      </c>
      <c r="T100" s="12">
        <f t="shared" si="5"/>
        <v>2683.2117328384033</v>
      </c>
      <c r="U100" s="11">
        <f t="shared" si="6"/>
        <v>0</v>
      </c>
    </row>
    <row r="101" spans="1:21" ht="13.5">
      <c r="A101" s="28">
        <v>99</v>
      </c>
      <c r="B101" s="10" t="s">
        <v>85</v>
      </c>
      <c r="C101" s="10" t="s">
        <v>57</v>
      </c>
      <c r="D101" s="10" t="s">
        <v>58</v>
      </c>
      <c r="E101" s="10" t="s">
        <v>59</v>
      </c>
      <c r="F101" s="10"/>
      <c r="G101" s="10"/>
      <c r="H101" s="37"/>
      <c r="I101" s="33">
        <v>55</v>
      </c>
      <c r="J101" s="10"/>
      <c r="K101" s="10"/>
      <c r="L101" s="10"/>
      <c r="M101" s="11"/>
      <c r="N101" s="11"/>
      <c r="O101" s="34">
        <v>42482</v>
      </c>
      <c r="P101" s="35" t="s">
        <v>138</v>
      </c>
      <c r="Q101" s="32">
        <v>39.832000000000001</v>
      </c>
      <c r="R101" s="36">
        <v>104686.93</v>
      </c>
      <c r="S101" s="11">
        <f t="shared" si="7"/>
        <v>2628.2117393050812</v>
      </c>
      <c r="T101" s="12">
        <f t="shared" si="5"/>
        <v>2683.2117393050812</v>
      </c>
      <c r="U101" s="11">
        <f t="shared" si="6"/>
        <v>0</v>
      </c>
    </row>
    <row r="102" spans="1:21" ht="13.5">
      <c r="A102" s="28">
        <v>100</v>
      </c>
      <c r="B102" s="10" t="s">
        <v>85</v>
      </c>
      <c r="C102" s="10" t="s">
        <v>57</v>
      </c>
      <c r="D102" s="10" t="s">
        <v>58</v>
      </c>
      <c r="E102" s="10" t="s">
        <v>59</v>
      </c>
      <c r="F102" s="10"/>
      <c r="G102" s="10"/>
      <c r="H102" s="37"/>
      <c r="I102" s="33">
        <v>55</v>
      </c>
      <c r="J102" s="10"/>
      <c r="K102" s="10"/>
      <c r="L102" s="10"/>
      <c r="M102" s="11"/>
      <c r="N102" s="11"/>
      <c r="O102" s="34">
        <v>42485</v>
      </c>
      <c r="P102" s="35" t="s">
        <v>158</v>
      </c>
      <c r="Q102" s="32">
        <v>49.853999999999999</v>
      </c>
      <c r="R102" s="36">
        <v>131026.87</v>
      </c>
      <c r="S102" s="11">
        <f t="shared" si="7"/>
        <v>2628.211778392907</v>
      </c>
      <c r="T102" s="12">
        <f t="shared" si="5"/>
        <v>2683.211778392907</v>
      </c>
      <c r="U102" s="11">
        <f t="shared" si="6"/>
        <v>0</v>
      </c>
    </row>
    <row r="103" spans="1:21" ht="13.5">
      <c r="A103" s="28">
        <v>101</v>
      </c>
      <c r="B103" s="10" t="s">
        <v>85</v>
      </c>
      <c r="C103" s="10" t="s">
        <v>57</v>
      </c>
      <c r="D103" s="10" t="s">
        <v>58</v>
      </c>
      <c r="E103" s="10" t="s">
        <v>59</v>
      </c>
      <c r="F103" s="10"/>
      <c r="G103" s="10"/>
      <c r="H103" s="37"/>
      <c r="I103" s="33">
        <v>55</v>
      </c>
      <c r="J103" s="10"/>
      <c r="K103" s="10"/>
      <c r="L103" s="10"/>
      <c r="M103" s="11"/>
      <c r="N103" s="11"/>
      <c r="O103" s="34">
        <v>42483</v>
      </c>
      <c r="P103" s="35" t="s">
        <v>159</v>
      </c>
      <c r="Q103" s="32">
        <v>49.863999999999997</v>
      </c>
      <c r="R103" s="36">
        <v>131053.15</v>
      </c>
      <c r="S103" s="11">
        <f t="shared" si="7"/>
        <v>2628.2117359217073</v>
      </c>
      <c r="T103" s="12">
        <f t="shared" si="5"/>
        <v>2683.2117359217073</v>
      </c>
      <c r="U103" s="11">
        <f t="shared" si="6"/>
        <v>0</v>
      </c>
    </row>
    <row r="104" spans="1:21" ht="13.5">
      <c r="A104" s="28">
        <v>102</v>
      </c>
      <c r="B104" s="10" t="s">
        <v>85</v>
      </c>
      <c r="C104" s="10" t="s">
        <v>57</v>
      </c>
      <c r="D104" s="10" t="s">
        <v>58</v>
      </c>
      <c r="E104" s="10" t="s">
        <v>59</v>
      </c>
      <c r="F104" s="10"/>
      <c r="G104" s="10"/>
      <c r="H104" s="37"/>
      <c r="I104" s="33">
        <v>55</v>
      </c>
      <c r="J104" s="10"/>
      <c r="K104" s="10"/>
      <c r="L104" s="10"/>
      <c r="M104" s="11"/>
      <c r="N104" s="11"/>
      <c r="O104" s="34">
        <v>42482</v>
      </c>
      <c r="P104" s="35" t="s">
        <v>156</v>
      </c>
      <c r="Q104" s="32">
        <v>49.863999999999997</v>
      </c>
      <c r="R104" s="36">
        <v>131053.15</v>
      </c>
      <c r="S104" s="11">
        <f t="shared" si="7"/>
        <v>2628.2117359217073</v>
      </c>
      <c r="T104" s="12">
        <f t="shared" si="5"/>
        <v>2683.2117359217073</v>
      </c>
      <c r="U104" s="11">
        <f t="shared" si="6"/>
        <v>0</v>
      </c>
    </row>
    <row r="105" spans="1:21" ht="13.5">
      <c r="A105" s="28">
        <v>103</v>
      </c>
      <c r="B105" s="10" t="s">
        <v>85</v>
      </c>
      <c r="C105" s="10" t="s">
        <v>57</v>
      </c>
      <c r="D105" s="10" t="s">
        <v>58</v>
      </c>
      <c r="E105" s="10" t="s">
        <v>59</v>
      </c>
      <c r="F105" s="10"/>
      <c r="G105" s="10"/>
      <c r="H105" s="37"/>
      <c r="I105" s="33">
        <v>55</v>
      </c>
      <c r="J105" s="10"/>
      <c r="K105" s="10"/>
      <c r="L105" s="10"/>
      <c r="M105" s="11"/>
      <c r="N105" s="11"/>
      <c r="O105" s="34">
        <v>42482</v>
      </c>
      <c r="P105" s="35" t="s">
        <v>138</v>
      </c>
      <c r="Q105" s="32">
        <v>49.844000000000001</v>
      </c>
      <c r="R105" s="36">
        <v>131000.58</v>
      </c>
      <c r="S105" s="11">
        <f t="shared" si="7"/>
        <v>2628.2116202551961</v>
      </c>
      <c r="T105" s="12">
        <f t="shared" si="5"/>
        <v>2683.2116202551961</v>
      </c>
      <c r="U105" s="11">
        <f t="shared" si="6"/>
        <v>0</v>
      </c>
    </row>
    <row r="106" spans="1:21" ht="13.5">
      <c r="A106" s="28">
        <v>104</v>
      </c>
      <c r="B106" s="10" t="s">
        <v>85</v>
      </c>
      <c r="C106" s="10" t="s">
        <v>57</v>
      </c>
      <c r="D106" s="10" t="s">
        <v>58</v>
      </c>
      <c r="E106" s="10" t="s">
        <v>59</v>
      </c>
      <c r="F106" s="10"/>
      <c r="G106" s="10"/>
      <c r="H106" s="37"/>
      <c r="I106" s="33">
        <v>55</v>
      </c>
      <c r="J106" s="10"/>
      <c r="K106" s="10"/>
      <c r="L106" s="10"/>
      <c r="M106" s="11"/>
      <c r="N106" s="11"/>
      <c r="O106" s="34">
        <v>42482</v>
      </c>
      <c r="P106" s="35" t="s">
        <v>160</v>
      </c>
      <c r="Q106" s="32">
        <v>49.863999999999997</v>
      </c>
      <c r="R106" s="36">
        <v>131053.15</v>
      </c>
      <c r="S106" s="11">
        <f t="shared" si="7"/>
        <v>2628.2117359217073</v>
      </c>
      <c r="T106" s="12">
        <f t="shared" si="5"/>
        <v>2683.2117359217073</v>
      </c>
      <c r="U106" s="11">
        <f t="shared" si="6"/>
        <v>0</v>
      </c>
    </row>
    <row r="107" spans="1:21" ht="13.5">
      <c r="A107" s="28">
        <v>105</v>
      </c>
      <c r="B107" s="10" t="s">
        <v>85</v>
      </c>
      <c r="C107" s="10" t="s">
        <v>57</v>
      </c>
      <c r="D107" s="10" t="s">
        <v>58</v>
      </c>
      <c r="E107" s="10" t="s">
        <v>59</v>
      </c>
      <c r="F107" s="10"/>
      <c r="G107" s="10"/>
      <c r="H107" s="37"/>
      <c r="I107" s="33">
        <v>55</v>
      </c>
      <c r="J107" s="10"/>
      <c r="K107" s="10"/>
      <c r="L107" s="10"/>
      <c r="M107" s="11"/>
      <c r="N107" s="11"/>
      <c r="O107" s="34">
        <v>42482</v>
      </c>
      <c r="P107" s="35" t="s">
        <v>156</v>
      </c>
      <c r="Q107" s="32">
        <v>24.31</v>
      </c>
      <c r="R107" s="36">
        <v>63891.83</v>
      </c>
      <c r="S107" s="11">
        <f t="shared" si="7"/>
        <v>2628.2118469765533</v>
      </c>
      <c r="T107" s="12">
        <f t="shared" si="5"/>
        <v>2683.2118469765533</v>
      </c>
      <c r="U107" s="11">
        <f t="shared" si="6"/>
        <v>0</v>
      </c>
    </row>
    <row r="108" spans="1:21" ht="13.5">
      <c r="A108" s="28">
        <v>106</v>
      </c>
      <c r="B108" s="10" t="s">
        <v>86</v>
      </c>
      <c r="C108" s="10" t="s">
        <v>87</v>
      </c>
      <c r="D108" s="10" t="s">
        <v>58</v>
      </c>
      <c r="E108" s="10" t="s">
        <v>59</v>
      </c>
      <c r="F108" s="10" t="s">
        <v>78</v>
      </c>
      <c r="G108" s="10">
        <v>500</v>
      </c>
      <c r="H108" s="32">
        <v>2626.9999999977999</v>
      </c>
      <c r="I108" s="33">
        <v>55</v>
      </c>
      <c r="J108" s="10"/>
      <c r="K108" s="10"/>
      <c r="L108" s="10"/>
      <c r="M108" s="11">
        <v>196.46</v>
      </c>
      <c r="N108" s="11">
        <v>303.54000000000002</v>
      </c>
      <c r="O108" s="34">
        <v>42482</v>
      </c>
      <c r="P108" s="35" t="s">
        <v>156</v>
      </c>
      <c r="Q108" s="32">
        <v>15.592000000000001</v>
      </c>
      <c r="R108" s="36">
        <v>41006.99</v>
      </c>
      <c r="S108" s="11">
        <f t="shared" si="7"/>
        <v>2630.001924063622</v>
      </c>
      <c r="T108" s="12">
        <f t="shared" si="5"/>
        <v>2685.001924063622</v>
      </c>
      <c r="U108" s="11">
        <f t="shared" si="6"/>
        <v>2681.9999999977999</v>
      </c>
    </row>
    <row r="109" spans="1:21" ht="13.5">
      <c r="A109" s="28">
        <v>107</v>
      </c>
      <c r="B109" s="10" t="s">
        <v>86</v>
      </c>
      <c r="C109" s="10" t="s">
        <v>87</v>
      </c>
      <c r="D109" s="10" t="s">
        <v>58</v>
      </c>
      <c r="E109" s="10" t="s">
        <v>59</v>
      </c>
      <c r="F109" s="10"/>
      <c r="G109" s="10"/>
      <c r="H109" s="37"/>
      <c r="I109" s="33">
        <v>55</v>
      </c>
      <c r="J109" s="10"/>
      <c r="K109" s="10"/>
      <c r="L109" s="10"/>
      <c r="M109" s="11"/>
      <c r="N109" s="11"/>
      <c r="O109" s="34">
        <v>42482</v>
      </c>
      <c r="P109" s="35" t="s">
        <v>161</v>
      </c>
      <c r="Q109" s="32">
        <v>49.844000000000001</v>
      </c>
      <c r="R109" s="36">
        <v>131089.81</v>
      </c>
      <c r="S109" s="11">
        <f t="shared" si="7"/>
        <v>2630.0018056335766</v>
      </c>
      <c r="T109" s="12">
        <f t="shared" si="5"/>
        <v>2685.0018056335766</v>
      </c>
      <c r="U109" s="11">
        <f t="shared" si="6"/>
        <v>0</v>
      </c>
    </row>
    <row r="110" spans="1:21" ht="13.5">
      <c r="A110" s="28">
        <v>108</v>
      </c>
      <c r="B110" s="10" t="s">
        <v>86</v>
      </c>
      <c r="C110" s="10" t="s">
        <v>87</v>
      </c>
      <c r="D110" s="10" t="s">
        <v>58</v>
      </c>
      <c r="E110" s="10" t="s">
        <v>59</v>
      </c>
      <c r="F110" s="10"/>
      <c r="G110" s="10"/>
      <c r="H110" s="37"/>
      <c r="I110" s="33">
        <v>55</v>
      </c>
      <c r="J110" s="10"/>
      <c r="K110" s="10"/>
      <c r="L110" s="10"/>
      <c r="M110" s="11"/>
      <c r="N110" s="11"/>
      <c r="O110" s="34">
        <v>42488</v>
      </c>
      <c r="P110" s="35" t="s">
        <v>162</v>
      </c>
      <c r="Q110" s="32">
        <v>49.823999999999998</v>
      </c>
      <c r="R110" s="36">
        <v>130507.25</v>
      </c>
      <c r="S110" s="11">
        <f t="shared" si="7"/>
        <v>2619.3651653821453</v>
      </c>
      <c r="T110" s="12">
        <f t="shared" si="5"/>
        <v>2674.3651653821453</v>
      </c>
      <c r="U110" s="11">
        <f t="shared" si="6"/>
        <v>0</v>
      </c>
    </row>
    <row r="111" spans="1:21" ht="13.5">
      <c r="A111" s="28">
        <v>109</v>
      </c>
      <c r="B111" s="10" t="s">
        <v>86</v>
      </c>
      <c r="C111" s="10" t="s">
        <v>87</v>
      </c>
      <c r="D111" s="10" t="s">
        <v>58</v>
      </c>
      <c r="E111" s="10" t="s">
        <v>59</v>
      </c>
      <c r="F111" s="10"/>
      <c r="G111" s="10"/>
      <c r="H111" s="37"/>
      <c r="I111" s="33">
        <v>55</v>
      </c>
      <c r="J111" s="10"/>
      <c r="K111" s="10"/>
      <c r="L111" s="10"/>
      <c r="M111" s="11"/>
      <c r="N111" s="11"/>
      <c r="O111" s="34">
        <v>42491</v>
      </c>
      <c r="P111" s="35" t="s">
        <v>163</v>
      </c>
      <c r="Q111" s="32">
        <v>46.892000000000003</v>
      </c>
      <c r="R111" s="36">
        <v>122629.57</v>
      </c>
      <c r="S111" s="11">
        <f t="shared" si="7"/>
        <v>2615.1490659387528</v>
      </c>
      <c r="T111" s="12">
        <f t="shared" si="5"/>
        <v>2670.1490659387528</v>
      </c>
      <c r="U111" s="11">
        <f t="shared" si="6"/>
        <v>0</v>
      </c>
    </row>
    <row r="112" spans="1:21" ht="13.5">
      <c r="A112" s="28">
        <v>110</v>
      </c>
      <c r="B112" s="10" t="s">
        <v>86</v>
      </c>
      <c r="C112" s="10" t="s">
        <v>87</v>
      </c>
      <c r="D112" s="10" t="s">
        <v>58</v>
      </c>
      <c r="E112" s="10" t="s">
        <v>59</v>
      </c>
      <c r="F112" s="10"/>
      <c r="G112" s="10"/>
      <c r="H112" s="37"/>
      <c r="I112" s="33">
        <v>60</v>
      </c>
      <c r="J112" s="10"/>
      <c r="K112" s="10"/>
      <c r="L112" s="10"/>
      <c r="M112" s="11"/>
      <c r="N112" s="11"/>
      <c r="O112" s="34">
        <v>42489</v>
      </c>
      <c r="P112" s="35" t="s">
        <v>164</v>
      </c>
      <c r="Q112" s="32">
        <v>34.308</v>
      </c>
      <c r="R112" s="36">
        <v>89720.52</v>
      </c>
      <c r="S112" s="11">
        <f t="shared" si="7"/>
        <v>2615.1486533753064</v>
      </c>
      <c r="T112" s="12">
        <f t="shared" si="5"/>
        <v>2675.1486533753064</v>
      </c>
      <c r="U112" s="11">
        <f t="shared" si="6"/>
        <v>0</v>
      </c>
    </row>
    <row r="113" spans="1:21" ht="13.5">
      <c r="A113" s="28">
        <v>111</v>
      </c>
      <c r="B113" s="10" t="s">
        <v>88</v>
      </c>
      <c r="C113" s="10" t="s">
        <v>87</v>
      </c>
      <c r="D113" s="10" t="s">
        <v>58</v>
      </c>
      <c r="E113" s="10" t="s">
        <v>59</v>
      </c>
      <c r="F113" s="10" t="s">
        <v>78</v>
      </c>
      <c r="G113" s="10">
        <v>600</v>
      </c>
      <c r="H113" s="32">
        <v>2741.9999999928</v>
      </c>
      <c r="I113" s="33">
        <v>60</v>
      </c>
      <c r="J113" s="10"/>
      <c r="K113" s="10"/>
      <c r="L113" s="10"/>
      <c r="M113" s="11">
        <v>5.6289999999999996</v>
      </c>
      <c r="N113" s="11">
        <v>0</v>
      </c>
      <c r="O113" s="34">
        <v>42489</v>
      </c>
      <c r="P113" s="35" t="s">
        <v>164</v>
      </c>
      <c r="Q113" s="32">
        <v>5.6289999999999996</v>
      </c>
      <c r="R113" s="36">
        <v>0</v>
      </c>
      <c r="S113" s="11">
        <f t="shared" si="7"/>
        <v>0</v>
      </c>
      <c r="T113" s="12">
        <f t="shared" si="5"/>
        <v>0</v>
      </c>
      <c r="U113" s="11">
        <f t="shared" si="6"/>
        <v>0</v>
      </c>
    </row>
    <row r="114" spans="1:21" ht="13.5">
      <c r="A114" s="28">
        <v>112</v>
      </c>
      <c r="B114" s="10" t="s">
        <v>89</v>
      </c>
      <c r="C114" s="10" t="s">
        <v>90</v>
      </c>
      <c r="D114" s="10" t="s">
        <v>58</v>
      </c>
      <c r="E114" s="10" t="s">
        <v>59</v>
      </c>
      <c r="F114" s="10" t="s">
        <v>78</v>
      </c>
      <c r="G114" s="10">
        <v>300</v>
      </c>
      <c r="H114" s="32">
        <v>2606.6299999893999</v>
      </c>
      <c r="I114" s="33">
        <v>60</v>
      </c>
      <c r="J114" s="10"/>
      <c r="K114" s="10"/>
      <c r="L114" s="10"/>
      <c r="M114" s="11">
        <v>286.11</v>
      </c>
      <c r="N114" s="11">
        <v>13.89</v>
      </c>
      <c r="O114" s="34">
        <v>42488</v>
      </c>
      <c r="P114" s="35" t="s">
        <v>165</v>
      </c>
      <c r="Q114" s="32">
        <v>42.21</v>
      </c>
      <c r="R114" s="36">
        <v>110563.39</v>
      </c>
      <c r="S114" s="11">
        <f t="shared" si="7"/>
        <v>2619.3648424543944</v>
      </c>
      <c r="T114" s="12">
        <f t="shared" si="5"/>
        <v>2679.3648424543944</v>
      </c>
      <c r="U114" s="11">
        <f t="shared" si="6"/>
        <v>2666.6299999893999</v>
      </c>
    </row>
    <row r="115" spans="1:21" ht="13.5">
      <c r="A115" s="28">
        <v>113</v>
      </c>
      <c r="B115" s="10" t="s">
        <v>89</v>
      </c>
      <c r="C115" s="10" t="s">
        <v>90</v>
      </c>
      <c r="D115" s="10" t="s">
        <v>58</v>
      </c>
      <c r="E115" s="10" t="s">
        <v>59</v>
      </c>
      <c r="F115" s="10"/>
      <c r="G115" s="10"/>
      <c r="H115" s="37"/>
      <c r="I115" s="33">
        <v>55</v>
      </c>
      <c r="J115" s="10"/>
      <c r="K115" s="10"/>
      <c r="L115" s="10"/>
      <c r="M115" s="11"/>
      <c r="N115" s="11"/>
      <c r="O115" s="34">
        <v>42489</v>
      </c>
      <c r="P115" s="35" t="s">
        <v>166</v>
      </c>
      <c r="Q115" s="32">
        <v>38.590000000000003</v>
      </c>
      <c r="R115" s="36">
        <v>100918.59</v>
      </c>
      <c r="S115" s="11">
        <f t="shared" si="7"/>
        <v>2615.1487431977193</v>
      </c>
      <c r="T115" s="12">
        <f t="shared" si="5"/>
        <v>2670.1487431977193</v>
      </c>
      <c r="U115" s="11">
        <f t="shared" si="6"/>
        <v>0</v>
      </c>
    </row>
    <row r="116" spans="1:21" ht="13.5">
      <c r="A116" s="28">
        <v>114</v>
      </c>
      <c r="B116" s="10" t="s">
        <v>89</v>
      </c>
      <c r="C116" s="10" t="s">
        <v>90</v>
      </c>
      <c r="D116" s="10" t="s">
        <v>58</v>
      </c>
      <c r="E116" s="10" t="s">
        <v>59</v>
      </c>
      <c r="F116" s="10"/>
      <c r="G116" s="10"/>
      <c r="H116" s="37"/>
      <c r="I116" s="33">
        <v>55</v>
      </c>
      <c r="J116" s="10"/>
      <c r="K116" s="10"/>
      <c r="L116" s="10"/>
      <c r="M116" s="11"/>
      <c r="N116" s="11"/>
      <c r="O116" s="34">
        <v>42489</v>
      </c>
      <c r="P116" s="35" t="s">
        <v>166</v>
      </c>
      <c r="Q116" s="32">
        <v>46.41</v>
      </c>
      <c r="R116" s="36">
        <v>121369.05</v>
      </c>
      <c r="S116" s="11">
        <f t="shared" si="7"/>
        <v>2615.1486748545576</v>
      </c>
      <c r="T116" s="12">
        <f t="shared" si="5"/>
        <v>2670.1486748545576</v>
      </c>
      <c r="U116" s="11">
        <f t="shared" si="6"/>
        <v>0</v>
      </c>
    </row>
    <row r="117" spans="1:21" ht="13.5">
      <c r="A117" s="28">
        <v>115</v>
      </c>
      <c r="B117" s="10" t="s">
        <v>89</v>
      </c>
      <c r="C117" s="10" t="s">
        <v>90</v>
      </c>
      <c r="D117" s="10" t="s">
        <v>58</v>
      </c>
      <c r="E117" s="10" t="s">
        <v>59</v>
      </c>
      <c r="F117" s="10"/>
      <c r="G117" s="10"/>
      <c r="H117" s="37"/>
      <c r="I117" s="33">
        <v>55</v>
      </c>
      <c r="J117" s="10"/>
      <c r="K117" s="10"/>
      <c r="L117" s="10"/>
      <c r="M117" s="11"/>
      <c r="N117" s="11"/>
      <c r="O117" s="34">
        <v>42489</v>
      </c>
      <c r="P117" s="35" t="s">
        <v>166</v>
      </c>
      <c r="Q117" s="32">
        <v>40.54</v>
      </c>
      <c r="R117" s="36">
        <v>106018.13</v>
      </c>
      <c r="S117" s="11">
        <f t="shared" si="7"/>
        <v>2615.1487419832265</v>
      </c>
      <c r="T117" s="12">
        <f t="shared" si="5"/>
        <v>2670.1487419832265</v>
      </c>
      <c r="U117" s="11">
        <f t="shared" si="6"/>
        <v>0</v>
      </c>
    </row>
    <row r="118" spans="1:21" ht="13.5">
      <c r="A118" s="28">
        <v>116</v>
      </c>
      <c r="B118" s="10" t="s">
        <v>89</v>
      </c>
      <c r="C118" s="10" t="s">
        <v>90</v>
      </c>
      <c r="D118" s="10" t="s">
        <v>58</v>
      </c>
      <c r="E118" s="10" t="s">
        <v>59</v>
      </c>
      <c r="F118" s="10"/>
      <c r="G118" s="10"/>
      <c r="H118" s="37"/>
      <c r="I118" s="33">
        <v>65</v>
      </c>
      <c r="J118" s="10"/>
      <c r="K118" s="10"/>
      <c r="L118" s="10"/>
      <c r="M118" s="11"/>
      <c r="N118" s="11"/>
      <c r="O118" s="34">
        <v>42489</v>
      </c>
      <c r="P118" s="35" t="s">
        <v>166</v>
      </c>
      <c r="Q118" s="32">
        <v>28.68</v>
      </c>
      <c r="R118" s="36">
        <v>75002.460000000006</v>
      </c>
      <c r="S118" s="11">
        <f t="shared" si="7"/>
        <v>2615.1485355648538</v>
      </c>
      <c r="T118" s="12">
        <f t="shared" si="5"/>
        <v>2680.1485355648538</v>
      </c>
      <c r="U118" s="11">
        <f t="shared" si="6"/>
        <v>0</v>
      </c>
    </row>
    <row r="119" spans="1:21" ht="13.5">
      <c r="A119" s="28">
        <v>117</v>
      </c>
      <c r="B119" s="10" t="s">
        <v>89</v>
      </c>
      <c r="C119" s="10" t="s">
        <v>90</v>
      </c>
      <c r="D119" s="10" t="s">
        <v>58</v>
      </c>
      <c r="E119" s="10" t="s">
        <v>59</v>
      </c>
      <c r="F119" s="10"/>
      <c r="G119" s="10"/>
      <c r="H119" s="37"/>
      <c r="I119" s="33">
        <v>55</v>
      </c>
      <c r="J119" s="10"/>
      <c r="K119" s="10"/>
      <c r="L119" s="10"/>
      <c r="M119" s="11"/>
      <c r="N119" s="11"/>
      <c r="O119" s="34">
        <v>42503</v>
      </c>
      <c r="P119" s="35" t="s">
        <v>167</v>
      </c>
      <c r="Q119" s="32">
        <v>46.2</v>
      </c>
      <c r="R119" s="36">
        <v>0</v>
      </c>
      <c r="S119" s="11">
        <f t="shared" si="7"/>
        <v>0</v>
      </c>
      <c r="T119" s="12">
        <f t="shared" si="5"/>
        <v>0</v>
      </c>
      <c r="U119" s="11">
        <f t="shared" si="6"/>
        <v>0</v>
      </c>
    </row>
    <row r="120" spans="1:21" ht="13.5">
      <c r="A120" s="28">
        <v>118</v>
      </c>
      <c r="B120" s="10" t="s">
        <v>89</v>
      </c>
      <c r="C120" s="10" t="s">
        <v>90</v>
      </c>
      <c r="D120" s="10" t="s">
        <v>58</v>
      </c>
      <c r="E120" s="10" t="s">
        <v>59</v>
      </c>
      <c r="F120" s="10"/>
      <c r="G120" s="10"/>
      <c r="H120" s="37"/>
      <c r="I120" s="33">
        <v>55</v>
      </c>
      <c r="J120" s="10"/>
      <c r="K120" s="10"/>
      <c r="L120" s="10"/>
      <c r="M120" s="11"/>
      <c r="N120" s="11"/>
      <c r="O120" s="34">
        <v>42512</v>
      </c>
      <c r="P120" s="35" t="s">
        <v>168</v>
      </c>
      <c r="Q120" s="32">
        <v>43.48</v>
      </c>
      <c r="R120" s="36">
        <v>0</v>
      </c>
      <c r="S120" s="11">
        <f t="shared" si="7"/>
        <v>0</v>
      </c>
      <c r="T120" s="12">
        <f t="shared" si="5"/>
        <v>0</v>
      </c>
      <c r="U120" s="11">
        <f t="shared" si="6"/>
        <v>0</v>
      </c>
    </row>
  </sheetData>
  <autoFilter ref="A2:U2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I27" sqref="I27"/>
    </sheetView>
  </sheetViews>
  <sheetFormatPr defaultRowHeight="18" customHeight="1"/>
  <cols>
    <col min="2" max="2" width="10.28515625" style="4" customWidth="1"/>
    <col min="3" max="3" width="12.7109375" bestFit="1" customWidth="1"/>
    <col min="4" max="4" width="15" bestFit="1" customWidth="1"/>
    <col min="5" max="5" width="13.85546875" bestFit="1" customWidth="1"/>
    <col min="6" max="7" width="16.140625" bestFit="1" customWidth="1"/>
    <col min="8" max="10" width="15.140625" bestFit="1" customWidth="1"/>
  </cols>
  <sheetData>
    <row r="1" spans="1:10" ht="31.5" customHeight="1" thickBot="1">
      <c r="A1" s="64" t="s">
        <v>224</v>
      </c>
      <c r="B1" s="2"/>
      <c r="C1" s="65"/>
      <c r="D1" s="65"/>
      <c r="E1" s="65"/>
      <c r="F1" s="65"/>
      <c r="G1" s="65"/>
      <c r="H1" s="65"/>
      <c r="I1" s="65"/>
      <c r="J1" s="65"/>
    </row>
    <row r="2" spans="1:10" ht="18" customHeight="1">
      <c r="A2" s="66" t="s">
        <v>214</v>
      </c>
      <c r="B2" s="76" t="s">
        <v>225</v>
      </c>
      <c r="C2" s="67" t="s">
        <v>215</v>
      </c>
      <c r="D2" s="67" t="s">
        <v>216</v>
      </c>
      <c r="E2" s="67" t="s">
        <v>217</v>
      </c>
      <c r="F2" s="67" t="s">
        <v>218</v>
      </c>
      <c r="G2" s="67" t="s">
        <v>219</v>
      </c>
      <c r="H2" s="67" t="s">
        <v>220</v>
      </c>
      <c r="I2" s="67" t="s">
        <v>221</v>
      </c>
      <c r="J2" s="68" t="s">
        <v>222</v>
      </c>
    </row>
    <row r="3" spans="1:10" ht="18" customHeight="1">
      <c r="A3" s="103" t="s">
        <v>230</v>
      </c>
      <c r="B3" s="77" t="s">
        <v>195</v>
      </c>
      <c r="C3" s="69">
        <f>销售订单执行报表!F14</f>
        <v>35</v>
      </c>
      <c r="D3" s="69">
        <f>销售订单执行报表!J14</f>
        <v>39.590666417526663</v>
      </c>
      <c r="E3" s="70">
        <f>1-C3/D3</f>
        <v>0.11595324941270468</v>
      </c>
      <c r="F3" s="69">
        <f>销售订单执行报表!K14</f>
        <v>116678.01257753401</v>
      </c>
      <c r="G3" s="69">
        <f>工单原料耗用!N15</f>
        <v>99435.157838541912</v>
      </c>
      <c r="H3" s="69">
        <f>F3-G3</f>
        <v>17242.8547389921</v>
      </c>
      <c r="I3" s="69">
        <v>50000</v>
      </c>
      <c r="J3" s="71">
        <f t="shared" ref="J3:J5" si="0">H3+I3</f>
        <v>67242.8547389921</v>
      </c>
    </row>
    <row r="4" spans="1:10" ht="18" customHeight="1">
      <c r="A4" s="104"/>
      <c r="B4" s="77" t="s">
        <v>226</v>
      </c>
      <c r="C4" s="69">
        <f>销售订单执行报表!F29</f>
        <v>55</v>
      </c>
      <c r="D4" s="69">
        <f>销售订单执行报表!J29</f>
        <v>62.318766210602092</v>
      </c>
      <c r="E4" s="70">
        <f t="shared" ref="E4:E5" si="1">1-C4/D4</f>
        <v>0.11744080725007955</v>
      </c>
      <c r="F4" s="69">
        <f>销售订单执行报表!K29</f>
        <v>177671.42499570647</v>
      </c>
      <c r="G4" s="69">
        <f>工单原料耗用!Q15</f>
        <v>156258.38397780323</v>
      </c>
      <c r="H4" s="69">
        <f>F4-G4</f>
        <v>21413.041017903248</v>
      </c>
      <c r="I4" s="69">
        <v>0</v>
      </c>
      <c r="J4" s="71">
        <f t="shared" si="0"/>
        <v>21413.041017903248</v>
      </c>
    </row>
    <row r="5" spans="1:10" ht="18" customHeight="1">
      <c r="A5" s="105"/>
      <c r="B5" s="77" t="s">
        <v>227</v>
      </c>
      <c r="C5" s="69">
        <f>销售订单执行报表!F44</f>
        <v>2065</v>
      </c>
      <c r="D5" s="69">
        <f>销售订单执行报表!I44</f>
        <v>2196.589982660782</v>
      </c>
      <c r="E5" s="70">
        <f t="shared" si="1"/>
        <v>5.9906484004531357E-2</v>
      </c>
      <c r="F5" s="69">
        <f>销售订单执行报表!J44</f>
        <v>6138739.2320039924</v>
      </c>
      <c r="G5" s="69">
        <f>F5-销售订单执行报表!L44</f>
        <v>6280787.8113440508</v>
      </c>
      <c r="H5" s="69">
        <f>F5-G5</f>
        <v>-142048.57934005838</v>
      </c>
      <c r="I5" s="69"/>
      <c r="J5" s="71">
        <f t="shared" si="0"/>
        <v>-142048.57934005838</v>
      </c>
    </row>
    <row r="6" spans="1:10" ht="18" customHeight="1">
      <c r="A6" s="103" t="s">
        <v>250</v>
      </c>
      <c r="B6" s="77" t="s">
        <v>195</v>
      </c>
      <c r="C6" s="69"/>
      <c r="D6" s="69"/>
      <c r="E6" s="70"/>
      <c r="F6" s="69"/>
      <c r="G6" s="69"/>
      <c r="H6" s="69"/>
      <c r="I6" s="69"/>
      <c r="J6" s="71"/>
    </row>
    <row r="7" spans="1:10" ht="18" customHeight="1">
      <c r="A7" s="104"/>
      <c r="B7" s="77" t="s">
        <v>226</v>
      </c>
      <c r="C7" s="69"/>
      <c r="D7" s="69"/>
      <c r="E7" s="70"/>
      <c r="F7" s="69"/>
      <c r="G7" s="69"/>
      <c r="H7" s="69"/>
      <c r="I7" s="69"/>
      <c r="J7" s="71"/>
    </row>
    <row r="8" spans="1:10" ht="18" customHeight="1">
      <c r="A8" s="105"/>
      <c r="B8" s="77" t="s">
        <v>227</v>
      </c>
      <c r="C8" s="69"/>
      <c r="D8" s="69"/>
      <c r="E8" s="70"/>
      <c r="F8" s="69"/>
      <c r="G8" s="69"/>
      <c r="H8" s="69"/>
      <c r="I8" s="69"/>
      <c r="J8" s="71">
        <f t="shared" ref="J8" si="2">H8+I8</f>
        <v>0</v>
      </c>
    </row>
    <row r="9" spans="1:10" ht="18" customHeight="1" thickBot="1">
      <c r="A9" s="75" t="s">
        <v>223</v>
      </c>
      <c r="B9" s="78"/>
      <c r="C9" s="72">
        <f>SUM(C3:C8)</f>
        <v>2155</v>
      </c>
      <c r="D9" s="72">
        <f>SUM(D3:D8)</f>
        <v>2298.4994152889108</v>
      </c>
      <c r="E9" s="73"/>
      <c r="F9" s="72">
        <f>SUM(F3:F8)</f>
        <v>6433088.6695772326</v>
      </c>
      <c r="G9" s="72">
        <f>SUM(G3:G8)</f>
        <v>6536481.3531603962</v>
      </c>
      <c r="H9" s="72">
        <f>SUM(H3:H8)</f>
        <v>-103392.68358316303</v>
      </c>
      <c r="I9" s="72">
        <f>SUM(I3:I8)</f>
        <v>50000</v>
      </c>
      <c r="J9" s="74">
        <f>SUM(J3:J8)</f>
        <v>-53392.683583163031</v>
      </c>
    </row>
    <row r="11" spans="1:10" ht="23.25" customHeight="1" thickBot="1">
      <c r="A11" s="84" t="s">
        <v>247</v>
      </c>
    </row>
    <row r="12" spans="1:10" ht="18" customHeight="1">
      <c r="A12" s="81" t="s">
        <v>214</v>
      </c>
      <c r="B12" s="82" t="s">
        <v>225</v>
      </c>
      <c r="C12" s="82" t="s">
        <v>240</v>
      </c>
      <c r="D12" s="82" t="s">
        <v>241</v>
      </c>
      <c r="E12" s="82" t="s">
        <v>217</v>
      </c>
      <c r="F12" s="86" t="s">
        <v>242</v>
      </c>
      <c r="G12" s="86" t="s">
        <v>243</v>
      </c>
      <c r="H12" s="87" t="s">
        <v>244</v>
      </c>
    </row>
    <row r="13" spans="1:10" s="4" customFormat="1" ht="18" customHeight="1">
      <c r="A13" s="110" t="s">
        <v>234</v>
      </c>
      <c r="B13" s="62" t="s">
        <v>235</v>
      </c>
      <c r="C13" s="20">
        <f>工单原料耗用!R7+工单原料耗用!R3</f>
        <v>55</v>
      </c>
      <c r="D13" s="20">
        <f>工单原料耗用!S3+工单原料耗用!S7</f>
        <v>59.11139657444005</v>
      </c>
      <c r="E13" s="48">
        <f>1-C13/D13</f>
        <v>6.9553365555532043E-2</v>
      </c>
      <c r="F13" s="20">
        <f>工单原料耗用!T3+工单原料耗用!T7</f>
        <v>156199.84632270614</v>
      </c>
      <c r="G13" s="20">
        <f>销售订单执行报表!K36</f>
        <v>2730</v>
      </c>
      <c r="H13" s="83">
        <f>G13*D13-F13</f>
        <v>5174.2663255152002</v>
      </c>
    </row>
    <row r="14" spans="1:10" s="4" customFormat="1" ht="18" customHeight="1">
      <c r="A14" s="110"/>
      <c r="B14" s="62" t="s">
        <v>236</v>
      </c>
      <c r="C14" s="20">
        <f>工单原料耗用!R11</f>
        <v>18</v>
      </c>
      <c r="D14" s="20">
        <f>工单原料耗用!S11</f>
        <v>18.483981693363845</v>
      </c>
      <c r="E14" s="48">
        <f>1-C14/D14</f>
        <v>2.6183844011142043E-2</v>
      </c>
      <c r="F14" s="20">
        <f>工单原料耗用!T11</f>
        <v>49041.159234246799</v>
      </c>
      <c r="G14" s="20">
        <f>G13</f>
        <v>2730</v>
      </c>
      <c r="H14" s="83">
        <f t="shared" ref="H14:H17" si="3">G14*D14-F14</f>
        <v>1420.1107886364989</v>
      </c>
    </row>
    <row r="15" spans="1:10" s="4" customFormat="1" ht="18" customHeight="1">
      <c r="A15" s="110"/>
      <c r="B15" s="62" t="s">
        <v>237</v>
      </c>
      <c r="C15" s="20"/>
      <c r="D15" s="20">
        <f>库存原料!E6</f>
        <v>128.89130434782609</v>
      </c>
      <c r="E15" s="48"/>
      <c r="F15" s="20">
        <f>库存原料!H6</f>
        <v>344685.86956521741</v>
      </c>
      <c r="G15" s="20">
        <f>G14</f>
        <v>2730</v>
      </c>
      <c r="H15" s="83">
        <f t="shared" si="3"/>
        <v>7187.3913043478387</v>
      </c>
    </row>
    <row r="16" spans="1:10" s="4" customFormat="1" ht="18" customHeight="1">
      <c r="A16" s="110"/>
      <c r="B16" s="62" t="s">
        <v>239</v>
      </c>
      <c r="C16" s="20"/>
      <c r="D16" s="20">
        <v>500</v>
      </c>
      <c r="E16" s="48"/>
      <c r="F16" s="20">
        <f>D16*2750</f>
        <v>1375000</v>
      </c>
      <c r="G16" s="20">
        <f>G15</f>
        <v>2730</v>
      </c>
      <c r="H16" s="83">
        <f t="shared" si="3"/>
        <v>-10000</v>
      </c>
    </row>
    <row r="17" spans="1:8" s="4" customFormat="1" ht="18" customHeight="1">
      <c r="A17" s="110"/>
      <c r="B17" s="62" t="s">
        <v>238</v>
      </c>
      <c r="C17" s="20"/>
      <c r="D17" s="20">
        <v>-150</v>
      </c>
      <c r="E17" s="48"/>
      <c r="F17" s="20">
        <f>D17*2800</f>
        <v>-420000</v>
      </c>
      <c r="G17" s="20">
        <f>G16</f>
        <v>2730</v>
      </c>
      <c r="H17" s="83">
        <f t="shared" si="3"/>
        <v>10500</v>
      </c>
    </row>
    <row r="18" spans="1:8" s="84" customFormat="1" ht="18" customHeight="1">
      <c r="A18" s="110" t="s">
        <v>248</v>
      </c>
      <c r="B18" s="115"/>
      <c r="C18" s="89">
        <f>SUM(C13:C17)</f>
        <v>73</v>
      </c>
      <c r="D18" s="89">
        <f>SUM(D13:D17)</f>
        <v>556.48668261563</v>
      </c>
      <c r="E18" s="90"/>
      <c r="F18" s="89">
        <f>SUM(F13:F17)</f>
        <v>1504926.8751221704</v>
      </c>
      <c r="G18" s="90"/>
      <c r="H18" s="91">
        <f>SUM(H13:H17)</f>
        <v>14281.768418499538</v>
      </c>
    </row>
    <row r="19" spans="1:8" ht="18" customHeight="1">
      <c r="A19" s="110" t="s">
        <v>253</v>
      </c>
      <c r="B19" s="62" t="s">
        <v>235</v>
      </c>
      <c r="C19" s="20">
        <v>88</v>
      </c>
      <c r="D19" s="20">
        <v>89</v>
      </c>
      <c r="E19" s="48">
        <f>1-C19/D19</f>
        <v>1.1235955056179803E-2</v>
      </c>
      <c r="F19" s="20">
        <f>D19*3200</f>
        <v>284800</v>
      </c>
      <c r="G19" s="20">
        <v>3300</v>
      </c>
      <c r="H19" s="83">
        <f>G19*D19-F19</f>
        <v>8900</v>
      </c>
    </row>
    <row r="20" spans="1:8" ht="18" customHeight="1">
      <c r="A20" s="110"/>
      <c r="B20" s="62" t="s">
        <v>237</v>
      </c>
      <c r="C20" s="20"/>
      <c r="D20" s="20">
        <v>300</v>
      </c>
      <c r="E20" s="48"/>
      <c r="F20" s="20">
        <f>D20*3300</f>
        <v>990000</v>
      </c>
      <c r="G20" s="20">
        <f>G19</f>
        <v>3300</v>
      </c>
      <c r="H20" s="83">
        <f t="shared" ref="H20:H22" si="4">G20*D20-F20</f>
        <v>0</v>
      </c>
    </row>
    <row r="21" spans="1:8" ht="18" customHeight="1">
      <c r="A21" s="110"/>
      <c r="B21" s="62" t="s">
        <v>239</v>
      </c>
      <c r="C21" s="20"/>
      <c r="D21" s="20">
        <v>250</v>
      </c>
      <c r="E21" s="48"/>
      <c r="F21" s="20">
        <f>D21*3250</f>
        <v>812500</v>
      </c>
      <c r="G21" s="20">
        <f>G20</f>
        <v>3300</v>
      </c>
      <c r="H21" s="83">
        <f t="shared" si="4"/>
        <v>12500</v>
      </c>
    </row>
    <row r="22" spans="1:8" ht="18" customHeight="1">
      <c r="A22" s="110"/>
      <c r="B22" s="62" t="s">
        <v>238</v>
      </c>
      <c r="C22" s="20"/>
      <c r="D22" s="20">
        <v>-120</v>
      </c>
      <c r="E22" s="48"/>
      <c r="F22" s="20">
        <f>D22*3150</f>
        <v>-378000</v>
      </c>
      <c r="G22" s="20">
        <f>G21</f>
        <v>3300</v>
      </c>
      <c r="H22" s="83">
        <f t="shared" si="4"/>
        <v>-18000</v>
      </c>
    </row>
    <row r="23" spans="1:8" s="84" customFormat="1" ht="18" customHeight="1">
      <c r="A23" s="110" t="s">
        <v>249</v>
      </c>
      <c r="B23" s="115"/>
      <c r="C23" s="89">
        <f>SUM(C19:C22)</f>
        <v>88</v>
      </c>
      <c r="D23" s="89">
        <f>SUM(D19:D22)</f>
        <v>519</v>
      </c>
      <c r="E23" s="90"/>
      <c r="F23" s="89">
        <f>SUM(F19:F22)</f>
        <v>1709300</v>
      </c>
      <c r="G23" s="90"/>
      <c r="H23" s="91">
        <f>SUM(H19:H22)</f>
        <v>3400</v>
      </c>
    </row>
    <row r="24" spans="1:8" s="84" customFormat="1" ht="18" customHeight="1" thickBot="1">
      <c r="A24" s="116" t="s">
        <v>245</v>
      </c>
      <c r="B24" s="117"/>
      <c r="C24" s="92">
        <f>C18+C23</f>
        <v>161</v>
      </c>
      <c r="D24" s="92">
        <f>D18+D23</f>
        <v>1075.4866826156299</v>
      </c>
      <c r="E24" s="93"/>
      <c r="F24" s="92">
        <f>F18+F23</f>
        <v>3214226.8751221704</v>
      </c>
      <c r="G24" s="93"/>
      <c r="H24" s="94">
        <f>H18+H23</f>
        <v>17681.768418499538</v>
      </c>
    </row>
    <row r="26" spans="1:8" ht="18" customHeight="1" thickBot="1">
      <c r="A26" s="84" t="s">
        <v>251</v>
      </c>
    </row>
    <row r="27" spans="1:8" s="4" customFormat="1" ht="18" customHeight="1">
      <c r="A27" s="109" t="s">
        <v>231</v>
      </c>
      <c r="B27" s="108" t="s">
        <v>252</v>
      </c>
      <c r="C27" s="108" t="s">
        <v>256</v>
      </c>
      <c r="D27" s="108"/>
      <c r="E27" s="108"/>
      <c r="F27" s="82" t="s">
        <v>257</v>
      </c>
      <c r="G27" s="113" t="s">
        <v>260</v>
      </c>
      <c r="H27" s="111" t="s">
        <v>259</v>
      </c>
    </row>
    <row r="28" spans="1:8" s="3" customFormat="1" ht="18" customHeight="1">
      <c r="A28" s="110"/>
      <c r="B28" s="115"/>
      <c r="C28" s="62" t="s">
        <v>254</v>
      </c>
      <c r="D28" s="62" t="s">
        <v>246</v>
      </c>
      <c r="E28" s="62" t="s">
        <v>255</v>
      </c>
      <c r="F28" s="62" t="s">
        <v>258</v>
      </c>
      <c r="G28" s="114"/>
      <c r="H28" s="112"/>
    </row>
    <row r="29" spans="1:8" s="3" customFormat="1" ht="18" customHeight="1">
      <c r="A29" s="103" t="s">
        <v>234</v>
      </c>
      <c r="B29" s="80" t="s">
        <v>262</v>
      </c>
      <c r="C29" s="62"/>
      <c r="D29" s="62"/>
      <c r="E29" s="62"/>
      <c r="F29" s="62"/>
      <c r="G29" s="63">
        <v>60000</v>
      </c>
      <c r="H29" s="99"/>
    </row>
    <row r="30" spans="1:8" s="4" customFormat="1" ht="18" customHeight="1">
      <c r="A30" s="104"/>
      <c r="B30" s="80" t="s">
        <v>261</v>
      </c>
      <c r="C30" s="85">
        <f>J3+J4</f>
        <v>88655.895756895348</v>
      </c>
      <c r="D30" s="85">
        <f>J5+H18</f>
        <v>-127766.81092155885</v>
      </c>
      <c r="E30" s="85">
        <f>D30+C30</f>
        <v>-39110.9151646635</v>
      </c>
      <c r="F30" s="85">
        <f>逐日盯市采购利润!N35</f>
        <v>-138065.20421607388</v>
      </c>
      <c r="G30" s="85">
        <f>E30-F30</f>
        <v>98954.289051410378</v>
      </c>
      <c r="H30" s="88">
        <f>I9</f>
        <v>50000</v>
      </c>
    </row>
    <row r="31" spans="1:8" s="4" customFormat="1" ht="18" customHeight="1">
      <c r="A31" s="104"/>
      <c r="B31" s="80" t="s">
        <v>232</v>
      </c>
      <c r="C31" s="79"/>
      <c r="D31" s="79"/>
      <c r="E31" s="79"/>
      <c r="F31" s="79"/>
      <c r="G31" s="85">
        <f t="shared" ref="G31:G33" si="5">E31-F31</f>
        <v>0</v>
      </c>
      <c r="H31" s="96"/>
    </row>
    <row r="32" spans="1:8" s="4" customFormat="1" ht="18" customHeight="1">
      <c r="A32" s="104"/>
      <c r="B32" s="80" t="s">
        <v>233</v>
      </c>
      <c r="C32" s="79"/>
      <c r="D32" s="79"/>
      <c r="E32" s="79"/>
      <c r="F32" s="79"/>
      <c r="G32" s="85">
        <f t="shared" si="5"/>
        <v>0</v>
      </c>
      <c r="H32" s="96"/>
    </row>
    <row r="33" spans="1:8" s="4" customFormat="1" ht="18" customHeight="1">
      <c r="A33" s="105"/>
      <c r="B33" s="79"/>
      <c r="C33" s="79"/>
      <c r="D33" s="79"/>
      <c r="E33" s="79"/>
      <c r="F33" s="79"/>
      <c r="G33" s="85">
        <f t="shared" si="5"/>
        <v>0</v>
      </c>
      <c r="H33" s="96"/>
    </row>
    <row r="34" spans="1:8" s="2" customFormat="1" ht="18" customHeight="1">
      <c r="A34" s="106" t="s">
        <v>245</v>
      </c>
      <c r="B34" s="107"/>
      <c r="C34" s="89">
        <f>SUM(C30:C33)</f>
        <v>88655.895756895348</v>
      </c>
      <c r="D34" s="89">
        <f t="shared" ref="D34:F34" si="6">SUM(D30:D33)</f>
        <v>-127766.81092155885</v>
      </c>
      <c r="E34" s="89">
        <f t="shared" si="6"/>
        <v>-39110.9151646635</v>
      </c>
      <c r="F34" s="89">
        <f t="shared" si="6"/>
        <v>-138065.20421607388</v>
      </c>
      <c r="G34" s="95">
        <f>E34-F34+G29</f>
        <v>158954.28905141039</v>
      </c>
      <c r="H34" s="91">
        <f>SUM(H30:H33)</f>
        <v>50000</v>
      </c>
    </row>
    <row r="35" spans="1:8" ht="18" customHeight="1">
      <c r="A35" s="103" t="s">
        <v>253</v>
      </c>
      <c r="B35" s="80" t="s">
        <v>262</v>
      </c>
      <c r="C35" s="62"/>
      <c r="D35" s="62"/>
      <c r="E35" s="62"/>
      <c r="F35" s="62"/>
      <c r="G35" s="98"/>
      <c r="H35" s="99"/>
    </row>
    <row r="36" spans="1:8" ht="18" customHeight="1">
      <c r="A36" s="104"/>
      <c r="B36" s="80" t="s">
        <v>261</v>
      </c>
      <c r="C36" s="85">
        <f>J10+J11</f>
        <v>0</v>
      </c>
      <c r="D36" s="85">
        <f>J12+H25</f>
        <v>0</v>
      </c>
      <c r="E36" s="85">
        <f>D36+C36</f>
        <v>0</v>
      </c>
      <c r="F36" s="85">
        <f>逐日盯市采购利润!N42</f>
        <v>0</v>
      </c>
      <c r="G36" s="85">
        <f>E36-F36</f>
        <v>0</v>
      </c>
      <c r="H36" s="88">
        <f>I16</f>
        <v>0</v>
      </c>
    </row>
    <row r="37" spans="1:8" ht="18" customHeight="1">
      <c r="A37" s="104"/>
      <c r="B37" s="80" t="s">
        <v>232</v>
      </c>
      <c r="C37" s="79"/>
      <c r="D37" s="79"/>
      <c r="E37" s="79"/>
      <c r="F37" s="79"/>
      <c r="G37" s="85">
        <f t="shared" ref="G37:G40" si="7">E37-F37</f>
        <v>0</v>
      </c>
      <c r="H37" s="96"/>
    </row>
    <row r="38" spans="1:8" ht="18" customHeight="1">
      <c r="A38" s="104"/>
      <c r="B38" s="80" t="s">
        <v>233</v>
      </c>
      <c r="C38" s="79"/>
      <c r="D38" s="79"/>
      <c r="E38" s="79"/>
      <c r="F38" s="79"/>
      <c r="G38" s="85">
        <f t="shared" si="7"/>
        <v>0</v>
      </c>
      <c r="H38" s="96"/>
    </row>
    <row r="39" spans="1:8" ht="18" customHeight="1">
      <c r="A39" s="105"/>
      <c r="B39" s="79"/>
      <c r="C39" s="79"/>
      <c r="D39" s="79"/>
      <c r="E39" s="79"/>
      <c r="F39" s="79"/>
      <c r="G39" s="85">
        <f t="shared" si="7"/>
        <v>0</v>
      </c>
      <c r="H39" s="96"/>
    </row>
    <row r="40" spans="1:8" ht="18" customHeight="1" thickBot="1">
      <c r="A40" s="101" t="s">
        <v>245</v>
      </c>
      <c r="B40" s="102"/>
      <c r="C40" s="92">
        <f>SUM(C36:C39)</f>
        <v>0</v>
      </c>
      <c r="D40" s="92">
        <f t="shared" ref="D40" si="8">SUM(D36:D39)</f>
        <v>0</v>
      </c>
      <c r="E40" s="92">
        <f t="shared" ref="E40" si="9">SUM(E36:E39)</f>
        <v>0</v>
      </c>
      <c r="F40" s="92">
        <f t="shared" ref="F40" si="10">SUM(F36:F39)</f>
        <v>0</v>
      </c>
      <c r="G40" s="97">
        <f t="shared" si="7"/>
        <v>0</v>
      </c>
      <c r="H40" s="94">
        <f>SUM(H36:H39)</f>
        <v>0</v>
      </c>
    </row>
  </sheetData>
  <mergeCells count="16">
    <mergeCell ref="A3:A5"/>
    <mergeCell ref="A6:A8"/>
    <mergeCell ref="H27:H28"/>
    <mergeCell ref="G27:G28"/>
    <mergeCell ref="B27:B28"/>
    <mergeCell ref="A13:A17"/>
    <mergeCell ref="A18:B18"/>
    <mergeCell ref="A19:A22"/>
    <mergeCell ref="A23:B23"/>
    <mergeCell ref="A24:B24"/>
    <mergeCell ref="A40:B40"/>
    <mergeCell ref="A29:A33"/>
    <mergeCell ref="A35:A39"/>
    <mergeCell ref="A34:B34"/>
    <mergeCell ref="C27:E27"/>
    <mergeCell ref="A27:A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pane ySplit="2" topLeftCell="A27" activePane="bottomLeft" state="frozen"/>
      <selection pane="bottomLeft" activeCell="I47" sqref="I47"/>
    </sheetView>
  </sheetViews>
  <sheetFormatPr defaultColWidth="9" defaultRowHeight="18" customHeight="1"/>
  <cols>
    <col min="1" max="1" width="5.28515625" style="16" customWidth="1"/>
    <col min="2" max="2" width="11.5703125" style="8" bestFit="1" customWidth="1"/>
    <col min="3" max="3" width="9.42578125" style="8" bestFit="1" customWidth="1"/>
    <col min="4" max="4" width="9.42578125" style="8" customWidth="1"/>
    <col min="5" max="5" width="11.28515625" style="8" customWidth="1"/>
    <col min="6" max="6" width="10.85546875" style="18" customWidth="1"/>
    <col min="7" max="7" width="15.42578125" style="18" customWidth="1"/>
    <col min="8" max="8" width="12.28515625" style="8" bestFit="1" customWidth="1"/>
    <col min="9" max="9" width="11.5703125" style="8" customWidth="1"/>
    <col min="10" max="10" width="13.5703125" style="8" customWidth="1"/>
    <col min="11" max="11" width="11.28515625" style="8" bestFit="1" customWidth="1"/>
    <col min="12" max="12" width="12.42578125" style="8" customWidth="1"/>
    <col min="13" max="16384" width="9" style="8"/>
  </cols>
  <sheetData>
    <row r="1" spans="1:12" s="2" customFormat="1" ht="18" customHeight="1">
      <c r="A1" s="17" t="s">
        <v>30</v>
      </c>
      <c r="F1" s="13"/>
      <c r="G1" s="13"/>
      <c r="L1" s="2" t="s">
        <v>35</v>
      </c>
    </row>
    <row r="2" spans="1:12" s="1" customFormat="1" ht="18" customHeight="1">
      <c r="A2" s="5" t="s">
        <v>0</v>
      </c>
      <c r="B2" s="5" t="s">
        <v>22</v>
      </c>
      <c r="C2" s="5" t="s">
        <v>19</v>
      </c>
      <c r="D2" s="27" t="s">
        <v>49</v>
      </c>
      <c r="E2" s="5" t="s">
        <v>6</v>
      </c>
      <c r="F2" s="21" t="s">
        <v>20</v>
      </c>
      <c r="G2" s="21" t="s">
        <v>21</v>
      </c>
      <c r="H2" s="27" t="s">
        <v>37</v>
      </c>
      <c r="I2" s="27" t="s">
        <v>24</v>
      </c>
      <c r="J2" s="27" t="s">
        <v>25</v>
      </c>
      <c r="K2" s="27" t="s">
        <v>26</v>
      </c>
      <c r="L2" s="29" t="s">
        <v>25</v>
      </c>
    </row>
    <row r="3" spans="1:12" ht="18" customHeight="1">
      <c r="A3" s="15">
        <v>1</v>
      </c>
      <c r="B3" s="10">
        <v>2016010101</v>
      </c>
      <c r="C3" s="7">
        <v>42370</v>
      </c>
      <c r="D3" s="7"/>
      <c r="E3" s="10" t="s">
        <v>27</v>
      </c>
      <c r="F3" s="11">
        <v>10</v>
      </c>
      <c r="G3" s="11">
        <v>2920</v>
      </c>
      <c r="H3" s="46" t="s">
        <v>186</v>
      </c>
      <c r="I3" s="25">
        <f>[1]盐城明细!$L$103</f>
        <v>0.12451145502790099</v>
      </c>
      <c r="J3" s="11">
        <f>F3/(1-I3)*(1-0.66%)</f>
        <v>11.346807513417078</v>
      </c>
      <c r="K3" s="11">
        <f>J3*G3</f>
        <v>33132.677939177869</v>
      </c>
      <c r="L3" s="30">
        <f>F3/(1-I3)</f>
        <v>11.422193993776</v>
      </c>
    </row>
    <row r="4" spans="1:12" ht="18" customHeight="1">
      <c r="A4" s="15">
        <v>2</v>
      </c>
      <c r="B4" s="10">
        <v>2016010203</v>
      </c>
      <c r="C4" s="7">
        <v>42371</v>
      </c>
      <c r="D4" s="7"/>
      <c r="E4" s="22" t="s">
        <v>208</v>
      </c>
      <c r="F4" s="11">
        <v>12</v>
      </c>
      <c r="G4" s="11">
        <v>2880</v>
      </c>
      <c r="H4" s="46" t="s">
        <v>187</v>
      </c>
      <c r="I4" s="24">
        <f>[1]盐城明细!$L$90</f>
        <v>0.12069380872079</v>
      </c>
      <c r="J4" s="11">
        <f t="shared" ref="J4:J13" si="0">F4/(1-I4)*(1-0.66%)</f>
        <v>13.5570522739726</v>
      </c>
      <c r="K4" s="11">
        <f t="shared" ref="K4:K13" si="1">J4*G4</f>
        <v>39044.310549041089</v>
      </c>
    </row>
    <row r="5" spans="1:12" ht="18" customHeight="1">
      <c r="A5" s="15">
        <v>3</v>
      </c>
      <c r="B5" s="10">
        <v>2016010203</v>
      </c>
      <c r="C5" s="7">
        <v>42372</v>
      </c>
      <c r="D5" s="7"/>
      <c r="E5" s="22" t="s">
        <v>209</v>
      </c>
      <c r="F5" s="11">
        <v>13</v>
      </c>
      <c r="G5" s="11">
        <v>3030</v>
      </c>
      <c r="H5" s="22" t="str">
        <f>H4</f>
        <v>20150425120330</v>
      </c>
      <c r="I5" s="24">
        <f>I4</f>
        <v>0.12069380872079</v>
      </c>
      <c r="J5" s="11">
        <f t="shared" si="0"/>
        <v>14.686806630136983</v>
      </c>
      <c r="K5" s="11">
        <f t="shared" si="1"/>
        <v>44501.024089315062</v>
      </c>
    </row>
    <row r="6" spans="1:12" ht="18" customHeight="1">
      <c r="A6" s="15">
        <v>4</v>
      </c>
      <c r="B6" s="10"/>
      <c r="C6" s="10"/>
      <c r="D6" s="10"/>
      <c r="E6" s="10"/>
      <c r="F6" s="11"/>
      <c r="G6" s="11"/>
      <c r="H6" s="10"/>
      <c r="I6" s="10"/>
      <c r="J6" s="11">
        <f t="shared" si="0"/>
        <v>0</v>
      </c>
      <c r="K6" s="11">
        <f t="shared" si="1"/>
        <v>0</v>
      </c>
    </row>
    <row r="7" spans="1:12" ht="18" customHeight="1">
      <c r="A7" s="15">
        <v>5</v>
      </c>
      <c r="B7" s="10"/>
      <c r="C7" s="10"/>
      <c r="D7" s="10"/>
      <c r="E7" s="10"/>
      <c r="F7" s="11"/>
      <c r="G7" s="11"/>
      <c r="H7" s="10"/>
      <c r="I7" s="10"/>
      <c r="J7" s="11">
        <f t="shared" si="0"/>
        <v>0</v>
      </c>
      <c r="K7" s="11">
        <f t="shared" si="1"/>
        <v>0</v>
      </c>
    </row>
    <row r="8" spans="1:12" ht="18" customHeight="1">
      <c r="A8" s="15">
        <v>6</v>
      </c>
      <c r="B8" s="10"/>
      <c r="C8" s="10"/>
      <c r="D8" s="10"/>
      <c r="E8" s="10"/>
      <c r="F8" s="11"/>
      <c r="G8" s="11"/>
      <c r="H8" s="10"/>
      <c r="I8" s="10"/>
      <c r="J8" s="11">
        <f t="shared" si="0"/>
        <v>0</v>
      </c>
      <c r="K8" s="11">
        <f t="shared" si="1"/>
        <v>0</v>
      </c>
    </row>
    <row r="9" spans="1:12" ht="18" customHeight="1">
      <c r="A9" s="15">
        <v>7</v>
      </c>
      <c r="B9" s="10"/>
      <c r="C9" s="10"/>
      <c r="D9" s="10"/>
      <c r="E9" s="10"/>
      <c r="F9" s="11"/>
      <c r="G9" s="11"/>
      <c r="H9" s="10"/>
      <c r="I9" s="10"/>
      <c r="J9" s="11">
        <f t="shared" si="0"/>
        <v>0</v>
      </c>
      <c r="K9" s="11">
        <f t="shared" si="1"/>
        <v>0</v>
      </c>
    </row>
    <row r="10" spans="1:12" ht="18" customHeight="1">
      <c r="A10" s="15">
        <v>8</v>
      </c>
      <c r="B10" s="10"/>
      <c r="C10" s="10"/>
      <c r="D10" s="10"/>
      <c r="E10" s="10"/>
      <c r="F10" s="11"/>
      <c r="G10" s="11"/>
      <c r="H10" s="10"/>
      <c r="I10" s="10"/>
      <c r="J10" s="11">
        <f t="shared" si="0"/>
        <v>0</v>
      </c>
      <c r="K10" s="11">
        <f t="shared" si="1"/>
        <v>0</v>
      </c>
    </row>
    <row r="11" spans="1:12" ht="18" customHeight="1">
      <c r="A11" s="15">
        <v>9</v>
      </c>
      <c r="B11" s="10"/>
      <c r="C11" s="10"/>
      <c r="D11" s="10"/>
      <c r="E11" s="10"/>
      <c r="F11" s="11"/>
      <c r="G11" s="11"/>
      <c r="H11" s="10"/>
      <c r="I11" s="10"/>
      <c r="J11" s="11">
        <f t="shared" si="0"/>
        <v>0</v>
      </c>
      <c r="K11" s="11">
        <f t="shared" si="1"/>
        <v>0</v>
      </c>
    </row>
    <row r="12" spans="1:12" ht="18" customHeight="1">
      <c r="A12" s="15">
        <v>10</v>
      </c>
      <c r="B12" s="10"/>
      <c r="C12" s="10"/>
      <c r="D12" s="10"/>
      <c r="E12" s="10"/>
      <c r="F12" s="11"/>
      <c r="G12" s="11"/>
      <c r="H12" s="10"/>
      <c r="I12" s="10"/>
      <c r="J12" s="11">
        <f t="shared" si="0"/>
        <v>0</v>
      </c>
      <c r="K12" s="11">
        <f t="shared" si="1"/>
        <v>0</v>
      </c>
    </row>
    <row r="13" spans="1:12" ht="18" customHeight="1">
      <c r="A13" s="15">
        <v>11</v>
      </c>
      <c r="B13" s="10"/>
      <c r="C13" s="10"/>
      <c r="D13" s="10"/>
      <c r="E13" s="10"/>
      <c r="F13" s="11"/>
      <c r="G13" s="11"/>
      <c r="H13" s="10"/>
      <c r="I13" s="10"/>
      <c r="J13" s="11">
        <f t="shared" si="0"/>
        <v>0</v>
      </c>
      <c r="K13" s="11">
        <f t="shared" si="1"/>
        <v>0</v>
      </c>
    </row>
    <row r="14" spans="1:12" ht="18" customHeight="1">
      <c r="A14" s="118" t="s">
        <v>29</v>
      </c>
      <c r="B14" s="119"/>
      <c r="C14" s="119"/>
      <c r="D14" s="119"/>
      <c r="E14" s="120"/>
      <c r="F14" s="11">
        <f>SUM(F3:F13)</f>
        <v>35</v>
      </c>
      <c r="G14" s="11"/>
      <c r="H14" s="10"/>
      <c r="I14" s="10"/>
      <c r="J14" s="11">
        <f>SUM(J3:J13)</f>
        <v>39.590666417526663</v>
      </c>
      <c r="K14" s="11">
        <f>SUM(K3:K13)</f>
        <v>116678.01257753401</v>
      </c>
    </row>
    <row r="16" spans="1:12" ht="18" customHeight="1">
      <c r="A16" s="17" t="s">
        <v>32</v>
      </c>
    </row>
    <row r="17" spans="1:12" s="1" customFormat="1" ht="18" customHeight="1">
      <c r="A17" s="27" t="s">
        <v>0</v>
      </c>
      <c r="B17" s="27" t="s">
        <v>22</v>
      </c>
      <c r="C17" s="27" t="s">
        <v>19</v>
      </c>
      <c r="D17" s="27" t="s">
        <v>49</v>
      </c>
      <c r="E17" s="27" t="s">
        <v>6</v>
      </c>
      <c r="F17" s="21" t="s">
        <v>20</v>
      </c>
      <c r="G17" s="21" t="s">
        <v>21</v>
      </c>
      <c r="H17" s="27" t="s">
        <v>37</v>
      </c>
      <c r="I17" s="27" t="s">
        <v>24</v>
      </c>
      <c r="J17" s="27" t="s">
        <v>25</v>
      </c>
      <c r="K17" s="27" t="s">
        <v>26</v>
      </c>
    </row>
    <row r="18" spans="1:12" ht="18" customHeight="1">
      <c r="A18" s="26">
        <v>1</v>
      </c>
      <c r="B18" s="10">
        <v>2016040101</v>
      </c>
      <c r="C18" s="7">
        <v>42461</v>
      </c>
      <c r="D18" s="7"/>
      <c r="E18" s="10" t="s">
        <v>27</v>
      </c>
      <c r="F18" s="11">
        <v>15</v>
      </c>
      <c r="G18" s="11">
        <v>2820</v>
      </c>
      <c r="H18" s="46" t="s">
        <v>186</v>
      </c>
      <c r="I18" s="25">
        <f>I3</f>
        <v>0.12451145502790099</v>
      </c>
      <c r="J18" s="11">
        <f>F18/(1-I18)*(1-0.66%)</f>
        <v>17.020211270125618</v>
      </c>
      <c r="K18" s="11">
        <f>J18*G18</f>
        <v>47996.995781754238</v>
      </c>
    </row>
    <row r="19" spans="1:12" ht="18" customHeight="1">
      <c r="A19" s="26">
        <v>2</v>
      </c>
      <c r="B19" s="10">
        <v>2016040203</v>
      </c>
      <c r="C19" s="7">
        <v>42462</v>
      </c>
      <c r="D19" s="7"/>
      <c r="E19" s="22" t="s">
        <v>208</v>
      </c>
      <c r="F19" s="11">
        <v>18</v>
      </c>
      <c r="G19" s="11">
        <v>2780</v>
      </c>
      <c r="H19" s="46" t="s">
        <v>187</v>
      </c>
      <c r="I19" s="24">
        <f>I4</f>
        <v>0.12069380872079</v>
      </c>
      <c r="J19" s="11">
        <f t="shared" ref="J19:J28" si="2">F19/(1-I19)*(1-0.66%)</f>
        <v>20.335578410958899</v>
      </c>
      <c r="K19" s="11">
        <f t="shared" ref="K19:K28" si="3">J19*G19</f>
        <v>56532.907982465738</v>
      </c>
    </row>
    <row r="20" spans="1:12" ht="18" customHeight="1">
      <c r="A20" s="26">
        <v>3</v>
      </c>
      <c r="B20" s="10">
        <v>2016040203</v>
      </c>
      <c r="C20" s="7">
        <v>42463</v>
      </c>
      <c r="D20" s="7"/>
      <c r="E20" s="22" t="s">
        <v>209</v>
      </c>
      <c r="F20" s="11">
        <v>22</v>
      </c>
      <c r="G20" s="11">
        <v>2930</v>
      </c>
      <c r="H20" s="22" t="str">
        <f>H19</f>
        <v>20150425120330</v>
      </c>
      <c r="I20" s="24">
        <f>I3</f>
        <v>0.12451145502790099</v>
      </c>
      <c r="J20" s="11">
        <f t="shared" si="2"/>
        <v>24.962976529517572</v>
      </c>
      <c r="K20" s="11">
        <f t="shared" si="3"/>
        <v>73141.521231486491</v>
      </c>
    </row>
    <row r="21" spans="1:12" ht="18" customHeight="1">
      <c r="A21" s="26">
        <v>4</v>
      </c>
      <c r="B21" s="10"/>
      <c r="C21" s="10"/>
      <c r="D21" s="10"/>
      <c r="E21" s="10"/>
      <c r="F21" s="11"/>
      <c r="G21" s="11"/>
      <c r="H21" s="10"/>
      <c r="I21" s="10"/>
      <c r="J21" s="11">
        <f t="shared" si="2"/>
        <v>0</v>
      </c>
      <c r="K21" s="11">
        <f t="shared" si="3"/>
        <v>0</v>
      </c>
    </row>
    <row r="22" spans="1:12" ht="18" customHeight="1">
      <c r="A22" s="26">
        <v>5</v>
      </c>
      <c r="B22" s="10"/>
      <c r="C22" s="10"/>
      <c r="D22" s="10"/>
      <c r="E22" s="10"/>
      <c r="F22" s="11"/>
      <c r="G22" s="11"/>
      <c r="H22" s="10"/>
      <c r="I22" s="10"/>
      <c r="J22" s="11">
        <f t="shared" si="2"/>
        <v>0</v>
      </c>
      <c r="K22" s="11">
        <f t="shared" si="3"/>
        <v>0</v>
      </c>
    </row>
    <row r="23" spans="1:12" ht="18" customHeight="1">
      <c r="A23" s="26">
        <v>6</v>
      </c>
      <c r="B23" s="10"/>
      <c r="C23" s="10"/>
      <c r="D23" s="10"/>
      <c r="E23" s="10"/>
      <c r="F23" s="11"/>
      <c r="G23" s="11"/>
      <c r="H23" s="10"/>
      <c r="I23" s="10"/>
      <c r="J23" s="11">
        <f t="shared" si="2"/>
        <v>0</v>
      </c>
      <c r="K23" s="11">
        <f t="shared" si="3"/>
        <v>0</v>
      </c>
    </row>
    <row r="24" spans="1:12" ht="18" customHeight="1">
      <c r="A24" s="26">
        <v>7</v>
      </c>
      <c r="B24" s="10"/>
      <c r="C24" s="10"/>
      <c r="D24" s="10"/>
      <c r="E24" s="10"/>
      <c r="F24" s="11"/>
      <c r="G24" s="11"/>
      <c r="H24" s="10"/>
      <c r="I24" s="10"/>
      <c r="J24" s="11">
        <f t="shared" si="2"/>
        <v>0</v>
      </c>
      <c r="K24" s="11">
        <f t="shared" si="3"/>
        <v>0</v>
      </c>
    </row>
    <row r="25" spans="1:12" ht="18" customHeight="1">
      <c r="A25" s="26">
        <v>8</v>
      </c>
      <c r="B25" s="10"/>
      <c r="C25" s="10"/>
      <c r="D25" s="10"/>
      <c r="E25" s="10"/>
      <c r="F25" s="11"/>
      <c r="G25" s="11"/>
      <c r="H25" s="10"/>
      <c r="I25" s="10"/>
      <c r="J25" s="11">
        <f t="shared" si="2"/>
        <v>0</v>
      </c>
      <c r="K25" s="11">
        <f t="shared" si="3"/>
        <v>0</v>
      </c>
    </row>
    <row r="26" spans="1:12" ht="18" customHeight="1">
      <c r="A26" s="26">
        <v>9</v>
      </c>
      <c r="B26" s="10"/>
      <c r="C26" s="10"/>
      <c r="D26" s="10"/>
      <c r="E26" s="10"/>
      <c r="F26" s="11"/>
      <c r="G26" s="11"/>
      <c r="H26" s="10"/>
      <c r="I26" s="10"/>
      <c r="J26" s="11">
        <f t="shared" si="2"/>
        <v>0</v>
      </c>
      <c r="K26" s="11">
        <f t="shared" si="3"/>
        <v>0</v>
      </c>
    </row>
    <row r="27" spans="1:12" ht="18" customHeight="1">
      <c r="A27" s="26">
        <v>10</v>
      </c>
      <c r="B27" s="10"/>
      <c r="C27" s="10"/>
      <c r="D27" s="10"/>
      <c r="E27" s="10"/>
      <c r="F27" s="11"/>
      <c r="G27" s="11"/>
      <c r="H27" s="10"/>
      <c r="I27" s="10"/>
      <c r="J27" s="11">
        <f t="shared" si="2"/>
        <v>0</v>
      </c>
      <c r="K27" s="11">
        <f t="shared" si="3"/>
        <v>0</v>
      </c>
    </row>
    <row r="28" spans="1:12" ht="18" customHeight="1">
      <c r="A28" s="26">
        <v>11</v>
      </c>
      <c r="B28" s="10"/>
      <c r="C28" s="10"/>
      <c r="D28" s="10"/>
      <c r="E28" s="10"/>
      <c r="F28" s="11"/>
      <c r="G28" s="11"/>
      <c r="H28" s="10"/>
      <c r="I28" s="10"/>
      <c r="J28" s="11">
        <f t="shared" si="2"/>
        <v>0</v>
      </c>
      <c r="K28" s="11">
        <f t="shared" si="3"/>
        <v>0</v>
      </c>
    </row>
    <row r="29" spans="1:12" ht="18" customHeight="1">
      <c r="A29" s="118" t="s">
        <v>29</v>
      </c>
      <c r="B29" s="119"/>
      <c r="C29" s="119"/>
      <c r="D29" s="119"/>
      <c r="E29" s="120"/>
      <c r="F29" s="11">
        <f>SUM(F18:F28)</f>
        <v>55</v>
      </c>
      <c r="G29" s="11"/>
      <c r="H29" s="10"/>
      <c r="I29" s="10"/>
      <c r="J29" s="11">
        <f>SUM(J18:J28)</f>
        <v>62.318766210602092</v>
      </c>
      <c r="K29" s="11">
        <f>SUM(K18:K28)</f>
        <v>177671.42499570647</v>
      </c>
    </row>
    <row r="31" spans="1:12" ht="18" customHeight="1">
      <c r="A31" s="17" t="s">
        <v>33</v>
      </c>
    </row>
    <row r="32" spans="1:12" s="1" customFormat="1" ht="18" customHeight="1">
      <c r="A32" s="27" t="s">
        <v>0</v>
      </c>
      <c r="B32" s="27" t="s">
        <v>22</v>
      </c>
      <c r="C32" s="27" t="s">
        <v>19</v>
      </c>
      <c r="D32" s="27" t="s">
        <v>49</v>
      </c>
      <c r="E32" s="27" t="s">
        <v>6</v>
      </c>
      <c r="F32" s="21" t="s">
        <v>20</v>
      </c>
      <c r="G32" s="21" t="s">
        <v>21</v>
      </c>
      <c r="H32" s="27" t="s">
        <v>23</v>
      </c>
      <c r="I32" s="27" t="s">
        <v>34</v>
      </c>
      <c r="J32" s="27" t="s">
        <v>26</v>
      </c>
      <c r="K32" s="49" t="s">
        <v>228</v>
      </c>
      <c r="L32" s="49" t="s">
        <v>229</v>
      </c>
    </row>
    <row r="33" spans="1:12" ht="18" customHeight="1">
      <c r="A33" s="26">
        <v>1</v>
      </c>
      <c r="B33" s="10">
        <v>2016010801</v>
      </c>
      <c r="C33" s="7">
        <v>42377</v>
      </c>
      <c r="D33" s="7"/>
      <c r="E33" s="10" t="s">
        <v>31</v>
      </c>
      <c r="F33" s="11">
        <v>15</v>
      </c>
      <c r="G33" s="11">
        <v>2720</v>
      </c>
      <c r="H33" s="25">
        <v>8.5000000000000006E-2</v>
      </c>
      <c r="I33" s="11">
        <f t="shared" ref="I33:I43" si="4">F33/(1-H33)*(1-0.66%)</f>
        <v>16.285245901639342</v>
      </c>
      <c r="J33" s="11">
        <f t="shared" ref="J33:J43" si="5">I33*G33</f>
        <v>44295.868852459011</v>
      </c>
      <c r="K33" s="11">
        <v>2730</v>
      </c>
      <c r="L33" s="12">
        <f>K33*I33-J33</f>
        <v>162.85245901639428</v>
      </c>
    </row>
    <row r="34" spans="1:12" ht="18" customHeight="1">
      <c r="A34" s="26">
        <v>2</v>
      </c>
      <c r="B34" s="10">
        <v>2016021503</v>
      </c>
      <c r="C34" s="7">
        <v>42415</v>
      </c>
      <c r="D34" s="7"/>
      <c r="E34" s="10" t="s">
        <v>27</v>
      </c>
      <c r="F34" s="11">
        <v>50</v>
      </c>
      <c r="G34" s="11">
        <v>2750</v>
      </c>
      <c r="H34" s="24">
        <v>8.5000000000000006E-2</v>
      </c>
      <c r="I34" s="11">
        <f t="shared" si="4"/>
        <v>54.284153005464475</v>
      </c>
      <c r="J34" s="11">
        <f t="shared" si="5"/>
        <v>149281.42076502732</v>
      </c>
      <c r="K34" s="11">
        <v>2730</v>
      </c>
      <c r="L34" s="12">
        <f t="shared" ref="L34:L36" si="6">K34*I34-J34</f>
        <v>-1085.6830601092952</v>
      </c>
    </row>
    <row r="35" spans="1:12" ht="18" customHeight="1">
      <c r="A35" s="26">
        <v>3</v>
      </c>
      <c r="B35" s="10">
        <v>2016031803</v>
      </c>
      <c r="C35" s="7">
        <v>42447</v>
      </c>
      <c r="D35" s="7"/>
      <c r="E35" s="10" t="s">
        <v>28</v>
      </c>
      <c r="F35" s="11">
        <v>500</v>
      </c>
      <c r="G35" s="11">
        <v>2850</v>
      </c>
      <c r="H35" s="24">
        <v>1.6000000000000001E-3</v>
      </c>
      <c r="I35" s="11">
        <f t="shared" si="4"/>
        <v>497.49599358974359</v>
      </c>
      <c r="J35" s="11">
        <f t="shared" si="5"/>
        <v>1417863.5817307692</v>
      </c>
      <c r="K35" s="11">
        <v>2730</v>
      </c>
      <c r="L35" s="12">
        <f t="shared" si="6"/>
        <v>-59699.519230769249</v>
      </c>
    </row>
    <row r="36" spans="1:12" ht="18" customHeight="1">
      <c r="A36" s="26">
        <v>4</v>
      </c>
      <c r="B36" s="10">
        <v>2016041803</v>
      </c>
      <c r="C36" s="7">
        <v>42478</v>
      </c>
      <c r="D36" s="7"/>
      <c r="E36" s="10" t="s">
        <v>27</v>
      </c>
      <c r="F36" s="11">
        <v>1500</v>
      </c>
      <c r="G36" s="11">
        <v>2780</v>
      </c>
      <c r="H36" s="24">
        <v>8.5000000000000006E-2</v>
      </c>
      <c r="I36" s="11">
        <f t="shared" si="4"/>
        <v>1628.5245901639344</v>
      </c>
      <c r="J36" s="11">
        <f t="shared" si="5"/>
        <v>4527298.3606557371</v>
      </c>
      <c r="K36" s="11">
        <v>2730</v>
      </c>
      <c r="L36" s="12">
        <f t="shared" si="6"/>
        <v>-81426.229508196004</v>
      </c>
    </row>
    <row r="37" spans="1:12" ht="18" customHeight="1">
      <c r="A37" s="26">
        <v>5</v>
      </c>
      <c r="B37" s="10"/>
      <c r="C37" s="10"/>
      <c r="D37" s="10"/>
      <c r="E37" s="10"/>
      <c r="F37" s="11"/>
      <c r="G37" s="11"/>
      <c r="H37" s="10"/>
      <c r="I37" s="11">
        <f t="shared" si="4"/>
        <v>0</v>
      </c>
      <c r="J37" s="11">
        <f t="shared" si="5"/>
        <v>0</v>
      </c>
      <c r="K37" s="10"/>
      <c r="L37" s="10"/>
    </row>
    <row r="38" spans="1:12" ht="18" customHeight="1">
      <c r="A38" s="26">
        <v>6</v>
      </c>
      <c r="B38" s="10"/>
      <c r="C38" s="10"/>
      <c r="D38" s="10"/>
      <c r="E38" s="10"/>
      <c r="F38" s="11"/>
      <c r="G38" s="11"/>
      <c r="H38" s="10"/>
      <c r="I38" s="11">
        <f t="shared" si="4"/>
        <v>0</v>
      </c>
      <c r="J38" s="11">
        <f t="shared" si="5"/>
        <v>0</v>
      </c>
      <c r="K38" s="10"/>
      <c r="L38" s="10"/>
    </row>
    <row r="39" spans="1:12" ht="18" customHeight="1">
      <c r="A39" s="26">
        <v>7</v>
      </c>
      <c r="B39" s="10"/>
      <c r="C39" s="10"/>
      <c r="D39" s="10"/>
      <c r="E39" s="10"/>
      <c r="F39" s="11"/>
      <c r="G39" s="11"/>
      <c r="H39" s="10"/>
      <c r="I39" s="11">
        <f t="shared" si="4"/>
        <v>0</v>
      </c>
      <c r="J39" s="11">
        <f t="shared" si="5"/>
        <v>0</v>
      </c>
      <c r="K39" s="10"/>
      <c r="L39" s="10"/>
    </row>
    <row r="40" spans="1:12" ht="18" customHeight="1">
      <c r="A40" s="26">
        <v>8</v>
      </c>
      <c r="B40" s="10"/>
      <c r="C40" s="10"/>
      <c r="D40" s="10"/>
      <c r="E40" s="10"/>
      <c r="F40" s="11"/>
      <c r="G40" s="11"/>
      <c r="H40" s="10"/>
      <c r="I40" s="11">
        <f t="shared" si="4"/>
        <v>0</v>
      </c>
      <c r="J40" s="11">
        <f t="shared" si="5"/>
        <v>0</v>
      </c>
      <c r="K40" s="10"/>
      <c r="L40" s="10"/>
    </row>
    <row r="41" spans="1:12" ht="18" customHeight="1">
      <c r="A41" s="26">
        <v>9</v>
      </c>
      <c r="B41" s="10"/>
      <c r="C41" s="10"/>
      <c r="D41" s="10"/>
      <c r="E41" s="10"/>
      <c r="F41" s="11"/>
      <c r="G41" s="11"/>
      <c r="H41" s="10"/>
      <c r="I41" s="11">
        <f t="shared" si="4"/>
        <v>0</v>
      </c>
      <c r="J41" s="11">
        <f t="shared" si="5"/>
        <v>0</v>
      </c>
      <c r="K41" s="10"/>
      <c r="L41" s="10"/>
    </row>
    <row r="42" spans="1:12" ht="18" customHeight="1">
      <c r="A42" s="26">
        <v>10</v>
      </c>
      <c r="B42" s="10"/>
      <c r="C42" s="10"/>
      <c r="D42" s="10"/>
      <c r="E42" s="10"/>
      <c r="F42" s="11"/>
      <c r="G42" s="11"/>
      <c r="H42" s="10"/>
      <c r="I42" s="11">
        <f t="shared" si="4"/>
        <v>0</v>
      </c>
      <c r="J42" s="11">
        <f t="shared" si="5"/>
        <v>0</v>
      </c>
      <c r="K42" s="10"/>
      <c r="L42" s="10"/>
    </row>
    <row r="43" spans="1:12" ht="18" customHeight="1">
      <c r="A43" s="26">
        <v>11</v>
      </c>
      <c r="B43" s="10"/>
      <c r="C43" s="10"/>
      <c r="D43" s="10"/>
      <c r="E43" s="10"/>
      <c r="F43" s="11"/>
      <c r="G43" s="11"/>
      <c r="H43" s="10"/>
      <c r="I43" s="11">
        <f t="shared" si="4"/>
        <v>0</v>
      </c>
      <c r="J43" s="11">
        <f t="shared" si="5"/>
        <v>0</v>
      </c>
      <c r="K43" s="10"/>
      <c r="L43" s="10"/>
    </row>
    <row r="44" spans="1:12" ht="18" customHeight="1">
      <c r="A44" s="118" t="s">
        <v>29</v>
      </c>
      <c r="B44" s="119"/>
      <c r="C44" s="119"/>
      <c r="D44" s="119"/>
      <c r="E44" s="120"/>
      <c r="F44" s="11">
        <f>SUM(F33:F43)</f>
        <v>2065</v>
      </c>
      <c r="G44" s="11"/>
      <c r="H44" s="10"/>
      <c r="I44" s="11">
        <f>SUM(I33:I43)</f>
        <v>2196.589982660782</v>
      </c>
      <c r="J44" s="11">
        <f>SUM(J33:J43)</f>
        <v>6138739.2320039924</v>
      </c>
      <c r="K44" s="10"/>
      <c r="L44" s="11">
        <f>SUM(L33:L43)</f>
        <v>-142048.57934005815</v>
      </c>
    </row>
    <row r="46" spans="1:12" ht="18" customHeight="1">
      <c r="C46" s="8" t="s">
        <v>211</v>
      </c>
    </row>
    <row r="47" spans="1:12" ht="18" customHeight="1">
      <c r="C47" s="8" t="s">
        <v>213</v>
      </c>
    </row>
  </sheetData>
  <mergeCells count="3">
    <mergeCell ref="A14:E14"/>
    <mergeCell ref="A29:E29"/>
    <mergeCell ref="A44:E4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"/>
  <sheetViews>
    <sheetView topLeftCell="D1" workbookViewId="0">
      <selection activeCell="P20" sqref="P20"/>
    </sheetView>
  </sheetViews>
  <sheetFormatPr defaultColWidth="9" defaultRowHeight="18" customHeight="1"/>
  <cols>
    <col min="1" max="1" width="15.42578125" style="8" customWidth="1"/>
    <col min="2" max="2" width="14.140625" style="8" bestFit="1" customWidth="1"/>
    <col min="3" max="3" width="11.28515625" style="18" customWidth="1"/>
    <col min="4" max="4" width="8" style="8" bestFit="1" customWidth="1"/>
    <col min="5" max="5" width="8.42578125" style="8" bestFit="1" customWidth="1"/>
    <col min="6" max="6" width="10.28515625" style="18" bestFit="1" customWidth="1"/>
    <col min="7" max="7" width="12.7109375" style="18" customWidth="1"/>
    <col min="8" max="8" width="8.7109375" style="18" customWidth="1"/>
    <col min="9" max="9" width="11.85546875" style="18" customWidth="1"/>
    <col min="10" max="10" width="12.28515625" style="18" bestFit="1" customWidth="1"/>
    <col min="11" max="11" width="8.7109375" style="18" bestFit="1" customWidth="1"/>
    <col min="12" max="12" width="8.7109375" style="18" customWidth="1"/>
    <col min="13" max="13" width="8.42578125" style="18" bestFit="1" customWidth="1"/>
    <col min="14" max="14" width="11.28515625" style="8" bestFit="1" customWidth="1"/>
    <col min="15" max="15" width="10.42578125" style="8" bestFit="1" customWidth="1"/>
    <col min="16" max="16" width="7.42578125" style="18" customWidth="1"/>
    <col min="17" max="17" width="11.28515625" style="8" bestFit="1" customWidth="1"/>
    <col min="18" max="18" width="10.42578125" style="8" bestFit="1" customWidth="1"/>
    <col min="19" max="19" width="9" style="8"/>
    <col min="20" max="20" width="12.28515625" style="8" bestFit="1" customWidth="1"/>
    <col min="21" max="16384" width="9" style="8"/>
  </cols>
  <sheetData>
    <row r="1" spans="1:20" s="2" customFormat="1" ht="18" customHeight="1">
      <c r="A1" s="127" t="s">
        <v>189</v>
      </c>
      <c r="B1" s="127" t="s">
        <v>51</v>
      </c>
      <c r="C1" s="124" t="s">
        <v>188</v>
      </c>
      <c r="D1" s="127" t="s">
        <v>178</v>
      </c>
      <c r="E1" s="127" t="s">
        <v>179</v>
      </c>
      <c r="F1" s="124" t="s">
        <v>44</v>
      </c>
      <c r="G1" s="121" t="s">
        <v>206</v>
      </c>
      <c r="H1" s="121" t="s">
        <v>199</v>
      </c>
      <c r="I1" s="123" t="s">
        <v>200</v>
      </c>
      <c r="J1" s="123" t="s">
        <v>9</v>
      </c>
      <c r="K1" s="125" t="s">
        <v>36</v>
      </c>
      <c r="L1" s="115" t="s">
        <v>195</v>
      </c>
      <c r="M1" s="115"/>
      <c r="N1" s="115"/>
      <c r="O1" s="115" t="s">
        <v>196</v>
      </c>
      <c r="P1" s="115"/>
      <c r="Q1" s="115"/>
      <c r="R1" s="115" t="s">
        <v>197</v>
      </c>
      <c r="S1" s="115"/>
      <c r="T1" s="115"/>
    </row>
    <row r="2" spans="1:20" s="1" customFormat="1" ht="18" customHeight="1">
      <c r="A2" s="127"/>
      <c r="B2" s="127"/>
      <c r="C2" s="124"/>
      <c r="D2" s="127"/>
      <c r="E2" s="127"/>
      <c r="F2" s="124"/>
      <c r="G2" s="122"/>
      <c r="H2" s="122"/>
      <c r="I2" s="123"/>
      <c r="J2" s="123"/>
      <c r="K2" s="126"/>
      <c r="L2" s="44" t="s">
        <v>201</v>
      </c>
      <c r="M2" s="44" t="s">
        <v>44</v>
      </c>
      <c r="N2" s="45" t="s">
        <v>9</v>
      </c>
      <c r="O2" s="44" t="s">
        <v>201</v>
      </c>
      <c r="P2" s="44" t="s">
        <v>44</v>
      </c>
      <c r="Q2" s="45" t="s">
        <v>9</v>
      </c>
      <c r="R2" s="44" t="s">
        <v>201</v>
      </c>
      <c r="S2" s="44" t="s">
        <v>44</v>
      </c>
      <c r="T2" s="45" t="s">
        <v>9</v>
      </c>
    </row>
    <row r="3" spans="1:20" ht="18" customHeight="1">
      <c r="A3" s="46" t="s">
        <v>186</v>
      </c>
      <c r="B3" s="47" t="s">
        <v>210</v>
      </c>
      <c r="C3" s="20">
        <v>90</v>
      </c>
      <c r="D3" s="46" t="s">
        <v>59</v>
      </c>
      <c r="E3" s="46" t="s">
        <v>112</v>
      </c>
      <c r="F3" s="20">
        <v>50</v>
      </c>
      <c r="G3" s="20">
        <f>F3</f>
        <v>50</v>
      </c>
      <c r="H3" s="20" t="s">
        <v>204</v>
      </c>
      <c r="I3" s="20">
        <v>2631.3047826195652</v>
      </c>
      <c r="J3" s="20">
        <f>I3*F3</f>
        <v>131565.23913097827</v>
      </c>
      <c r="K3" s="48">
        <f>1-C3/G6</f>
        <v>7.2788353863381783E-2</v>
      </c>
      <c r="L3" s="20">
        <v>20</v>
      </c>
      <c r="M3" s="11">
        <f>L3/(1-K3)</f>
        <v>21.570048309178741</v>
      </c>
      <c r="N3" s="12">
        <f>M3*I6</f>
        <v>56757.371277277089</v>
      </c>
      <c r="O3" s="20">
        <v>31</v>
      </c>
      <c r="P3" s="11">
        <f>O3/(1-K3)</f>
        <v>33.433574879227052</v>
      </c>
      <c r="Q3" s="12">
        <f>P3*I6</f>
        <v>87973.9254797795</v>
      </c>
      <c r="R3" s="20">
        <v>39</v>
      </c>
      <c r="S3" s="12">
        <f>R3/(1-K3)</f>
        <v>42.061594202898547</v>
      </c>
      <c r="T3" s="11">
        <f>S3*I6</f>
        <v>110676.87399069032</v>
      </c>
    </row>
    <row r="4" spans="1:20" ht="18" customHeight="1">
      <c r="A4" s="46" t="s">
        <v>186</v>
      </c>
      <c r="B4" s="10"/>
      <c r="C4" s="20"/>
      <c r="D4" s="46" t="s">
        <v>77</v>
      </c>
      <c r="E4" s="46" t="s">
        <v>184</v>
      </c>
      <c r="F4" s="20">
        <v>45</v>
      </c>
      <c r="G4" s="20">
        <f>F4*43/46</f>
        <v>42.065217391304351</v>
      </c>
      <c r="H4" s="20" t="s">
        <v>204</v>
      </c>
      <c r="I4" s="20">
        <v>2550</v>
      </c>
      <c r="J4" s="20">
        <f t="shared" ref="J4:J13" si="0">I4*F4</f>
        <v>114750</v>
      </c>
      <c r="K4" s="20"/>
      <c r="L4" s="20"/>
      <c r="M4" s="11"/>
      <c r="N4" s="10"/>
      <c r="O4" s="10"/>
      <c r="P4" s="11"/>
      <c r="Q4" s="10"/>
      <c r="R4" s="10"/>
      <c r="S4" s="10"/>
      <c r="T4" s="10"/>
    </row>
    <row r="5" spans="1:20" ht="18" customHeight="1">
      <c r="A5" s="46" t="s">
        <v>186</v>
      </c>
      <c r="B5" s="46"/>
      <c r="C5" s="20"/>
      <c r="D5" s="46" t="s">
        <v>59</v>
      </c>
      <c r="E5" s="46">
        <v>20160415</v>
      </c>
      <c r="F5" s="20">
        <v>5</v>
      </c>
      <c r="G5" s="20">
        <f>F5</f>
        <v>5</v>
      </c>
      <c r="H5" s="20"/>
      <c r="I5" s="20">
        <v>2631.3047826195652</v>
      </c>
      <c r="J5" s="20">
        <f t="shared" si="0"/>
        <v>13156.523913097826</v>
      </c>
      <c r="K5" s="20"/>
      <c r="L5" s="20"/>
      <c r="M5" s="11"/>
      <c r="N5" s="10"/>
      <c r="O5" s="10"/>
      <c r="P5" s="11"/>
      <c r="Q5" s="10"/>
      <c r="R5" s="10"/>
      <c r="S5" s="10"/>
      <c r="T5" s="10"/>
    </row>
    <row r="6" spans="1:20" ht="18" customHeight="1">
      <c r="A6" s="46" t="s">
        <v>190</v>
      </c>
      <c r="B6" s="10"/>
      <c r="C6" s="20"/>
      <c r="D6" s="10"/>
      <c r="E6" s="10"/>
      <c r="F6" s="20">
        <f>SUM(F3:F5)</f>
        <v>100</v>
      </c>
      <c r="G6" s="20">
        <f>SUM(G3:G5)</f>
        <v>97.065217391304344</v>
      </c>
      <c r="H6" s="20"/>
      <c r="I6" s="20">
        <v>2631.3047826195652</v>
      </c>
      <c r="J6" s="20">
        <f t="shared" si="0"/>
        <v>263130.47826195654</v>
      </c>
      <c r="K6" s="20"/>
      <c r="L6" s="20"/>
      <c r="M6" s="11"/>
      <c r="N6" s="10"/>
      <c r="O6" s="10"/>
      <c r="P6" s="11"/>
      <c r="Q6" s="10"/>
      <c r="R6" s="10"/>
      <c r="S6" s="10"/>
      <c r="T6" s="10"/>
    </row>
    <row r="7" spans="1:20" ht="18" customHeight="1">
      <c r="A7" s="46" t="s">
        <v>187</v>
      </c>
      <c r="B7" s="47" t="s">
        <v>208</v>
      </c>
      <c r="C7" s="20">
        <v>55</v>
      </c>
      <c r="D7" s="46" t="s">
        <v>192</v>
      </c>
      <c r="E7" s="46" t="s">
        <v>133</v>
      </c>
      <c r="F7" s="20">
        <v>30</v>
      </c>
      <c r="G7" s="20">
        <f>F7*45/46</f>
        <v>29.347826086956523</v>
      </c>
      <c r="H7" s="20" t="s">
        <v>205</v>
      </c>
      <c r="I7" s="20">
        <v>2700</v>
      </c>
      <c r="J7" s="20">
        <f t="shared" si="0"/>
        <v>81000</v>
      </c>
      <c r="K7" s="48">
        <f>1-C7/G10</f>
        <v>6.1572700296735894E-2</v>
      </c>
      <c r="L7" s="20">
        <v>15</v>
      </c>
      <c r="M7" s="11">
        <f>L7/(1-K7)</f>
        <v>15.984189723320158</v>
      </c>
      <c r="N7" s="11">
        <f>M7*I10</f>
        <v>42677.786561264824</v>
      </c>
      <c r="O7" s="11">
        <v>24</v>
      </c>
      <c r="P7" s="11">
        <f>O7/(1-K7)</f>
        <v>25.574703557312251</v>
      </c>
      <c r="Q7" s="11">
        <f>P7*I10</f>
        <v>68284.458498023712</v>
      </c>
      <c r="R7" s="11">
        <v>16</v>
      </c>
      <c r="S7" s="12">
        <f>R7/(1-K7)</f>
        <v>17.049802371541503</v>
      </c>
      <c r="T7" s="11">
        <f>S7*I10</f>
        <v>45522.972332015815</v>
      </c>
    </row>
    <row r="8" spans="1:20" ht="18" customHeight="1">
      <c r="A8" s="46" t="s">
        <v>187</v>
      </c>
      <c r="B8" s="10"/>
      <c r="C8" s="20"/>
      <c r="D8" s="46" t="s">
        <v>192</v>
      </c>
      <c r="E8" s="46" t="s">
        <v>182</v>
      </c>
      <c r="F8" s="20">
        <v>28</v>
      </c>
      <c r="G8" s="20">
        <f>F8*45/46</f>
        <v>27.391304347826086</v>
      </c>
      <c r="H8" s="20" t="s">
        <v>204</v>
      </c>
      <c r="I8" s="20">
        <v>2650</v>
      </c>
      <c r="J8" s="20">
        <f t="shared" si="0"/>
        <v>74200</v>
      </c>
      <c r="K8" s="20"/>
      <c r="L8" s="20"/>
      <c r="M8" s="11"/>
      <c r="N8" s="10"/>
      <c r="O8" s="10"/>
      <c r="P8" s="11"/>
      <c r="Q8" s="10"/>
      <c r="R8" s="10"/>
      <c r="S8" s="10"/>
      <c r="T8" s="10"/>
    </row>
    <row r="9" spans="1:20" ht="18" customHeight="1">
      <c r="A9" s="46" t="s">
        <v>187</v>
      </c>
      <c r="B9" s="46"/>
      <c r="C9" s="20"/>
      <c r="D9" s="46" t="s">
        <v>77</v>
      </c>
      <c r="E9" s="46" t="s">
        <v>184</v>
      </c>
      <c r="F9" s="20">
        <v>2</v>
      </c>
      <c r="G9" s="20">
        <f>F9*43/46</f>
        <v>1.8695652173913044</v>
      </c>
      <c r="H9" s="20" t="s">
        <v>204</v>
      </c>
      <c r="I9" s="20">
        <v>2500</v>
      </c>
      <c r="J9" s="20">
        <f t="shared" si="0"/>
        <v>5000</v>
      </c>
      <c r="K9" s="20"/>
      <c r="L9" s="20"/>
      <c r="M9" s="11"/>
      <c r="N9" s="10"/>
      <c r="O9" s="10"/>
      <c r="P9" s="11"/>
      <c r="Q9" s="10"/>
      <c r="R9" s="10"/>
      <c r="S9" s="10"/>
      <c r="T9" s="10"/>
    </row>
    <row r="10" spans="1:20" ht="18" customHeight="1">
      <c r="A10" s="46" t="s">
        <v>191</v>
      </c>
      <c r="B10" s="10"/>
      <c r="C10" s="20"/>
      <c r="D10" s="10"/>
      <c r="E10" s="46"/>
      <c r="F10" s="20">
        <f>SUM(F7:F9)</f>
        <v>60</v>
      </c>
      <c r="G10" s="20">
        <f>SUM(G7:G9)</f>
        <v>58.608695652173914</v>
      </c>
      <c r="H10" s="20"/>
      <c r="I10" s="20">
        <f>J10/F10</f>
        <v>2670</v>
      </c>
      <c r="J10" s="20">
        <f>SUM(J7:J9)</f>
        <v>160200</v>
      </c>
      <c r="K10" s="20"/>
      <c r="L10" s="20"/>
      <c r="M10" s="11"/>
      <c r="N10" s="10"/>
      <c r="O10" s="10"/>
      <c r="P10" s="11"/>
      <c r="Q10" s="10"/>
      <c r="R10" s="10"/>
      <c r="S10" s="10"/>
      <c r="T10" s="10"/>
    </row>
    <row r="11" spans="1:20" ht="18" customHeight="1">
      <c r="A11" s="10" t="s">
        <v>183</v>
      </c>
      <c r="B11" s="10" t="s">
        <v>39</v>
      </c>
      <c r="C11" s="11">
        <v>76</v>
      </c>
      <c r="D11" s="46" t="s">
        <v>192</v>
      </c>
      <c r="E11" s="10" t="s">
        <v>185</v>
      </c>
      <c r="F11" s="20">
        <v>8</v>
      </c>
      <c r="G11" s="20">
        <f>F11*45/46</f>
        <v>7.8260869565217392</v>
      </c>
      <c r="H11" s="20" t="s">
        <v>204</v>
      </c>
      <c r="I11" s="20">
        <v>2600</v>
      </c>
      <c r="J11" s="20">
        <f t="shared" si="0"/>
        <v>20800</v>
      </c>
      <c r="K11" s="48">
        <f>1-C11/G14</f>
        <v>2.6183844011142043E-2</v>
      </c>
      <c r="L11" s="20"/>
      <c r="M11" s="11"/>
      <c r="N11" s="11"/>
      <c r="O11" s="11"/>
      <c r="P11" s="11"/>
      <c r="Q11" s="11"/>
      <c r="R11" s="11">
        <v>18</v>
      </c>
      <c r="S11" s="12">
        <f>R11/(1-K11)</f>
        <v>18.483981693363845</v>
      </c>
      <c r="T11" s="11">
        <f>S11*I14</f>
        <v>49041.159234246799</v>
      </c>
    </row>
    <row r="12" spans="1:20" ht="18" customHeight="1">
      <c r="A12" s="10" t="s">
        <v>183</v>
      </c>
      <c r="B12" s="10"/>
      <c r="C12" s="11"/>
      <c r="D12" s="46" t="s">
        <v>193</v>
      </c>
      <c r="E12" s="10" t="s">
        <v>180</v>
      </c>
      <c r="F12" s="11">
        <v>16</v>
      </c>
      <c r="G12" s="11">
        <f>F12</f>
        <v>16</v>
      </c>
      <c r="H12" s="20" t="s">
        <v>204</v>
      </c>
      <c r="I12" s="11">
        <v>2800</v>
      </c>
      <c r="J12" s="20">
        <f t="shared" si="0"/>
        <v>44800</v>
      </c>
      <c r="K12" s="20"/>
      <c r="L12" s="20"/>
      <c r="M12" s="11"/>
      <c r="N12" s="10"/>
      <c r="O12" s="10"/>
      <c r="P12" s="11"/>
      <c r="Q12" s="10"/>
      <c r="R12" s="10"/>
      <c r="S12" s="10"/>
      <c r="T12" s="10"/>
    </row>
    <row r="13" spans="1:20" ht="18" customHeight="1">
      <c r="A13" s="10" t="s">
        <v>183</v>
      </c>
      <c r="B13" s="10"/>
      <c r="C13" s="11"/>
      <c r="D13" s="46" t="s">
        <v>77</v>
      </c>
      <c r="E13" s="10" t="s">
        <v>181</v>
      </c>
      <c r="F13" s="11">
        <v>58</v>
      </c>
      <c r="G13" s="20">
        <f>F13*43/46</f>
        <v>54.217391304347828</v>
      </c>
      <c r="H13" s="20" t="s">
        <v>204</v>
      </c>
      <c r="I13" s="11">
        <v>2620</v>
      </c>
      <c r="J13" s="20">
        <f t="shared" si="0"/>
        <v>151960</v>
      </c>
      <c r="K13" s="20"/>
      <c r="L13" s="20"/>
      <c r="M13" s="11"/>
      <c r="N13" s="10"/>
      <c r="O13" s="10"/>
      <c r="P13" s="11"/>
      <c r="Q13" s="10"/>
      <c r="R13" s="10"/>
      <c r="S13" s="10"/>
      <c r="T13" s="10"/>
    </row>
    <row r="14" spans="1:20" ht="18" customHeight="1">
      <c r="A14" s="10" t="s">
        <v>194</v>
      </c>
      <c r="B14" s="10"/>
      <c r="C14" s="11"/>
      <c r="D14" s="10"/>
      <c r="E14" s="10"/>
      <c r="F14" s="11">
        <f>SUM(F11:F13)</f>
        <v>82</v>
      </c>
      <c r="G14" s="11">
        <f>SUM(G11:G13)</f>
        <v>78.043478260869563</v>
      </c>
      <c r="H14" s="11"/>
      <c r="I14" s="11">
        <f>J14/F14</f>
        <v>2653.1707317073169</v>
      </c>
      <c r="J14" s="11">
        <f>SUM(J11:J13)</f>
        <v>217560</v>
      </c>
      <c r="K14" s="11"/>
      <c r="L14" s="11"/>
      <c r="M14" s="11"/>
      <c r="N14" s="10"/>
      <c r="O14" s="10"/>
      <c r="P14" s="11"/>
      <c r="Q14" s="10"/>
      <c r="R14" s="10"/>
      <c r="S14" s="10"/>
      <c r="T14" s="10"/>
    </row>
    <row r="15" spans="1:20" ht="18" customHeight="1">
      <c r="A15" s="10" t="s">
        <v>198</v>
      </c>
      <c r="B15" s="10"/>
      <c r="C15" s="11"/>
      <c r="D15" s="10"/>
      <c r="E15" s="10"/>
      <c r="F15" s="11"/>
      <c r="G15" s="11"/>
      <c r="H15" s="11"/>
      <c r="I15" s="11"/>
      <c r="J15" s="11"/>
      <c r="K15" s="11"/>
      <c r="L15" s="11">
        <f t="shared" ref="L15:T15" si="1">SUM(L3:L14)</f>
        <v>35</v>
      </c>
      <c r="M15" s="11">
        <f t="shared" si="1"/>
        <v>37.554238032498901</v>
      </c>
      <c r="N15" s="11">
        <f t="shared" si="1"/>
        <v>99435.157838541912</v>
      </c>
      <c r="O15" s="11">
        <f t="shared" si="1"/>
        <v>55</v>
      </c>
      <c r="P15" s="11">
        <f t="shared" si="1"/>
        <v>59.0082784365393</v>
      </c>
      <c r="Q15" s="11">
        <f t="shared" si="1"/>
        <v>156258.38397780323</v>
      </c>
      <c r="R15" s="11">
        <f t="shared" si="1"/>
        <v>73</v>
      </c>
      <c r="S15" s="11">
        <f t="shared" si="1"/>
        <v>77.595378267803895</v>
      </c>
      <c r="T15" s="11">
        <f t="shared" si="1"/>
        <v>205241.00555695294</v>
      </c>
    </row>
    <row r="17" spans="2:2" ht="18" customHeight="1">
      <c r="B17" s="8" t="s">
        <v>211</v>
      </c>
    </row>
    <row r="18" spans="2:2" ht="18" customHeight="1">
      <c r="B18" s="8" t="s">
        <v>212</v>
      </c>
    </row>
  </sheetData>
  <mergeCells count="14">
    <mergeCell ref="E1:E2"/>
    <mergeCell ref="D1:D2"/>
    <mergeCell ref="C1:C2"/>
    <mergeCell ref="B1:B2"/>
    <mergeCell ref="A1:A2"/>
    <mergeCell ref="R1:T1"/>
    <mergeCell ref="G1:G2"/>
    <mergeCell ref="I1:I2"/>
    <mergeCell ref="F1:F2"/>
    <mergeCell ref="H1:H2"/>
    <mergeCell ref="L1:N1"/>
    <mergeCell ref="O1:Q1"/>
    <mergeCell ref="K1:K2"/>
    <mergeCell ref="J1:J2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"/>
  <sheetViews>
    <sheetView workbookViewId="0">
      <selection activeCell="G18" sqref="G18"/>
    </sheetView>
  </sheetViews>
  <sheetFormatPr defaultRowHeight="18" customHeight="1"/>
  <cols>
    <col min="1" max="1" width="5" bestFit="1" customWidth="1"/>
    <col min="2" max="2" width="12.42578125" customWidth="1"/>
    <col min="3" max="3" width="10.42578125" bestFit="1" customWidth="1"/>
    <col min="5" max="5" width="14.140625" bestFit="1" customWidth="1"/>
    <col min="6" max="6" width="10.42578125" bestFit="1" customWidth="1"/>
    <col min="7" max="7" width="12.7109375" bestFit="1" customWidth="1"/>
    <col min="8" max="8" width="14.140625" bestFit="1" customWidth="1"/>
  </cols>
  <sheetData>
    <row r="1" spans="1:8" ht="18" customHeight="1">
      <c r="A1" s="50" t="s">
        <v>0</v>
      </c>
      <c r="B1" s="51" t="s">
        <v>40</v>
      </c>
      <c r="C1" s="23" t="s">
        <v>6</v>
      </c>
      <c r="D1" s="52" t="s">
        <v>38</v>
      </c>
      <c r="E1" s="50" t="s">
        <v>207</v>
      </c>
      <c r="F1" s="59" t="s">
        <v>199</v>
      </c>
      <c r="G1" s="59" t="s">
        <v>200</v>
      </c>
      <c r="H1" s="50" t="s">
        <v>9</v>
      </c>
    </row>
    <row r="2" spans="1:8" ht="18" customHeight="1">
      <c r="A2" s="53">
        <v>1</v>
      </c>
      <c r="B2" s="54" t="s">
        <v>41</v>
      </c>
      <c r="C2" s="55" t="s">
        <v>4</v>
      </c>
      <c r="D2" s="56">
        <v>40</v>
      </c>
      <c r="E2" s="57">
        <f>D2</f>
        <v>40</v>
      </c>
      <c r="F2" s="20" t="s">
        <v>204</v>
      </c>
      <c r="G2" s="60">
        <v>2650</v>
      </c>
      <c r="H2" s="57">
        <f>G2*E2</f>
        <v>106000</v>
      </c>
    </row>
    <row r="3" spans="1:8" ht="18" customHeight="1">
      <c r="A3" s="53">
        <v>2</v>
      </c>
      <c r="B3" s="54" t="s">
        <v>42</v>
      </c>
      <c r="C3" s="55" t="s">
        <v>5</v>
      </c>
      <c r="D3" s="56">
        <v>45</v>
      </c>
      <c r="E3" s="56">
        <f>D3*45/46</f>
        <v>44.021739130434781</v>
      </c>
      <c r="F3" s="20" t="s">
        <v>205</v>
      </c>
      <c r="G3" s="56">
        <v>2670</v>
      </c>
      <c r="H3" s="57">
        <f>G3*E3</f>
        <v>117538.04347826086</v>
      </c>
    </row>
    <row r="4" spans="1:8" ht="18" customHeight="1">
      <c r="A4" s="53">
        <v>3</v>
      </c>
      <c r="B4" s="54" t="s">
        <v>43</v>
      </c>
      <c r="C4" s="55" t="s">
        <v>3</v>
      </c>
      <c r="D4" s="56">
        <v>48</v>
      </c>
      <c r="E4" s="56">
        <f>D4*43/46</f>
        <v>44.869565217391305</v>
      </c>
      <c r="F4" s="56"/>
      <c r="G4" s="56">
        <v>2700</v>
      </c>
      <c r="H4" s="57">
        <f>G4*E4</f>
        <v>121147.82608695653</v>
      </c>
    </row>
    <row r="5" spans="1:8" ht="18" customHeight="1">
      <c r="A5" s="53">
        <v>4</v>
      </c>
      <c r="B5" s="58"/>
      <c r="C5" s="55"/>
      <c r="D5" s="56"/>
      <c r="E5" s="55"/>
      <c r="F5" s="55"/>
      <c r="G5" s="55"/>
      <c r="H5" s="55"/>
    </row>
    <row r="6" spans="1:8" ht="18" customHeight="1">
      <c r="A6" s="128" t="s">
        <v>17</v>
      </c>
      <c r="B6" s="128"/>
      <c r="C6" s="128"/>
      <c r="D6" s="56">
        <f>SUM(D2:D5)</f>
        <v>133</v>
      </c>
      <c r="E6" s="57">
        <f>SUM(E2:E5)</f>
        <v>128.89130434782609</v>
      </c>
      <c r="F6" s="57"/>
      <c r="G6" s="57">
        <f>SUM(G2:G5)</f>
        <v>8020</v>
      </c>
      <c r="H6" s="57">
        <f>SUM(H2:H5)</f>
        <v>344685.86956521741</v>
      </c>
    </row>
  </sheetData>
  <mergeCells count="1">
    <mergeCell ref="A6:C6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采购市场价基础表</vt:lpstr>
      <vt:lpstr>逐日盯市采购利润</vt:lpstr>
      <vt:lpstr>采购订单执行报表</vt:lpstr>
      <vt:lpstr>实际采购利润表</vt:lpstr>
      <vt:lpstr>销售订单执行报表</vt:lpstr>
      <vt:lpstr>工单原料耗用</vt:lpstr>
      <vt:lpstr>库存原料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2015-12-29T07:28:50Z</dcterms:created>
  <dcterms:modified xsi:type="dcterms:W3CDTF">2016-08-16T06:53:49Z</dcterms:modified>
</cp:coreProperties>
</file>